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charts/chart2.xml" ContentType="application/vnd.openxmlformats-officedocument.drawingml.chart+xml"/>
  <Override PartName="/xl/charts/chart3.xml" ContentType="application/vnd.openxmlformats-officedocument.drawingml.char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5" yWindow="-15" windowWidth="12705" windowHeight="13740" tabRatio="828" activeTab="1"/>
  </bookViews>
  <sheets>
    <sheet name="ForRPM" sheetId="19" r:id="rId1"/>
    <sheet name="SC-Retro" sheetId="18" r:id="rId2"/>
    <sheet name="7PSourceSummary" sheetId="16" r:id="rId3"/>
    <sheet name="M_Input_Out" sheetId="22" r:id="rId4"/>
    <sheet name="M_Input" sheetId="21" r:id="rId5"/>
    <sheet name="Rollup" sheetId="14" r:id="rId6"/>
    <sheet name="RegionWideSubstations" sheetId="9" r:id="rId7"/>
    <sheet name="Approach for 7th Plan" sheetId="15" r:id="rId8"/>
    <sheet name="SixGoingOnSeven" sheetId="11" r:id="rId9"/>
    <sheet name="NEEALong-TermTracking_AvistaEvl" sheetId="12" r:id="rId10"/>
    <sheet name="Sales" sheetId="13" r:id="rId11"/>
    <sheet name="SalesForecast" sheetId="20" r:id="rId12"/>
    <sheet name="ACHEIVE" sheetId="17" r:id="rId13"/>
    <sheet name="LOG" sheetId="23" r:id="rId14"/>
  </sheets>
  <externalReferences>
    <externalReference r:id="rId15"/>
    <externalReference r:id="rId16"/>
    <externalReference r:id="rId17"/>
    <externalReference r:id="rId18"/>
    <externalReference r:id="rId19"/>
    <externalReference r:id="rId20"/>
    <externalReference r:id="rId21"/>
  </externalReferences>
  <definedNames>
    <definedName name="_xlnm._FilterDatabase" localSheetId="6" hidden="1">RegionWideSubstations!$A$12:$W$12</definedName>
    <definedName name="_Key1" hidden="1">#REF!</definedName>
    <definedName name="_Order1" hidden="1">255</definedName>
    <definedName name="_Sort" hidden="1">#REF!</definedName>
    <definedName name="M_Out" localSheetId="0">M_Input_Out!$A$1:$AN$22</definedName>
    <definedName name="Population">'[1]Pop Forecast (Base Case)'!$B$5:$BC$10</definedName>
    <definedName name="SCRetro">'SC-Retro'!$D$26:$Y$30</definedName>
    <definedName name="VSTOCK">[2]Lookup!$C$4:$D$12</definedName>
  </definedNames>
  <calcPr calcId="125725"/>
</workbook>
</file>

<file path=xl/calcChain.xml><?xml version="1.0" encoding="utf-8"?>
<calcChain xmlns="http://schemas.openxmlformats.org/spreadsheetml/2006/main">
  <c r="A9" i="18"/>
  <c r="B14" i="23" l="1"/>
  <c r="B13"/>
  <c r="B12"/>
  <c r="B11"/>
  <c r="B10"/>
  <c r="B9"/>
  <c r="B8"/>
  <c r="B7"/>
  <c r="B6"/>
  <c r="B5"/>
  <c r="B4"/>
  <c r="D9" i="18" l="1"/>
  <c r="D8"/>
  <c r="D50" i="17"/>
  <c r="E50"/>
  <c r="F50"/>
  <c r="G50"/>
  <c r="H50"/>
  <c r="I50"/>
  <c r="J50"/>
  <c r="K50"/>
  <c r="L50"/>
  <c r="M50"/>
  <c r="N50"/>
  <c r="O50"/>
  <c r="P50"/>
  <c r="Q50"/>
  <c r="R50"/>
  <c r="S50"/>
  <c r="T50"/>
  <c r="U50"/>
  <c r="V50"/>
  <c r="W50"/>
  <c r="X50"/>
  <c r="Y50"/>
  <c r="Z50"/>
  <c r="AA50"/>
  <c r="AB50"/>
  <c r="AC50"/>
  <c r="AD50"/>
  <c r="AE50"/>
  <c r="AF50"/>
  <c r="AG50"/>
  <c r="AH50"/>
  <c r="AI50"/>
  <c r="AJ50"/>
  <c r="AK50"/>
  <c r="AL50"/>
  <c r="AM50"/>
  <c r="AN50"/>
  <c r="AO50"/>
  <c r="AP50"/>
  <c r="C50"/>
  <c r="F19" i="18"/>
  <c r="G19"/>
  <c r="H19"/>
  <c r="I19"/>
  <c r="J19"/>
  <c r="K19"/>
  <c r="L19"/>
  <c r="M19"/>
  <c r="N19"/>
  <c r="O19"/>
  <c r="P19"/>
  <c r="Q19"/>
  <c r="R19"/>
  <c r="S19"/>
  <c r="T19"/>
  <c r="U19"/>
  <c r="V19"/>
  <c r="W19"/>
  <c r="X19"/>
  <c r="E19"/>
  <c r="Y49" i="17"/>
  <c r="Z49" s="1"/>
  <c r="AA49" s="1"/>
  <c r="AB49" s="1"/>
  <c r="AC49" s="1"/>
  <c r="AD49" s="1"/>
  <c r="AE49" s="1"/>
  <c r="AF49" s="1"/>
  <c r="AG49" s="1"/>
  <c r="AH49" s="1"/>
  <c r="AI49" s="1"/>
  <c r="AJ49" s="1"/>
  <c r="AK49" s="1"/>
  <c r="AL49" s="1"/>
  <c r="AM49" s="1"/>
  <c r="AN49" s="1"/>
  <c r="AO49" s="1"/>
  <c r="AP49" s="1"/>
  <c r="X49"/>
  <c r="D49"/>
  <c r="E49" s="1"/>
  <c r="F49" s="1"/>
  <c r="G49" s="1"/>
  <c r="H49" s="1"/>
  <c r="I49" s="1"/>
  <c r="J49" s="1"/>
  <c r="K49" s="1"/>
  <c r="L49" s="1"/>
  <c r="M49" s="1"/>
  <c r="N49" s="1"/>
  <c r="O49" s="1"/>
  <c r="P49" s="1"/>
  <c r="Q49" s="1"/>
  <c r="R49" s="1"/>
  <c r="S49" s="1"/>
  <c r="T49" s="1"/>
  <c r="U49" s="1"/>
  <c r="V49" s="1"/>
  <c r="BI14" i="9" l="1"/>
  <c r="BI15"/>
  <c r="BI16"/>
  <c r="BI17"/>
  <c r="BI18"/>
  <c r="BJ18"/>
  <c r="BK18"/>
  <c r="BL18"/>
  <c r="BN18" s="1"/>
  <c r="BI19"/>
  <c r="BI20"/>
  <c r="BI21"/>
  <c r="BI22"/>
  <c r="BI23"/>
  <c r="BI24"/>
  <c r="BI25"/>
  <c r="BI26"/>
  <c r="BI27"/>
  <c r="BI28"/>
  <c r="BI29"/>
  <c r="BI30"/>
  <c r="BI31"/>
  <c r="BI32"/>
  <c r="BI33"/>
  <c r="BI34"/>
  <c r="BI35"/>
  <c r="BI36"/>
  <c r="BI37"/>
  <c r="BI38"/>
  <c r="BI39"/>
  <c r="BI40"/>
  <c r="BI41"/>
  <c r="BI42"/>
  <c r="BI43"/>
  <c r="BI44"/>
  <c r="BI45"/>
  <c r="BI46"/>
  <c r="BI47"/>
  <c r="BI48"/>
  <c r="BI49"/>
  <c r="BI50"/>
  <c r="BI51"/>
  <c r="BI52"/>
  <c r="BI53"/>
  <c r="BI54"/>
  <c r="BI55"/>
  <c r="BI56"/>
  <c r="BI57"/>
  <c r="BI58"/>
  <c r="BI59"/>
  <c r="BI60"/>
  <c r="BI61"/>
  <c r="BI62"/>
  <c r="BI63"/>
  <c r="BI64"/>
  <c r="BI65"/>
  <c r="BI66"/>
  <c r="BI67"/>
  <c r="BI68"/>
  <c r="BJ68"/>
  <c r="BL68" s="1"/>
  <c r="BN68" s="1"/>
  <c r="BK68"/>
  <c r="BM68"/>
  <c r="BI69"/>
  <c r="BI70"/>
  <c r="BI71"/>
  <c r="BI72"/>
  <c r="BI73"/>
  <c r="BI74"/>
  <c r="BI75"/>
  <c r="BI76"/>
  <c r="BI77"/>
  <c r="BI78"/>
  <c r="BI79"/>
  <c r="BI80"/>
  <c r="BI81"/>
  <c r="BI82"/>
  <c r="BI83"/>
  <c r="BI84"/>
  <c r="BI85"/>
  <c r="BI86"/>
  <c r="BI87"/>
  <c r="BI88"/>
  <c r="BI89"/>
  <c r="BI90"/>
  <c r="BI91"/>
  <c r="BI92"/>
  <c r="BI93"/>
  <c r="BI94"/>
  <c r="BI95"/>
  <c r="BI96"/>
  <c r="BI97"/>
  <c r="BI98"/>
  <c r="BI99"/>
  <c r="BI100"/>
  <c r="BI101"/>
  <c r="BI102"/>
  <c r="BI103"/>
  <c r="BI104"/>
  <c r="BI105"/>
  <c r="BI106"/>
  <c r="BI107"/>
  <c r="BI108"/>
  <c r="BI109"/>
  <c r="BI110"/>
  <c r="BI111"/>
  <c r="BI112"/>
  <c r="BI113"/>
  <c r="BI114"/>
  <c r="BI115"/>
  <c r="BI116"/>
  <c r="BI117"/>
  <c r="BI118"/>
  <c r="BI119"/>
  <c r="BI120"/>
  <c r="BI121"/>
  <c r="BI122"/>
  <c r="BI123"/>
  <c r="BI124"/>
  <c r="BI125"/>
  <c r="BI126"/>
  <c r="BI127"/>
  <c r="BI128"/>
  <c r="BI129"/>
  <c r="BI130"/>
  <c r="BI131"/>
  <c r="BI132"/>
  <c r="BI133"/>
  <c r="BI134"/>
  <c r="BI135"/>
  <c r="BI136"/>
  <c r="BI137"/>
  <c r="BI138"/>
  <c r="BI139"/>
  <c r="BI140"/>
  <c r="BI141"/>
  <c r="BI142"/>
  <c r="BI13"/>
  <c r="W20"/>
  <c r="G17"/>
  <c r="BP18" l="1"/>
  <c r="BQ18" s="1"/>
  <c r="BM18"/>
  <c r="BO18" s="1"/>
  <c r="BO68"/>
  <c r="BP68" s="1"/>
  <c r="BQ68" s="1"/>
  <c r="D9" i="21"/>
  <c r="D10"/>
  <c r="D11"/>
  <c r="D12"/>
  <c r="D8"/>
  <c r="K5" i="14"/>
  <c r="K6"/>
  <c r="K7"/>
  <c r="K8"/>
  <c r="K4"/>
  <c r="K2"/>
  <c r="N5" i="13"/>
  <c r="A4" i="19"/>
  <c r="A5"/>
  <c r="A6"/>
  <c r="A7"/>
  <c r="A3"/>
  <c r="J4" l="1"/>
  <c r="J5"/>
  <c r="J6"/>
  <c r="J7"/>
  <c r="J3"/>
  <c r="F22" i="11"/>
  <c r="F21"/>
  <c r="H3" i="19" l="1"/>
  <c r="G3"/>
  <c r="G4"/>
  <c r="H4"/>
  <c r="G5"/>
  <c r="H5"/>
  <c r="G6"/>
  <c r="H6"/>
  <c r="G7"/>
  <c r="H7"/>
  <c r="B27" i="18"/>
  <c r="B28"/>
  <c r="B29"/>
  <c r="B30"/>
  <c r="B26"/>
  <c r="A27"/>
  <c r="A28"/>
  <c r="A29"/>
  <c r="A30"/>
  <c r="A26"/>
  <c r="B2" i="21" l="1"/>
  <c r="A9" l="1"/>
  <c r="A10"/>
  <c r="A11"/>
  <c r="A12"/>
  <c r="A8"/>
  <c r="AB29" i="20"/>
  <c r="AA29"/>
  <c r="Z29"/>
  <c r="Y29"/>
  <c r="X29"/>
  <c r="W29"/>
  <c r="V29"/>
  <c r="U29"/>
  <c r="T29"/>
  <c r="S29"/>
  <c r="R29"/>
  <c r="Q29"/>
  <c r="P29"/>
  <c r="O29"/>
  <c r="N29"/>
  <c r="M29"/>
  <c r="L29"/>
  <c r="K29"/>
  <c r="J29"/>
  <c r="I29"/>
  <c r="H29"/>
  <c r="A25"/>
  <c r="A24"/>
  <c r="A23"/>
  <c r="A22"/>
  <c r="A17"/>
  <c r="A16"/>
  <c r="A15"/>
  <c r="A14"/>
  <c r="A13"/>
  <c r="A12"/>
  <c r="A11"/>
  <c r="C8" i="18"/>
  <c r="Y74"/>
  <c r="Y73"/>
  <c r="F10"/>
  <c r="G10" s="1"/>
  <c r="H10" s="1"/>
  <c r="I10" s="1"/>
  <c r="J10" s="1"/>
  <c r="K10" s="1"/>
  <c r="L10" s="1"/>
  <c r="M10" s="1"/>
  <c r="N10" s="1"/>
  <c r="O10" s="1"/>
  <c r="P10" s="1"/>
  <c r="Q10" s="1"/>
  <c r="R10" s="1"/>
  <c r="S10" s="1"/>
  <c r="T10" s="1"/>
  <c r="U10" s="1"/>
  <c r="V10" s="1"/>
  <c r="W10" s="1"/>
  <c r="X10" s="1"/>
  <c r="E11"/>
  <c r="AD2" i="19"/>
  <c r="AC2"/>
  <c r="AB2"/>
  <c r="AA2"/>
  <c r="Z2"/>
  <c r="Y2"/>
  <c r="X2"/>
  <c r="W2"/>
  <c r="V2"/>
  <c r="U2"/>
  <c r="T2"/>
  <c r="S2"/>
  <c r="R2"/>
  <c r="Q2"/>
  <c r="P2"/>
  <c r="O2"/>
  <c r="N2"/>
  <c r="M2"/>
  <c r="L2"/>
  <c r="K2"/>
  <c r="C5" l="1"/>
  <c r="C4"/>
  <c r="C3"/>
  <c r="C7"/>
  <c r="C6"/>
  <c r="E18" i="18"/>
  <c r="F11"/>
  <c r="G11" s="1"/>
  <c r="E25"/>
  <c r="D73"/>
  <c r="C19"/>
  <c r="F25"/>
  <c r="C23"/>
  <c r="E74"/>
  <c r="E24"/>
  <c r="E36" s="1"/>
  <c r="E73" s="1"/>
  <c r="E12"/>
  <c r="E37"/>
  <c r="F12" l="1"/>
  <c r="F18"/>
  <c r="F24"/>
  <c r="F36" s="1"/>
  <c r="F73" s="1"/>
  <c r="F74"/>
  <c r="F37"/>
  <c r="D111"/>
  <c r="D112" s="1"/>
  <c r="G74"/>
  <c r="G37"/>
  <c r="G25"/>
  <c r="G24"/>
  <c r="G36" s="1"/>
  <c r="G73" s="1"/>
  <c r="H11"/>
  <c r="G18"/>
  <c r="G12"/>
  <c r="H74" l="1"/>
  <c r="H37"/>
  <c r="H25"/>
  <c r="H18"/>
  <c r="H12"/>
  <c r="H24"/>
  <c r="H36" s="1"/>
  <c r="H73" s="1"/>
  <c r="I11"/>
  <c r="I37" l="1"/>
  <c r="I24"/>
  <c r="I36" s="1"/>
  <c r="I73" s="1"/>
  <c r="I18"/>
  <c r="I74"/>
  <c r="I25"/>
  <c r="I12"/>
  <c r="J11"/>
  <c r="J74" l="1"/>
  <c r="J25"/>
  <c r="J24"/>
  <c r="J36" s="1"/>
  <c r="J73" s="1"/>
  <c r="K11"/>
  <c r="J37"/>
  <c r="J18"/>
  <c r="J12"/>
  <c r="K74" l="1"/>
  <c r="K37"/>
  <c r="K24"/>
  <c r="K36" s="1"/>
  <c r="K73" s="1"/>
  <c r="K25"/>
  <c r="L11"/>
  <c r="K18"/>
  <c r="K12"/>
  <c r="L74" l="1"/>
  <c r="L37"/>
  <c r="L25"/>
  <c r="L24"/>
  <c r="L36" s="1"/>
  <c r="L73" s="1"/>
  <c r="L18"/>
  <c r="L12"/>
  <c r="M11"/>
  <c r="M74" l="1"/>
  <c r="M25"/>
  <c r="M12"/>
  <c r="M37"/>
  <c r="M24"/>
  <c r="M36" s="1"/>
  <c r="M73" s="1"/>
  <c r="M18"/>
  <c r="N11"/>
  <c r="N25" l="1"/>
  <c r="N24"/>
  <c r="N36" s="1"/>
  <c r="N73" s="1"/>
  <c r="N74"/>
  <c r="N37"/>
  <c r="O11"/>
  <c r="N12"/>
  <c r="N18"/>
  <c r="O74" l="1"/>
  <c r="O37"/>
  <c r="P11"/>
  <c r="O25"/>
  <c r="O18"/>
  <c r="O12"/>
  <c r="O24"/>
  <c r="O36" s="1"/>
  <c r="O73" s="1"/>
  <c r="P74" l="1"/>
  <c r="P37"/>
  <c r="P24"/>
  <c r="P36" s="1"/>
  <c r="P73" s="1"/>
  <c r="P18"/>
  <c r="P12"/>
  <c r="Q11"/>
  <c r="P25"/>
  <c r="Q25" l="1"/>
  <c r="Q74"/>
  <c r="Q37"/>
  <c r="Q24"/>
  <c r="Q36" s="1"/>
  <c r="Q73" s="1"/>
  <c r="Q18"/>
  <c r="Q12"/>
  <c r="R11"/>
  <c r="R74" l="1"/>
  <c r="R25"/>
  <c r="R24"/>
  <c r="R36" s="1"/>
  <c r="R73" s="1"/>
  <c r="R37"/>
  <c r="S11"/>
  <c r="R12"/>
  <c r="R18"/>
  <c r="S74" l="1"/>
  <c r="S37"/>
  <c r="S25"/>
  <c r="T11"/>
  <c r="S24"/>
  <c r="S36" s="1"/>
  <c r="S73" s="1"/>
  <c r="S18"/>
  <c r="S12"/>
  <c r="T74" l="1"/>
  <c r="T37"/>
  <c r="T24"/>
  <c r="T36" s="1"/>
  <c r="T73" s="1"/>
  <c r="T18"/>
  <c r="T12"/>
  <c r="T25"/>
  <c r="U11"/>
  <c r="U74" l="1"/>
  <c r="U24"/>
  <c r="U36" s="1"/>
  <c r="U73" s="1"/>
  <c r="U37"/>
  <c r="U25"/>
  <c r="U18"/>
  <c r="U12"/>
  <c r="V11"/>
  <c r="V25" l="1"/>
  <c r="V24"/>
  <c r="V36" s="1"/>
  <c r="V73" s="1"/>
  <c r="V37"/>
  <c r="V74"/>
  <c r="W11"/>
  <c r="V18"/>
  <c r="V12"/>
  <c r="W74" l="1"/>
  <c r="W37"/>
  <c r="W25"/>
  <c r="W24"/>
  <c r="W36" s="1"/>
  <c r="W73" s="1"/>
  <c r="X11"/>
  <c r="W18"/>
  <c r="W12"/>
  <c r="X74" l="1"/>
  <c r="X37"/>
  <c r="X25"/>
  <c r="X18"/>
  <c r="X12"/>
  <c r="X24"/>
  <c r="X36" s="1"/>
  <c r="X73" s="1"/>
  <c r="B45" i="17" l="1"/>
  <c r="B44"/>
  <c r="B43"/>
  <c r="B42"/>
  <c r="B41"/>
  <c r="B40"/>
  <c r="B39"/>
  <c r="B38"/>
  <c r="B36"/>
  <c r="B35"/>
  <c r="B34"/>
  <c r="B33"/>
  <c r="B32"/>
  <c r="B31"/>
  <c r="B30"/>
  <c r="B29"/>
  <c r="AP17"/>
  <c r="AP26" s="1"/>
  <c r="AO17"/>
  <c r="AN17"/>
  <c r="AN26" s="1"/>
  <c r="AM17"/>
  <c r="AM26" s="1"/>
  <c r="AL17"/>
  <c r="AL26" s="1"/>
  <c r="AK17"/>
  <c r="AJ17"/>
  <c r="AJ26" s="1"/>
  <c r="AI17"/>
  <c r="AI26" s="1"/>
  <c r="AH17"/>
  <c r="AH26" s="1"/>
  <c r="AG17"/>
  <c r="AF17"/>
  <c r="AF26" s="1"/>
  <c r="AE17"/>
  <c r="AE26" s="1"/>
  <c r="AD17"/>
  <c r="AD26" s="1"/>
  <c r="AC17"/>
  <c r="AC26" s="1"/>
  <c r="AB17"/>
  <c r="AB26" s="1"/>
  <c r="AA17"/>
  <c r="AA26" s="1"/>
  <c r="Z17"/>
  <c r="Z26" s="1"/>
  <c r="Y17"/>
  <c r="X17"/>
  <c r="X26" s="1"/>
  <c r="W17"/>
  <c r="W26" s="1"/>
  <c r="C26" s="1"/>
  <c r="AP16"/>
  <c r="AP25" s="1"/>
  <c r="AO16"/>
  <c r="AN16"/>
  <c r="AN25" s="1"/>
  <c r="AM16"/>
  <c r="AM25" s="1"/>
  <c r="AL16"/>
  <c r="AL25" s="1"/>
  <c r="AK16"/>
  <c r="AJ16"/>
  <c r="AJ25" s="1"/>
  <c r="AI16"/>
  <c r="AI25" s="1"/>
  <c r="AH16"/>
  <c r="AH25" s="1"/>
  <c r="AG16"/>
  <c r="AF16"/>
  <c r="AF25" s="1"/>
  <c r="AE16"/>
  <c r="AE25" s="1"/>
  <c r="AD16"/>
  <c r="AD25" s="1"/>
  <c r="AC16"/>
  <c r="AB16"/>
  <c r="AB25" s="1"/>
  <c r="AA16"/>
  <c r="AA25" s="1"/>
  <c r="Z16"/>
  <c r="Z25" s="1"/>
  <c r="Y16"/>
  <c r="Y25" s="1"/>
  <c r="X16"/>
  <c r="X25" s="1"/>
  <c r="W16"/>
  <c r="W25" s="1"/>
  <c r="C25" s="1"/>
  <c r="AP15"/>
  <c r="AP24" s="1"/>
  <c r="AO15"/>
  <c r="AN15"/>
  <c r="AN24" s="1"/>
  <c r="AM15"/>
  <c r="AL15"/>
  <c r="AL24" s="1"/>
  <c r="AK15"/>
  <c r="AK24" s="1"/>
  <c r="AJ15"/>
  <c r="AJ24" s="1"/>
  <c r="AI15"/>
  <c r="AH15"/>
  <c r="AH24" s="1"/>
  <c r="AG15"/>
  <c r="AG24" s="1"/>
  <c r="AF15"/>
  <c r="AF24" s="1"/>
  <c r="AE15"/>
  <c r="AD15"/>
  <c r="AD24" s="1"/>
  <c r="AC15"/>
  <c r="AC24" s="1"/>
  <c r="AB15"/>
  <c r="AB24" s="1"/>
  <c r="AA15"/>
  <c r="Z15"/>
  <c r="Z24" s="1"/>
  <c r="Y15"/>
  <c r="X15"/>
  <c r="X24" s="1"/>
  <c r="W15"/>
  <c r="C15" s="1"/>
  <c r="AP14"/>
  <c r="AP23" s="1"/>
  <c r="AO14"/>
  <c r="AN14"/>
  <c r="AN23" s="1"/>
  <c r="AM14"/>
  <c r="AL14"/>
  <c r="AL23" s="1"/>
  <c r="AK14"/>
  <c r="AJ14"/>
  <c r="AJ23" s="1"/>
  <c r="AI14"/>
  <c r="AH14"/>
  <c r="AH23" s="1"/>
  <c r="AG14"/>
  <c r="AG23" s="1"/>
  <c r="AF14"/>
  <c r="AF23" s="1"/>
  <c r="AE14"/>
  <c r="AD14"/>
  <c r="AD23" s="1"/>
  <c r="AC14"/>
  <c r="AB14"/>
  <c r="AB23" s="1"/>
  <c r="AA14"/>
  <c r="Z14"/>
  <c r="Z23" s="1"/>
  <c r="Y14"/>
  <c r="X14"/>
  <c r="X23" s="1"/>
  <c r="W14"/>
  <c r="AP13"/>
  <c r="AP22" s="1"/>
  <c r="AO13"/>
  <c r="AO22" s="1"/>
  <c r="AN13"/>
  <c r="AN22" s="1"/>
  <c r="AM13"/>
  <c r="AL13"/>
  <c r="AL22" s="1"/>
  <c r="AK13"/>
  <c r="AK22" s="1"/>
  <c r="AJ13"/>
  <c r="AJ22" s="1"/>
  <c r="AI13"/>
  <c r="AH13"/>
  <c r="AH22" s="1"/>
  <c r="AG13"/>
  <c r="AG22" s="1"/>
  <c r="AF13"/>
  <c r="AF22" s="1"/>
  <c r="AE13"/>
  <c r="AD13"/>
  <c r="AD22" s="1"/>
  <c r="AC13"/>
  <c r="AC22" s="1"/>
  <c r="AB13"/>
  <c r="AB22" s="1"/>
  <c r="AA13"/>
  <c r="Z13"/>
  <c r="Z22" s="1"/>
  <c r="Y13"/>
  <c r="Y22" s="1"/>
  <c r="X13"/>
  <c r="X22" s="1"/>
  <c r="W13"/>
  <c r="C13" s="1"/>
  <c r="AP12"/>
  <c r="AP21" s="1"/>
  <c r="AO12"/>
  <c r="AO21" s="1"/>
  <c r="AN12"/>
  <c r="AN21" s="1"/>
  <c r="AM12"/>
  <c r="AM21" s="1"/>
  <c r="AL12"/>
  <c r="AL21" s="1"/>
  <c r="AK12"/>
  <c r="AK21" s="1"/>
  <c r="AJ12"/>
  <c r="AJ21" s="1"/>
  <c r="AI12"/>
  <c r="AI21" s="1"/>
  <c r="AH12"/>
  <c r="AH21" s="1"/>
  <c r="AG12"/>
  <c r="AG21" s="1"/>
  <c r="AF12"/>
  <c r="AF21" s="1"/>
  <c r="AE12"/>
  <c r="AE21" s="1"/>
  <c r="AD12"/>
  <c r="AD21" s="1"/>
  <c r="AC12"/>
  <c r="AB12"/>
  <c r="AB21" s="1"/>
  <c r="AA12"/>
  <c r="AA21" s="1"/>
  <c r="Z12"/>
  <c r="Z21" s="1"/>
  <c r="Y12"/>
  <c r="Y21" s="1"/>
  <c r="X12"/>
  <c r="X21" s="1"/>
  <c r="W12"/>
  <c r="W21" s="1"/>
  <c r="C21" s="1"/>
  <c r="AP11"/>
  <c r="AP20" s="1"/>
  <c r="AO11"/>
  <c r="AO20" s="1"/>
  <c r="AN11"/>
  <c r="AN20" s="1"/>
  <c r="AM11"/>
  <c r="AM20" s="1"/>
  <c r="AL11"/>
  <c r="AL20" s="1"/>
  <c r="AK11"/>
  <c r="AJ11"/>
  <c r="AJ20" s="1"/>
  <c r="AI11"/>
  <c r="AI20" s="1"/>
  <c r="AH11"/>
  <c r="AH20" s="1"/>
  <c r="AG11"/>
  <c r="AG20" s="1"/>
  <c r="AF11"/>
  <c r="AF20" s="1"/>
  <c r="AE11"/>
  <c r="AE20" s="1"/>
  <c r="AD11"/>
  <c r="AD20" s="1"/>
  <c r="AC11"/>
  <c r="AC20" s="1"/>
  <c r="AB11"/>
  <c r="AB20" s="1"/>
  <c r="AA11"/>
  <c r="AA20" s="1"/>
  <c r="Z11"/>
  <c r="Z20" s="1"/>
  <c r="Y11"/>
  <c r="Y20" s="1"/>
  <c r="X11"/>
  <c r="X20" s="1"/>
  <c r="W11"/>
  <c r="W20" s="1"/>
  <c r="C20" s="1"/>
  <c r="AP10"/>
  <c r="AP19" s="1"/>
  <c r="AO10"/>
  <c r="AO19" s="1"/>
  <c r="AN10"/>
  <c r="AN19" s="1"/>
  <c r="AM10"/>
  <c r="AM19" s="1"/>
  <c r="AL10"/>
  <c r="AL19" s="1"/>
  <c r="AK10"/>
  <c r="AK19" s="1"/>
  <c r="AJ10"/>
  <c r="AJ19" s="1"/>
  <c r="AI10"/>
  <c r="AI19" s="1"/>
  <c r="AH10"/>
  <c r="AH19" s="1"/>
  <c r="AG10"/>
  <c r="AG19" s="1"/>
  <c r="AF10"/>
  <c r="AF19" s="1"/>
  <c r="AE10"/>
  <c r="AE19" s="1"/>
  <c r="AD10"/>
  <c r="AD19" s="1"/>
  <c r="AC10"/>
  <c r="AB10"/>
  <c r="AB19" s="1"/>
  <c r="AA10"/>
  <c r="AA19" s="1"/>
  <c r="Z10"/>
  <c r="Z19" s="1"/>
  <c r="Y10"/>
  <c r="Y19" s="1"/>
  <c r="X10"/>
  <c r="X19" s="1"/>
  <c r="W10"/>
  <c r="W19" s="1"/>
  <c r="C19" s="1"/>
  <c r="X8"/>
  <c r="Y8" s="1"/>
  <c r="Z8" s="1"/>
  <c r="AA8" s="1"/>
  <c r="AB8" s="1"/>
  <c r="AC8" s="1"/>
  <c r="AD8" s="1"/>
  <c r="AE8" s="1"/>
  <c r="AF8" s="1"/>
  <c r="AG8" s="1"/>
  <c r="AH8" s="1"/>
  <c r="AI8" s="1"/>
  <c r="AJ8" s="1"/>
  <c r="AK8" s="1"/>
  <c r="AL8" s="1"/>
  <c r="AM8" s="1"/>
  <c r="AN8" s="1"/>
  <c r="AO8" s="1"/>
  <c r="AP8" s="1"/>
  <c r="D8"/>
  <c r="E8" s="1"/>
  <c r="F8" s="1"/>
  <c r="G8" s="1"/>
  <c r="H8" s="1"/>
  <c r="I8" s="1"/>
  <c r="J8" s="1"/>
  <c r="K8" s="1"/>
  <c r="L8" s="1"/>
  <c r="M8" s="1"/>
  <c r="N8" s="1"/>
  <c r="O8" s="1"/>
  <c r="P8" s="1"/>
  <c r="Q8" s="1"/>
  <c r="R8" s="1"/>
  <c r="S8" s="1"/>
  <c r="T8" s="1"/>
  <c r="U8" s="1"/>
  <c r="V8" s="1"/>
  <c r="E12" l="1"/>
  <c r="K15"/>
  <c r="S15"/>
  <c r="I13"/>
  <c r="C10"/>
  <c r="V13"/>
  <c r="F15"/>
  <c r="M24"/>
  <c r="V15"/>
  <c r="C12"/>
  <c r="M14"/>
  <c r="G14"/>
  <c r="O14"/>
  <c r="I26"/>
  <c r="F14"/>
  <c r="J14"/>
  <c r="R14"/>
  <c r="V14"/>
  <c r="G25"/>
  <c r="K25"/>
  <c r="O25"/>
  <c r="S25"/>
  <c r="I11"/>
  <c r="E16"/>
  <c r="AK23"/>
  <c r="Q23" s="1"/>
  <c r="G11"/>
  <c r="G20"/>
  <c r="K20"/>
  <c r="O20"/>
  <c r="S20"/>
  <c r="E15"/>
  <c r="U15"/>
  <c r="S17"/>
  <c r="E10"/>
  <c r="U10"/>
  <c r="Q11"/>
  <c r="U12"/>
  <c r="C17"/>
  <c r="M10"/>
  <c r="E19"/>
  <c r="I10"/>
  <c r="M19"/>
  <c r="Q19"/>
  <c r="U19"/>
  <c r="O11"/>
  <c r="R11"/>
  <c r="M12"/>
  <c r="E21"/>
  <c r="I12"/>
  <c r="M21"/>
  <c r="Q21"/>
  <c r="U21"/>
  <c r="U13"/>
  <c r="E22"/>
  <c r="M22"/>
  <c r="U22"/>
  <c r="M15"/>
  <c r="G16"/>
  <c r="J22"/>
  <c r="R22"/>
  <c r="Y24"/>
  <c r="F24" s="1"/>
  <c r="K10"/>
  <c r="S10"/>
  <c r="K12"/>
  <c r="F13"/>
  <c r="O17"/>
  <c r="J17"/>
  <c r="R17"/>
  <c r="V17"/>
  <c r="AO24"/>
  <c r="V24" s="1"/>
  <c r="Q10"/>
  <c r="E11"/>
  <c r="M11"/>
  <c r="U11"/>
  <c r="Q12"/>
  <c r="E13"/>
  <c r="Q13"/>
  <c r="U14"/>
  <c r="I15"/>
  <c r="Q15"/>
  <c r="O15"/>
  <c r="C16"/>
  <c r="O16"/>
  <c r="J16"/>
  <c r="N16"/>
  <c r="R16"/>
  <c r="V16"/>
  <c r="K17"/>
  <c r="J10"/>
  <c r="S12"/>
  <c r="J12"/>
  <c r="S16"/>
  <c r="F17"/>
  <c r="N17"/>
  <c r="G10"/>
  <c r="O10"/>
  <c r="C11"/>
  <c r="K11"/>
  <c r="S11"/>
  <c r="G12"/>
  <c r="O12"/>
  <c r="K13"/>
  <c r="E14"/>
  <c r="I14"/>
  <c r="Q14"/>
  <c r="N15"/>
  <c r="R24"/>
  <c r="K16"/>
  <c r="G17"/>
  <c r="G19"/>
  <c r="K19"/>
  <c r="O19"/>
  <c r="S19"/>
  <c r="E20"/>
  <c r="I20"/>
  <c r="M20"/>
  <c r="U20"/>
  <c r="G21"/>
  <c r="K21"/>
  <c r="O21"/>
  <c r="S21"/>
  <c r="M23"/>
  <c r="G26"/>
  <c r="K26"/>
  <c r="O26"/>
  <c r="S26"/>
  <c r="I22"/>
  <c r="I24"/>
  <c r="E25"/>
  <c r="Q22"/>
  <c r="Q24"/>
  <c r="W23"/>
  <c r="C23" s="1"/>
  <c r="D14"/>
  <c r="AE23"/>
  <c r="K23" s="1"/>
  <c r="L14"/>
  <c r="AM23"/>
  <c r="S23" s="1"/>
  <c r="T14"/>
  <c r="W22"/>
  <c r="C22" s="1"/>
  <c r="D13"/>
  <c r="AA22"/>
  <c r="G22" s="1"/>
  <c r="H13"/>
  <c r="AE22"/>
  <c r="K22" s="1"/>
  <c r="L13"/>
  <c r="AI22"/>
  <c r="O22" s="1"/>
  <c r="P13"/>
  <c r="AM22"/>
  <c r="S22" s="1"/>
  <c r="T13"/>
  <c r="F22"/>
  <c r="N22"/>
  <c r="V22"/>
  <c r="N13"/>
  <c r="S13"/>
  <c r="J24"/>
  <c r="N24"/>
  <c r="AC19"/>
  <c r="I19" s="1"/>
  <c r="AK20"/>
  <c r="Q20" s="1"/>
  <c r="AC21"/>
  <c r="I21" s="1"/>
  <c r="AC23"/>
  <c r="I23" s="1"/>
  <c r="AC25"/>
  <c r="I25" s="1"/>
  <c r="AK26"/>
  <c r="Q26" s="1"/>
  <c r="F10"/>
  <c r="N10"/>
  <c r="R10"/>
  <c r="V10"/>
  <c r="F19"/>
  <c r="N19"/>
  <c r="R19"/>
  <c r="V19"/>
  <c r="F11"/>
  <c r="J11"/>
  <c r="N11"/>
  <c r="V11"/>
  <c r="F20"/>
  <c r="J20"/>
  <c r="N20"/>
  <c r="V20"/>
  <c r="F12"/>
  <c r="N12"/>
  <c r="R12"/>
  <c r="V12"/>
  <c r="F21"/>
  <c r="N21"/>
  <c r="R21"/>
  <c r="V21"/>
  <c r="G13"/>
  <c r="M13"/>
  <c r="R13"/>
  <c r="C14"/>
  <c r="N14"/>
  <c r="S14"/>
  <c r="J15"/>
  <c r="F16"/>
  <c r="M16"/>
  <c r="U16"/>
  <c r="F25"/>
  <c r="I17"/>
  <c r="Q17"/>
  <c r="D26"/>
  <c r="H26"/>
  <c r="L26"/>
  <c r="P26"/>
  <c r="T26"/>
  <c r="Y23"/>
  <c r="E23" s="1"/>
  <c r="AO23"/>
  <c r="U23" s="1"/>
  <c r="AO25"/>
  <c r="U25" s="1"/>
  <c r="AG26"/>
  <c r="M26" s="1"/>
  <c r="AA23"/>
  <c r="G23" s="1"/>
  <c r="H14"/>
  <c r="AI23"/>
  <c r="O23" s="1"/>
  <c r="P14"/>
  <c r="W24"/>
  <c r="C24" s="1"/>
  <c r="D15"/>
  <c r="AA24"/>
  <c r="G24" s="1"/>
  <c r="H15"/>
  <c r="AE24"/>
  <c r="K24" s="1"/>
  <c r="L15"/>
  <c r="AI24"/>
  <c r="O24" s="1"/>
  <c r="P15"/>
  <c r="AM24"/>
  <c r="S24" s="1"/>
  <c r="T15"/>
  <c r="AK25"/>
  <c r="Q25" s="1"/>
  <c r="D10"/>
  <c r="H10"/>
  <c r="L10"/>
  <c r="P10"/>
  <c r="T10"/>
  <c r="D19"/>
  <c r="H19"/>
  <c r="L19"/>
  <c r="P19"/>
  <c r="T19"/>
  <c r="D11"/>
  <c r="H11"/>
  <c r="L11"/>
  <c r="P11"/>
  <c r="T11"/>
  <c r="D20"/>
  <c r="H20"/>
  <c r="L20"/>
  <c r="P20"/>
  <c r="T20"/>
  <c r="D12"/>
  <c r="H12"/>
  <c r="L12"/>
  <c r="P12"/>
  <c r="T12"/>
  <c r="D21"/>
  <c r="H21"/>
  <c r="L21"/>
  <c r="P21"/>
  <c r="T21"/>
  <c r="J13"/>
  <c r="O13"/>
  <c r="K14"/>
  <c r="N23"/>
  <c r="G15"/>
  <c r="R15"/>
  <c r="I16"/>
  <c r="Q16"/>
  <c r="D25"/>
  <c r="H25"/>
  <c r="L25"/>
  <c r="P25"/>
  <c r="T25"/>
  <c r="E17"/>
  <c r="M17"/>
  <c r="U17"/>
  <c r="J26"/>
  <c r="AG25"/>
  <c r="M25" s="1"/>
  <c r="Y26"/>
  <c r="E26" s="1"/>
  <c r="AO26"/>
  <c r="U26" s="1"/>
  <c r="D16"/>
  <c r="H16"/>
  <c r="L16"/>
  <c r="P16"/>
  <c r="T16"/>
  <c r="D17"/>
  <c r="H17"/>
  <c r="L17"/>
  <c r="P17"/>
  <c r="T17"/>
  <c r="D22" l="1"/>
  <c r="T22"/>
  <c r="T111" i="18"/>
  <c r="X111"/>
  <c r="D23" i="17"/>
  <c r="V23"/>
  <c r="R23"/>
  <c r="V25"/>
  <c r="J19"/>
  <c r="T23"/>
  <c r="E24"/>
  <c r="H22"/>
  <c r="L24"/>
  <c r="U24"/>
  <c r="H23"/>
  <c r="T24"/>
  <c r="R26"/>
  <c r="R25"/>
  <c r="N26"/>
  <c r="F23"/>
  <c r="H24"/>
  <c r="J25"/>
  <c r="L23"/>
  <c r="J21"/>
  <c r="L22"/>
  <c r="V26"/>
  <c r="F26"/>
  <c r="J23"/>
  <c r="P24"/>
  <c r="N25"/>
  <c r="P23"/>
  <c r="R20"/>
  <c r="P22"/>
  <c r="D24"/>
  <c r="L111" i="18" l="1"/>
  <c r="Q111"/>
  <c r="I111"/>
  <c r="N111"/>
  <c r="K111"/>
  <c r="M111"/>
  <c r="O111"/>
  <c r="V111"/>
  <c r="E111"/>
  <c r="E112" s="1"/>
  <c r="S111"/>
  <c r="F111"/>
  <c r="J111"/>
  <c r="W111"/>
  <c r="U111"/>
  <c r="R111"/>
  <c r="P111"/>
  <c r="H111"/>
  <c r="G111"/>
  <c r="A27" i="17"/>
  <c r="F112" i="18" l="1"/>
  <c r="G112" s="1"/>
  <c r="H112" s="1"/>
  <c r="I112" s="1"/>
  <c r="J112" s="1"/>
  <c r="K112" s="1"/>
  <c r="L112" s="1"/>
  <c r="M112" s="1"/>
  <c r="N112" s="1"/>
  <c r="O112" s="1"/>
  <c r="P112" s="1"/>
  <c r="Q112" s="1"/>
  <c r="R112" s="1"/>
  <c r="S112" s="1"/>
  <c r="T112" s="1"/>
  <c r="U112" s="1"/>
  <c r="V112" s="1"/>
  <c r="W112" s="1"/>
  <c r="X112" s="1"/>
  <c r="L6" i="13" l="1"/>
  <c r="L7"/>
  <c r="L5"/>
  <c r="N4"/>
  <c r="E13"/>
  <c r="D13"/>
  <c r="C13"/>
  <c r="C19" i="11" l="1"/>
  <c r="D19"/>
  <c r="E19"/>
  <c r="B19"/>
  <c r="F19"/>
  <c r="A2" s="1"/>
  <c r="F14"/>
  <c r="F15"/>
  <c r="F16"/>
  <c r="F17"/>
  <c r="F18"/>
  <c r="F13"/>
  <c r="D13" i="14" l="1"/>
  <c r="BA18" i="9" l="1"/>
  <c r="E10" i="13" l="1"/>
  <c r="E7"/>
  <c r="E6"/>
  <c r="E5"/>
  <c r="AJ22" i="9"/>
  <c r="AJ15"/>
  <c r="AV147"/>
  <c r="AU147"/>
  <c r="AI22"/>
  <c r="AI20"/>
  <c r="AI15"/>
  <c r="L142"/>
  <c r="L141"/>
  <c r="L140"/>
  <c r="L139"/>
  <c r="L138"/>
  <c r="L137"/>
  <c r="L136"/>
  <c r="L135"/>
  <c r="L134"/>
  <c r="L133"/>
  <c r="L132"/>
  <c r="L131"/>
  <c r="L130"/>
  <c r="L129"/>
  <c r="L128"/>
  <c r="L127"/>
  <c r="L126"/>
  <c r="L125"/>
  <c r="L124"/>
  <c r="L123"/>
  <c r="L121"/>
  <c r="L120"/>
  <c r="L119"/>
  <c r="L118"/>
  <c r="L117"/>
  <c r="L115"/>
  <c r="L114"/>
  <c r="L113"/>
  <c r="L112"/>
  <c r="L110"/>
  <c r="L109"/>
  <c r="L108"/>
  <c r="L107"/>
  <c r="L106"/>
  <c r="L105"/>
  <c r="L104"/>
  <c r="L103"/>
  <c r="L102"/>
  <c r="L101"/>
  <c r="L100"/>
  <c r="L99"/>
  <c r="L98"/>
  <c r="L97"/>
  <c r="L96"/>
  <c r="L95"/>
  <c r="L94"/>
  <c r="L93"/>
  <c r="L92"/>
  <c r="L91"/>
  <c r="L90"/>
  <c r="L89"/>
  <c r="L88"/>
  <c r="L87"/>
  <c r="L86"/>
  <c r="L85"/>
  <c r="L84"/>
  <c r="L83"/>
  <c r="L82"/>
  <c r="L81"/>
  <c r="L80"/>
  <c r="L79"/>
  <c r="L78"/>
  <c r="L77"/>
  <c r="L76"/>
  <c r="L75"/>
  <c r="L74"/>
  <c r="L73"/>
  <c r="L72"/>
  <c r="L71"/>
  <c r="L70"/>
  <c r="L69"/>
  <c r="L68"/>
  <c r="L67"/>
  <c r="L66"/>
  <c r="L64"/>
  <c r="L63"/>
  <c r="L62"/>
  <c r="L61"/>
  <c r="L60"/>
  <c r="L59"/>
  <c r="L58"/>
  <c r="L57"/>
  <c r="L56"/>
  <c r="L55"/>
  <c r="L53"/>
  <c r="L52"/>
  <c r="L51"/>
  <c r="L50"/>
  <c r="L49"/>
  <c r="L48"/>
  <c r="L47"/>
  <c r="L46"/>
  <c r="L45"/>
  <c r="L44"/>
  <c r="L43"/>
  <c r="L42"/>
  <c r="L41"/>
  <c r="L40"/>
  <c r="L39"/>
  <c r="L38"/>
  <c r="L37"/>
  <c r="L36"/>
  <c r="L35"/>
  <c r="L34"/>
  <c r="L33"/>
  <c r="L32"/>
  <c r="L31"/>
  <c r="L30"/>
  <c r="L29"/>
  <c r="L28"/>
  <c r="L27"/>
  <c r="L26"/>
  <c r="L25"/>
  <c r="L24"/>
  <c r="L23"/>
  <c r="L22"/>
  <c r="L21"/>
  <c r="L20"/>
  <c r="L18"/>
  <c r="L17"/>
  <c r="L16"/>
  <c r="L19"/>
  <c r="L15"/>
  <c r="L14"/>
  <c r="L13"/>
  <c r="J142"/>
  <c r="J141"/>
  <c r="J140"/>
  <c r="J139"/>
  <c r="J138"/>
  <c r="J137"/>
  <c r="J136"/>
  <c r="J135"/>
  <c r="J134"/>
  <c r="J133"/>
  <c r="J132"/>
  <c r="J131"/>
  <c r="J130"/>
  <c r="J129"/>
  <c r="J128"/>
  <c r="J127"/>
  <c r="J126"/>
  <c r="J125"/>
  <c r="J124"/>
  <c r="J123"/>
  <c r="J121"/>
  <c r="J120"/>
  <c r="J119"/>
  <c r="J118"/>
  <c r="J117"/>
  <c r="J115"/>
  <c r="J114"/>
  <c r="J113"/>
  <c r="J112"/>
  <c r="J110"/>
  <c r="J109"/>
  <c r="J108"/>
  <c r="J107"/>
  <c r="J106"/>
  <c r="J105"/>
  <c r="J104"/>
  <c r="J103"/>
  <c r="J102"/>
  <c r="J101"/>
  <c r="J100"/>
  <c r="J99"/>
  <c r="J98"/>
  <c r="J97"/>
  <c r="J96"/>
  <c r="J95"/>
  <c r="J94"/>
  <c r="J93"/>
  <c r="J92"/>
  <c r="J91"/>
  <c r="J90"/>
  <c r="J89"/>
  <c r="J88"/>
  <c r="J87"/>
  <c r="J86"/>
  <c r="J85"/>
  <c r="J84"/>
  <c r="J83"/>
  <c r="J82"/>
  <c r="J81"/>
  <c r="J80"/>
  <c r="J79"/>
  <c r="J78"/>
  <c r="J77"/>
  <c r="J76"/>
  <c r="J75"/>
  <c r="J74"/>
  <c r="J73"/>
  <c r="J72"/>
  <c r="J71"/>
  <c r="J70"/>
  <c r="J69"/>
  <c r="J68"/>
  <c r="J67"/>
  <c r="J66"/>
  <c r="J64"/>
  <c r="J63"/>
  <c r="J62"/>
  <c r="J61"/>
  <c r="J60"/>
  <c r="J59"/>
  <c r="J58"/>
  <c r="J57"/>
  <c r="J56"/>
  <c r="J55"/>
  <c r="J53"/>
  <c r="J52"/>
  <c r="J51"/>
  <c r="J50"/>
  <c r="J49"/>
  <c r="J48"/>
  <c r="J47"/>
  <c r="J46"/>
  <c r="J45"/>
  <c r="J44"/>
  <c r="J43"/>
  <c r="J42"/>
  <c r="J41"/>
  <c r="J40"/>
  <c r="J39"/>
  <c r="J38"/>
  <c r="J37"/>
  <c r="J36"/>
  <c r="J35"/>
  <c r="J34"/>
  <c r="J33"/>
  <c r="J32"/>
  <c r="J31"/>
  <c r="J30"/>
  <c r="J29"/>
  <c r="J28"/>
  <c r="J27"/>
  <c r="J26"/>
  <c r="J25"/>
  <c r="J24"/>
  <c r="J23"/>
  <c r="J22"/>
  <c r="J21"/>
  <c r="J20"/>
  <c r="J19"/>
  <c r="J18"/>
  <c r="J17"/>
  <c r="J16"/>
  <c r="J15"/>
  <c r="J14"/>
  <c r="J13"/>
  <c r="L9"/>
  <c r="L111" l="1"/>
  <c r="L65"/>
  <c r="L54"/>
  <c r="L122"/>
  <c r="L116"/>
  <c r="U19"/>
  <c r="U16"/>
  <c r="U15"/>
  <c r="U14"/>
  <c r="U13"/>
  <c r="R19"/>
  <c r="R16"/>
  <c r="R15"/>
  <c r="R14"/>
  <c r="R13"/>
  <c r="U142"/>
  <c r="U141"/>
  <c r="U140"/>
  <c r="U139"/>
  <c r="U138"/>
  <c r="U137"/>
  <c r="U136"/>
  <c r="U135"/>
  <c r="U134"/>
  <c r="U133"/>
  <c r="U132"/>
  <c r="U131"/>
  <c r="U130"/>
  <c r="U129"/>
  <c r="U128"/>
  <c r="U127"/>
  <c r="U126"/>
  <c r="U125"/>
  <c r="U124"/>
  <c r="U123"/>
  <c r="U121"/>
  <c r="U120"/>
  <c r="U119"/>
  <c r="U118"/>
  <c r="U117"/>
  <c r="U115"/>
  <c r="U114"/>
  <c r="U113"/>
  <c r="U112"/>
  <c r="U110"/>
  <c r="U109"/>
  <c r="U108"/>
  <c r="U107"/>
  <c r="U106"/>
  <c r="U105"/>
  <c r="U104"/>
  <c r="U103"/>
  <c r="U102"/>
  <c r="U101"/>
  <c r="U100"/>
  <c r="U99"/>
  <c r="U98"/>
  <c r="U97"/>
  <c r="U96"/>
  <c r="U95"/>
  <c r="U94"/>
  <c r="U93"/>
  <c r="U92"/>
  <c r="U91"/>
  <c r="U90"/>
  <c r="U89"/>
  <c r="U88"/>
  <c r="U87"/>
  <c r="U86"/>
  <c r="U85"/>
  <c r="U84"/>
  <c r="U83"/>
  <c r="U82"/>
  <c r="U81"/>
  <c r="U80"/>
  <c r="U79"/>
  <c r="U78"/>
  <c r="U77"/>
  <c r="U76"/>
  <c r="U75"/>
  <c r="U74"/>
  <c r="U73"/>
  <c r="U72"/>
  <c r="U71"/>
  <c r="U70"/>
  <c r="U69"/>
  <c r="U68"/>
  <c r="U67"/>
  <c r="U66"/>
  <c r="U64"/>
  <c r="U63"/>
  <c r="U62"/>
  <c r="U61"/>
  <c r="U60"/>
  <c r="U59"/>
  <c r="U58"/>
  <c r="U57"/>
  <c r="U56"/>
  <c r="U55"/>
  <c r="U53"/>
  <c r="U52"/>
  <c r="U51"/>
  <c r="U50"/>
  <c r="U49"/>
  <c r="U48"/>
  <c r="U47"/>
  <c r="U46"/>
  <c r="U45"/>
  <c r="U44"/>
  <c r="U43"/>
  <c r="U42"/>
  <c r="U41"/>
  <c r="U40"/>
  <c r="U39"/>
  <c r="U38"/>
  <c r="U37"/>
  <c r="U36"/>
  <c r="U35"/>
  <c r="U34"/>
  <c r="U33"/>
  <c r="U32"/>
  <c r="U31"/>
  <c r="U30"/>
  <c r="U29"/>
  <c r="U28"/>
  <c r="U27"/>
  <c r="U26"/>
  <c r="U25"/>
  <c r="U24"/>
  <c r="U23"/>
  <c r="U22"/>
  <c r="U21"/>
  <c r="U20"/>
  <c r="U18"/>
  <c r="U17"/>
  <c r="R142"/>
  <c r="R141"/>
  <c r="R140"/>
  <c r="R139"/>
  <c r="R138"/>
  <c r="R137"/>
  <c r="R136"/>
  <c r="R135"/>
  <c r="R134"/>
  <c r="R133"/>
  <c r="R132"/>
  <c r="R131"/>
  <c r="R130"/>
  <c r="R129"/>
  <c r="R128"/>
  <c r="R127"/>
  <c r="R126"/>
  <c r="R125"/>
  <c r="R124"/>
  <c r="R123"/>
  <c r="R121"/>
  <c r="R120"/>
  <c r="R119"/>
  <c r="R118"/>
  <c r="R117"/>
  <c r="R115"/>
  <c r="R114"/>
  <c r="R113"/>
  <c r="R112"/>
  <c r="R110"/>
  <c r="R109"/>
  <c r="R108"/>
  <c r="R107"/>
  <c r="R106"/>
  <c r="R105"/>
  <c r="R104"/>
  <c r="R103"/>
  <c r="R102"/>
  <c r="R101"/>
  <c r="R100"/>
  <c r="R99"/>
  <c r="R98"/>
  <c r="R97"/>
  <c r="R96"/>
  <c r="R95"/>
  <c r="R94"/>
  <c r="R93"/>
  <c r="R92"/>
  <c r="R91"/>
  <c r="R90"/>
  <c r="R89"/>
  <c r="R88"/>
  <c r="R87"/>
  <c r="R86"/>
  <c r="R85"/>
  <c r="R84"/>
  <c r="R83"/>
  <c r="R82"/>
  <c r="R81"/>
  <c r="R80"/>
  <c r="R79"/>
  <c r="R78"/>
  <c r="R77"/>
  <c r="R76"/>
  <c r="R75"/>
  <c r="R74"/>
  <c r="R73"/>
  <c r="R72"/>
  <c r="R71"/>
  <c r="R70"/>
  <c r="R69"/>
  <c r="R67"/>
  <c r="R66"/>
  <c r="R64"/>
  <c r="R63"/>
  <c r="R62"/>
  <c r="R61"/>
  <c r="R60"/>
  <c r="R59"/>
  <c r="R58"/>
  <c r="R57"/>
  <c r="R56"/>
  <c r="R55"/>
  <c r="R53"/>
  <c r="R52"/>
  <c r="R51"/>
  <c r="R50"/>
  <c r="R49"/>
  <c r="R48"/>
  <c r="R47"/>
  <c r="R46"/>
  <c r="R45"/>
  <c r="R44"/>
  <c r="R43"/>
  <c r="R42"/>
  <c r="R41"/>
  <c r="R40"/>
  <c r="R39"/>
  <c r="R38"/>
  <c r="R37"/>
  <c r="R36"/>
  <c r="R35"/>
  <c r="R34"/>
  <c r="R33"/>
  <c r="R32"/>
  <c r="R31"/>
  <c r="R30"/>
  <c r="R29"/>
  <c r="R28"/>
  <c r="R27"/>
  <c r="R26"/>
  <c r="R25"/>
  <c r="R24"/>
  <c r="R23"/>
  <c r="R22"/>
  <c r="R21"/>
  <c r="R20"/>
  <c r="R18"/>
  <c r="R17"/>
  <c r="H142"/>
  <c r="H141"/>
  <c r="H140"/>
  <c r="H139"/>
  <c r="H138"/>
  <c r="H137"/>
  <c r="H136"/>
  <c r="H135"/>
  <c r="H134"/>
  <c r="H133"/>
  <c r="H132"/>
  <c r="H131"/>
  <c r="H130"/>
  <c r="H129"/>
  <c r="H128"/>
  <c r="H127"/>
  <c r="H126"/>
  <c r="H125"/>
  <c r="H124"/>
  <c r="H123"/>
  <c r="H121"/>
  <c r="H120"/>
  <c r="H119"/>
  <c r="H118"/>
  <c r="H117"/>
  <c r="H115"/>
  <c r="H114"/>
  <c r="H113"/>
  <c r="H112"/>
  <c r="H110"/>
  <c r="H109"/>
  <c r="H108"/>
  <c r="H107"/>
  <c r="H106"/>
  <c r="H105"/>
  <c r="H104"/>
  <c r="H103"/>
  <c r="H102"/>
  <c r="H101"/>
  <c r="H100"/>
  <c r="H99"/>
  <c r="H98"/>
  <c r="H97"/>
  <c r="H96"/>
  <c r="H95"/>
  <c r="H94"/>
  <c r="H93"/>
  <c r="H92"/>
  <c r="H91"/>
  <c r="H90"/>
  <c r="H89"/>
  <c r="H88"/>
  <c r="H87"/>
  <c r="H86"/>
  <c r="H85"/>
  <c r="H84"/>
  <c r="H83"/>
  <c r="H82"/>
  <c r="H81"/>
  <c r="H80"/>
  <c r="H79"/>
  <c r="H78"/>
  <c r="H77"/>
  <c r="H76"/>
  <c r="H75"/>
  <c r="H74"/>
  <c r="H73"/>
  <c r="H72"/>
  <c r="H71"/>
  <c r="H70"/>
  <c r="H69"/>
  <c r="H68"/>
  <c r="H67"/>
  <c r="H66"/>
  <c r="H64"/>
  <c r="H63"/>
  <c r="H62"/>
  <c r="H61"/>
  <c r="H60"/>
  <c r="H59"/>
  <c r="H58"/>
  <c r="H57"/>
  <c r="H56"/>
  <c r="H55"/>
  <c r="H53"/>
  <c r="H52"/>
  <c r="H51"/>
  <c r="H50"/>
  <c r="H49"/>
  <c r="H48"/>
  <c r="H47"/>
  <c r="H46"/>
  <c r="H45"/>
  <c r="H44"/>
  <c r="H43"/>
  <c r="H42"/>
  <c r="H41"/>
  <c r="H40"/>
  <c r="H39"/>
  <c r="H38"/>
  <c r="H37"/>
  <c r="H36"/>
  <c r="H35"/>
  <c r="H34"/>
  <c r="H33"/>
  <c r="H32"/>
  <c r="H31"/>
  <c r="H30"/>
  <c r="H29"/>
  <c r="H28"/>
  <c r="H27"/>
  <c r="H26"/>
  <c r="H25"/>
  <c r="H24"/>
  <c r="H23"/>
  <c r="H22"/>
  <c r="H21"/>
  <c r="H20"/>
  <c r="H19"/>
  <c r="H18"/>
  <c r="H17"/>
  <c r="H16"/>
  <c r="H15"/>
  <c r="H14"/>
  <c r="H13"/>
  <c r="J9"/>
  <c r="R9"/>
  <c r="U9"/>
  <c r="H9"/>
  <c r="AA196" i="13"/>
  <c r="AA150"/>
  <c r="AA116"/>
  <c r="AA94"/>
  <c r="AA54"/>
  <c r="AA44"/>
  <c r="Z22" a="1"/>
  <c r="Z22" s="1"/>
  <c r="AA22" s="1"/>
  <c r="Z23" a="1"/>
  <c r="Z23" s="1"/>
  <c r="AA23" s="1"/>
  <c r="Z24" a="1"/>
  <c r="Z24" s="1"/>
  <c r="AA24" s="1"/>
  <c r="Z25" a="1"/>
  <c r="Z25" s="1"/>
  <c r="AA25" s="1"/>
  <c r="Z26" a="1"/>
  <c r="Z26" s="1"/>
  <c r="AA26" s="1"/>
  <c r="Z27" a="1"/>
  <c r="Z27" s="1"/>
  <c r="AA27" s="1"/>
  <c r="Z28" a="1"/>
  <c r="Z28" s="1"/>
  <c r="AA28" s="1"/>
  <c r="Z29" a="1"/>
  <c r="Z29" s="1"/>
  <c r="AA29" s="1"/>
  <c r="Z30" a="1"/>
  <c r="Z30" s="1"/>
  <c r="AA30" s="1"/>
  <c r="Z31" a="1"/>
  <c r="Z31" s="1"/>
  <c r="AA31" s="1"/>
  <c r="Z32" a="1"/>
  <c r="Z32" s="1"/>
  <c r="AA32" s="1"/>
  <c r="Z33" a="1"/>
  <c r="Z33" s="1"/>
  <c r="AA33" s="1"/>
  <c r="Z34" a="1"/>
  <c r="Z34" s="1"/>
  <c r="AA34" s="1"/>
  <c r="Z35" a="1"/>
  <c r="Z35" s="1"/>
  <c r="AA35" s="1"/>
  <c r="Z36" a="1"/>
  <c r="Z36" s="1"/>
  <c r="AA36" s="1"/>
  <c r="Z37" a="1"/>
  <c r="Z37" s="1"/>
  <c r="AA37" s="1"/>
  <c r="Z38" a="1"/>
  <c r="Z38" s="1"/>
  <c r="AA38" s="1"/>
  <c r="Z39" a="1"/>
  <c r="Z39" s="1"/>
  <c r="AA39" s="1"/>
  <c r="Z40" a="1"/>
  <c r="Z40" s="1"/>
  <c r="AA40" s="1"/>
  <c r="Z41" a="1"/>
  <c r="Z41" s="1"/>
  <c r="AA41" s="1"/>
  <c r="Z42" a="1"/>
  <c r="Z42" s="1"/>
  <c r="AA42" s="1"/>
  <c r="Z43" a="1"/>
  <c r="Z43" s="1"/>
  <c r="AA43" s="1"/>
  <c r="Z44" a="1"/>
  <c r="Z44" s="1"/>
  <c r="Z45" a="1"/>
  <c r="Z45"/>
  <c r="AA45" s="1"/>
  <c r="Z46" a="1"/>
  <c r="Z46" s="1"/>
  <c r="AA46" s="1"/>
  <c r="Z47" a="1"/>
  <c r="Z47" s="1"/>
  <c r="AA47" s="1"/>
  <c r="Z48" a="1"/>
  <c r="Z48" s="1"/>
  <c r="AA48" s="1"/>
  <c r="Z49" a="1"/>
  <c r="Z49" s="1"/>
  <c r="AA49" s="1"/>
  <c r="Z50" a="1"/>
  <c r="Z50" s="1"/>
  <c r="AA50" s="1"/>
  <c r="Z51" a="1"/>
  <c r="Z51" s="1"/>
  <c r="AA51" s="1"/>
  <c r="Z52" a="1"/>
  <c r="Z52" s="1"/>
  <c r="AA52" s="1"/>
  <c r="Z53" a="1"/>
  <c r="Z53" s="1"/>
  <c r="AA53" s="1"/>
  <c r="Z54" a="1"/>
  <c r="Z54" s="1"/>
  <c r="Z55" a="1"/>
  <c r="Z55" s="1"/>
  <c r="AA55" s="1"/>
  <c r="Z56" a="1"/>
  <c r="Z56" s="1"/>
  <c r="AA56" s="1"/>
  <c r="Z57" a="1"/>
  <c r="Z57" s="1"/>
  <c r="AA57" s="1"/>
  <c r="Z58" a="1"/>
  <c r="Z58" s="1"/>
  <c r="AA58" s="1"/>
  <c r="Z59" a="1"/>
  <c r="Z59" s="1"/>
  <c r="AA59" s="1"/>
  <c r="Z60" a="1"/>
  <c r="Z60" s="1"/>
  <c r="AA60" s="1"/>
  <c r="Z61" a="1"/>
  <c r="Z61" s="1"/>
  <c r="AA61" s="1"/>
  <c r="Z62" a="1"/>
  <c r="Z62" s="1"/>
  <c r="AA62" s="1"/>
  <c r="Z63" a="1"/>
  <c r="Z63" s="1"/>
  <c r="AA63" s="1"/>
  <c r="Z64" a="1"/>
  <c r="Z64" s="1"/>
  <c r="AA64" s="1"/>
  <c r="Z65" a="1"/>
  <c r="Z65" s="1"/>
  <c r="AA65" s="1"/>
  <c r="Z66" a="1"/>
  <c r="Z66" s="1"/>
  <c r="AA66" s="1"/>
  <c r="Z67" a="1"/>
  <c r="Z67" s="1"/>
  <c r="AA67" s="1"/>
  <c r="Z68" a="1"/>
  <c r="Z68" s="1"/>
  <c r="AA68" s="1"/>
  <c r="Z69" a="1"/>
  <c r="Z69" s="1"/>
  <c r="AA69" s="1"/>
  <c r="Z70" a="1"/>
  <c r="Z70" s="1"/>
  <c r="AA70" s="1"/>
  <c r="Z71" a="1"/>
  <c r="Z71" s="1"/>
  <c r="AA71" s="1"/>
  <c r="Z72" a="1"/>
  <c r="Z72" s="1"/>
  <c r="AA72" s="1"/>
  <c r="Z73" a="1"/>
  <c r="Z73" s="1"/>
  <c r="AA73" s="1"/>
  <c r="Z74" a="1"/>
  <c r="Z74" s="1"/>
  <c r="AA74" s="1"/>
  <c r="Z75" a="1"/>
  <c r="Z75" s="1"/>
  <c r="AA75" s="1"/>
  <c r="Z76" a="1"/>
  <c r="Z76" s="1"/>
  <c r="AA76" s="1"/>
  <c r="Z77" a="1"/>
  <c r="Z77"/>
  <c r="AA77" s="1"/>
  <c r="Z78" a="1"/>
  <c r="Z78" s="1"/>
  <c r="AA78" s="1"/>
  <c r="Z79" a="1"/>
  <c r="Z79" s="1"/>
  <c r="AA79" s="1"/>
  <c r="Z80" a="1"/>
  <c r="Z80" s="1"/>
  <c r="AA80" s="1"/>
  <c r="Z81" a="1"/>
  <c r="Z81" s="1"/>
  <c r="AA81" s="1"/>
  <c r="Z82" a="1"/>
  <c r="Z82" s="1"/>
  <c r="AA82" s="1"/>
  <c r="Z83" a="1"/>
  <c r="Z83" s="1"/>
  <c r="AA83" s="1"/>
  <c r="Z84" a="1"/>
  <c r="Z84" s="1"/>
  <c r="AA84" s="1"/>
  <c r="Z85" a="1"/>
  <c r="Z85"/>
  <c r="AA85" s="1"/>
  <c r="Z86" a="1"/>
  <c r="Z86" s="1"/>
  <c r="AA86" s="1"/>
  <c r="Z87" a="1"/>
  <c r="Z87" s="1"/>
  <c r="AA87" s="1"/>
  <c r="Z88" a="1"/>
  <c r="Z88" s="1"/>
  <c r="AA88" s="1"/>
  <c r="Z89" a="1"/>
  <c r="Z89" s="1"/>
  <c r="AA89" s="1"/>
  <c r="Z90" a="1"/>
  <c r="Z90" s="1"/>
  <c r="AA90" s="1"/>
  <c r="Z91" a="1"/>
  <c r="Z91" s="1"/>
  <c r="AA91" s="1"/>
  <c r="Z92" a="1"/>
  <c r="Z92" s="1"/>
  <c r="AA92" s="1"/>
  <c r="Z93" a="1"/>
  <c r="Z93" s="1"/>
  <c r="AA93" s="1"/>
  <c r="Z94" a="1"/>
  <c r="Z94" s="1"/>
  <c r="Z95" a="1"/>
  <c r="Z95" s="1"/>
  <c r="AA95" s="1"/>
  <c r="Z96" a="1"/>
  <c r="Z96" s="1"/>
  <c r="AA96" s="1"/>
  <c r="Z97" a="1"/>
  <c r="Z97" s="1"/>
  <c r="AA97" s="1"/>
  <c r="Z98" a="1"/>
  <c r="Z98" s="1"/>
  <c r="AA98" s="1"/>
  <c r="Z99" a="1"/>
  <c r="Z99" s="1"/>
  <c r="AA99" s="1"/>
  <c r="Z100" a="1"/>
  <c r="Z100" s="1"/>
  <c r="AA100" s="1"/>
  <c r="Z101" a="1"/>
  <c r="Z101" s="1"/>
  <c r="AA101" s="1"/>
  <c r="Z102" a="1"/>
  <c r="Z102" s="1"/>
  <c r="AA102" s="1"/>
  <c r="Z103" a="1"/>
  <c r="Z103" s="1"/>
  <c r="AA103" s="1"/>
  <c r="Z104" a="1"/>
  <c r="Z104" s="1"/>
  <c r="AA104" s="1"/>
  <c r="Z105" a="1"/>
  <c r="Z105" s="1"/>
  <c r="AA105" s="1"/>
  <c r="Z106" a="1"/>
  <c r="Z106" s="1"/>
  <c r="AA106" s="1"/>
  <c r="Z107" a="1"/>
  <c r="Z107" s="1"/>
  <c r="AA107" s="1"/>
  <c r="Z108" a="1"/>
  <c r="Z108" s="1"/>
  <c r="AA108" s="1"/>
  <c r="Z109" a="1"/>
  <c r="Z109" s="1"/>
  <c r="AA109" s="1"/>
  <c r="Z110" a="1"/>
  <c r="Z110" s="1"/>
  <c r="AA110" s="1"/>
  <c r="Z111" a="1"/>
  <c r="Z111" s="1"/>
  <c r="AA111" s="1"/>
  <c r="Z112" a="1"/>
  <c r="Z112" s="1"/>
  <c r="AA112" s="1"/>
  <c r="Z113" a="1"/>
  <c r="Z113" s="1"/>
  <c r="AA113" s="1"/>
  <c r="Z114" a="1"/>
  <c r="Z114" s="1"/>
  <c r="AA114" s="1"/>
  <c r="Z115" a="1"/>
  <c r="Z115" s="1"/>
  <c r="AA115" s="1"/>
  <c r="Z116" a="1"/>
  <c r="Z116" s="1"/>
  <c r="Z117" a="1"/>
  <c r="Z117"/>
  <c r="AA117" s="1"/>
  <c r="Z118" a="1"/>
  <c r="Z118" s="1"/>
  <c r="AA118" s="1"/>
  <c r="Z119" a="1"/>
  <c r="Z119" s="1"/>
  <c r="AA119" s="1"/>
  <c r="Z120" a="1"/>
  <c r="Z120" s="1"/>
  <c r="AA120" s="1"/>
  <c r="Z121" a="1"/>
  <c r="Z121" s="1"/>
  <c r="AA121" s="1"/>
  <c r="Z122" a="1"/>
  <c r="Z122" s="1"/>
  <c r="AA122" s="1"/>
  <c r="Z123" a="1"/>
  <c r="Z123" s="1"/>
  <c r="AA123" s="1"/>
  <c r="Z124" a="1"/>
  <c r="Z124" s="1"/>
  <c r="AA124" s="1"/>
  <c r="Z125" a="1"/>
  <c r="Z125" s="1"/>
  <c r="AA125" s="1"/>
  <c r="Z126" a="1"/>
  <c r="Z126" s="1"/>
  <c r="AA126" s="1"/>
  <c r="Z127" a="1"/>
  <c r="Z127" s="1"/>
  <c r="AA127" s="1"/>
  <c r="Z128" a="1"/>
  <c r="Z128" s="1"/>
  <c r="AA128" s="1"/>
  <c r="Z129" a="1"/>
  <c r="Z129" s="1"/>
  <c r="AA129" s="1"/>
  <c r="Z130" a="1"/>
  <c r="Z130" s="1"/>
  <c r="AA130" s="1"/>
  <c r="Z131" a="1"/>
  <c r="Z131" s="1"/>
  <c r="AA131" s="1"/>
  <c r="Z132" a="1"/>
  <c r="Z132" s="1"/>
  <c r="AA132" s="1"/>
  <c r="Z133" a="1"/>
  <c r="Z133"/>
  <c r="AA133" s="1"/>
  <c r="Z134" a="1"/>
  <c r="Z134" s="1"/>
  <c r="AA134" s="1"/>
  <c r="Z135" a="1"/>
  <c r="Z135" s="1"/>
  <c r="AA135" s="1"/>
  <c r="Z136" a="1"/>
  <c r="Z136" s="1"/>
  <c r="AA136" s="1"/>
  <c r="Z137" a="1"/>
  <c r="Z137" s="1"/>
  <c r="AA137" s="1"/>
  <c r="Z138" a="1"/>
  <c r="Z138" s="1"/>
  <c r="AA138" s="1"/>
  <c r="Z139" a="1"/>
  <c r="Z139" s="1"/>
  <c r="AA139" s="1"/>
  <c r="Z140" a="1"/>
  <c r="Z140" s="1"/>
  <c r="AA140" s="1"/>
  <c r="Z141" a="1"/>
  <c r="Z141" s="1"/>
  <c r="AA141" s="1"/>
  <c r="Z142" a="1"/>
  <c r="Z142" s="1"/>
  <c r="AA142" s="1"/>
  <c r="Z143" a="1"/>
  <c r="Z143" s="1"/>
  <c r="AA143" s="1"/>
  <c r="Z144" a="1"/>
  <c r="Z144" s="1"/>
  <c r="AA144" s="1"/>
  <c r="Z145" a="1"/>
  <c r="Z145" s="1"/>
  <c r="AA145" s="1"/>
  <c r="Z146" a="1"/>
  <c r="Z146" s="1"/>
  <c r="AA146" s="1"/>
  <c r="Z147" a="1"/>
  <c r="Z147" s="1"/>
  <c r="AA147" s="1"/>
  <c r="Z148" a="1"/>
  <c r="Z148" s="1"/>
  <c r="AA148" s="1"/>
  <c r="Z149" a="1"/>
  <c r="Z149" s="1"/>
  <c r="AA149" s="1"/>
  <c r="Z150" a="1"/>
  <c r="Z150" s="1"/>
  <c r="Z151" a="1"/>
  <c r="Z151" s="1"/>
  <c r="AA151" s="1"/>
  <c r="Z152" a="1"/>
  <c r="Z152" s="1"/>
  <c r="AA152" s="1"/>
  <c r="Z153" a="1"/>
  <c r="Z153" s="1"/>
  <c r="AA153" s="1"/>
  <c r="Z154" a="1"/>
  <c r="Z154" s="1"/>
  <c r="AA154" s="1"/>
  <c r="Z155" a="1"/>
  <c r="Z155" s="1"/>
  <c r="AA155" s="1"/>
  <c r="Z156" a="1"/>
  <c r="Z156" s="1"/>
  <c r="AA156" s="1"/>
  <c r="Z157" a="1"/>
  <c r="Z157" s="1"/>
  <c r="AA157" s="1"/>
  <c r="Z158" a="1"/>
  <c r="Z158" s="1"/>
  <c r="AA158" s="1"/>
  <c r="Z159" a="1"/>
  <c r="Z159" s="1"/>
  <c r="AA159" s="1"/>
  <c r="Z160" a="1"/>
  <c r="Z160" s="1"/>
  <c r="AA160" s="1"/>
  <c r="Z161" a="1"/>
  <c r="Z161" s="1"/>
  <c r="AA161" s="1"/>
  <c r="Z162" a="1"/>
  <c r="Z162" s="1"/>
  <c r="AA162" s="1"/>
  <c r="Z163" a="1"/>
  <c r="Z163" s="1"/>
  <c r="AA163" s="1"/>
  <c r="Z164" a="1"/>
  <c r="Z164" s="1"/>
  <c r="AA164" s="1"/>
  <c r="Z165" a="1"/>
  <c r="Z165" s="1"/>
  <c r="AA165" s="1"/>
  <c r="Z166" a="1"/>
  <c r="Z166" s="1"/>
  <c r="AA166" s="1"/>
  <c r="Z167" a="1"/>
  <c r="Z167" s="1"/>
  <c r="AA167" s="1"/>
  <c r="Z168" a="1"/>
  <c r="Z168" s="1"/>
  <c r="AA168" s="1"/>
  <c r="Z169" a="1"/>
  <c r="Z169" s="1"/>
  <c r="AA169" s="1"/>
  <c r="Z170" a="1"/>
  <c r="Z170" s="1"/>
  <c r="AA170" s="1"/>
  <c r="Z171" a="1"/>
  <c r="Z171" s="1"/>
  <c r="AA171" s="1"/>
  <c r="Z172" a="1"/>
  <c r="Z172" s="1"/>
  <c r="AA172" s="1"/>
  <c r="Z173" a="1"/>
  <c r="Z173"/>
  <c r="AA173" s="1"/>
  <c r="Z174" a="1"/>
  <c r="Z174" s="1"/>
  <c r="AA174" s="1"/>
  <c r="Z175" a="1"/>
  <c r="Z175" s="1"/>
  <c r="AA175" s="1"/>
  <c r="Z176" a="1"/>
  <c r="Z176" s="1"/>
  <c r="AA176" s="1"/>
  <c r="Z177" a="1"/>
  <c r="Z177" s="1"/>
  <c r="AA177" s="1"/>
  <c r="Z178" a="1"/>
  <c r="Z178" s="1"/>
  <c r="AA178" s="1"/>
  <c r="Z179" a="1"/>
  <c r="Z179" s="1"/>
  <c r="AA179" s="1"/>
  <c r="Z180" a="1"/>
  <c r="Z180" s="1"/>
  <c r="AA180" s="1"/>
  <c r="Z181" a="1"/>
  <c r="Z181"/>
  <c r="AA181" s="1"/>
  <c r="Z182" a="1"/>
  <c r="Z182" s="1"/>
  <c r="AA182" s="1"/>
  <c r="Z183" a="1"/>
  <c r="Z183" s="1"/>
  <c r="AA183" s="1"/>
  <c r="Z184" a="1"/>
  <c r="Z184" s="1"/>
  <c r="AA184" s="1"/>
  <c r="Z185" a="1"/>
  <c r="Z185" s="1"/>
  <c r="AA185" s="1"/>
  <c r="Z186" a="1"/>
  <c r="Z186" s="1"/>
  <c r="AA186" s="1"/>
  <c r="Z187" a="1"/>
  <c r="Z187" s="1"/>
  <c r="AA187" s="1"/>
  <c r="Z188" a="1"/>
  <c r="Z188" s="1"/>
  <c r="AA188" s="1"/>
  <c r="Z189" a="1"/>
  <c r="Z189" s="1"/>
  <c r="AA189" s="1"/>
  <c r="Z190" a="1"/>
  <c r="Z190" s="1"/>
  <c r="AA190" s="1"/>
  <c r="Z191" a="1"/>
  <c r="Z191" s="1"/>
  <c r="AA191" s="1"/>
  <c r="Z192" a="1"/>
  <c r="Z192" s="1"/>
  <c r="AA192" s="1"/>
  <c r="Z193" a="1"/>
  <c r="Z193" s="1"/>
  <c r="AA193" s="1"/>
  <c r="Z194" a="1"/>
  <c r="Z194" s="1"/>
  <c r="AA194" s="1"/>
  <c r="Z195" a="1"/>
  <c r="Z195" s="1"/>
  <c r="AA195" s="1"/>
  <c r="Z196" a="1"/>
  <c r="Z196" s="1"/>
  <c r="Z197" a="1"/>
  <c r="Z197" s="1"/>
  <c r="AA197" s="1"/>
  <c r="Z198" a="1"/>
  <c r="Z198" s="1"/>
  <c r="AA198" s="1"/>
  <c r="Z199" a="1"/>
  <c r="Z199" s="1"/>
  <c r="AA199" s="1"/>
  <c r="Z200" a="1"/>
  <c r="Z200" s="1"/>
  <c r="AA200" s="1"/>
  <c r="Z201" a="1"/>
  <c r="Z201" s="1"/>
  <c r="AA201" s="1"/>
  <c r="Z202" a="1"/>
  <c r="Z202" s="1"/>
  <c r="AA202" s="1"/>
  <c r="Z203" a="1"/>
  <c r="Z203" s="1"/>
  <c r="AA203" s="1"/>
  <c r="Z204" a="1"/>
  <c r="Z204" s="1"/>
  <c r="AA204" s="1"/>
  <c r="Z205" a="1"/>
  <c r="Z205" s="1"/>
  <c r="AA205" s="1"/>
  <c r="Z206" a="1"/>
  <c r="Z206" s="1"/>
  <c r="AA206" s="1"/>
  <c r="Z207" a="1"/>
  <c r="Z207" s="1"/>
  <c r="AA207" s="1"/>
  <c r="Z208" a="1"/>
  <c r="Z208" s="1"/>
  <c r="AA208" s="1"/>
  <c r="Z209" a="1"/>
  <c r="Z209" s="1"/>
  <c r="AA209" s="1"/>
  <c r="Z21" a="1"/>
  <c r="Z21" s="1"/>
  <c r="AA21" s="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A113"/>
  <c r="A114"/>
  <c r="A115"/>
  <c r="A116"/>
  <c r="A117"/>
  <c r="A118"/>
  <c r="A119"/>
  <c r="A120"/>
  <c r="A121"/>
  <c r="A122"/>
  <c r="A123"/>
  <c r="A124"/>
  <c r="A125"/>
  <c r="A126"/>
  <c r="A127"/>
  <c r="A128"/>
  <c r="A129"/>
  <c r="A130"/>
  <c r="A131"/>
  <c r="A132"/>
  <c r="A133"/>
  <c r="A134"/>
  <c r="A135"/>
  <c r="A136"/>
  <c r="A137"/>
  <c r="A138"/>
  <c r="A139"/>
  <c r="A140"/>
  <c r="A141"/>
  <c r="A142"/>
  <c r="A143"/>
  <c r="A144"/>
  <c r="A145"/>
  <c r="A146"/>
  <c r="A147"/>
  <c r="A148"/>
  <c r="A149"/>
  <c r="A150"/>
  <c r="A151"/>
  <c r="A152"/>
  <c r="A153"/>
  <c r="A154"/>
  <c r="A155"/>
  <c r="A156"/>
  <c r="A157"/>
  <c r="A158"/>
  <c r="A159"/>
  <c r="A160"/>
  <c r="A161"/>
  <c r="A162"/>
  <c r="A163"/>
  <c r="A164"/>
  <c r="A165"/>
  <c r="A166"/>
  <c r="A167"/>
  <c r="A168"/>
  <c r="A169"/>
  <c r="A170"/>
  <c r="A171"/>
  <c r="A172"/>
  <c r="A173"/>
  <c r="A174"/>
  <c r="A175"/>
  <c r="A176"/>
  <c r="A177"/>
  <c r="A178"/>
  <c r="A179"/>
  <c r="A180"/>
  <c r="A181"/>
  <c r="A182"/>
  <c r="A183"/>
  <c r="A184"/>
  <c r="A185"/>
  <c r="A186"/>
  <c r="A187"/>
  <c r="A188"/>
  <c r="A189"/>
  <c r="A190"/>
  <c r="A191"/>
  <c r="A192"/>
  <c r="A193"/>
  <c r="A194"/>
  <c r="A195"/>
  <c r="A196"/>
  <c r="A197"/>
  <c r="A198"/>
  <c r="A199"/>
  <c r="A200"/>
  <c r="A201"/>
  <c r="A202"/>
  <c r="A203"/>
  <c r="A204"/>
  <c r="A205"/>
  <c r="A206"/>
  <c r="A207"/>
  <c r="A208"/>
  <c r="A209"/>
  <c r="A21"/>
  <c r="D6"/>
  <c r="D7"/>
  <c r="D8"/>
  <c r="D9"/>
  <c r="D10"/>
  <c r="D5"/>
  <c r="R54" i="9" l="1"/>
  <c r="W19" i="13" l="1"/>
  <c r="V19"/>
  <c r="T19"/>
  <c r="R19"/>
  <c r="Q19"/>
  <c r="T148" i="9" s="1"/>
  <c r="O19" i="13"/>
  <c r="N19"/>
  <c r="Q148" i="9" s="1"/>
  <c r="L19" i="13"/>
  <c r="K19"/>
  <c r="A28" i="12"/>
  <c r="A27"/>
  <c r="AM7" i="9"/>
  <c r="AN7"/>
  <c r="AM8"/>
  <c r="AN8"/>
  <c r="B8" i="12"/>
  <c r="T149" i="9" l="1"/>
  <c r="K17" i="13"/>
  <c r="G148" i="9" s="1"/>
  <c r="G149" s="1"/>
  <c r="I148"/>
  <c r="D20" i="14" l="1"/>
  <c r="D16"/>
  <c r="I149" i="9"/>
  <c r="BK185"/>
  <c r="BJ185"/>
  <c r="BK184"/>
  <c r="BJ184"/>
  <c r="BK183"/>
  <c r="BJ183"/>
  <c r="BK182"/>
  <c r="BJ182"/>
  <c r="BK181"/>
  <c r="BJ181"/>
  <c r="BK180"/>
  <c r="BJ180"/>
  <c r="BK179"/>
  <c r="BJ179"/>
  <c r="BK178"/>
  <c r="BJ178"/>
  <c r="BK177"/>
  <c r="BJ177"/>
  <c r="BK176"/>
  <c r="BJ176"/>
  <c r="BK175"/>
  <c r="BJ175"/>
  <c r="BK174"/>
  <c r="BJ174"/>
  <c r="BK173"/>
  <c r="BJ173"/>
  <c r="BK172"/>
  <c r="BJ172"/>
  <c r="BK171"/>
  <c r="BJ171"/>
  <c r="BK170"/>
  <c r="BJ170"/>
  <c r="BI170"/>
  <c r="BH170"/>
  <c r="AG197"/>
  <c r="AG198" s="1"/>
  <c r="G114"/>
  <c r="T114" s="1"/>
  <c r="T31"/>
  <c r="G31"/>
  <c r="H111" s="1"/>
  <c r="G52"/>
  <c r="G54"/>
  <c r="G61"/>
  <c r="G67"/>
  <c r="G73"/>
  <c r="G76"/>
  <c r="G82"/>
  <c r="G85"/>
  <c r="G88"/>
  <c r="G95"/>
  <c r="G96"/>
  <c r="G98"/>
  <c r="G102"/>
  <c r="G112"/>
  <c r="G115"/>
  <c r="G116"/>
  <c r="G123"/>
  <c r="Q123" s="1"/>
  <c r="G127"/>
  <c r="Q127" s="1"/>
  <c r="G135"/>
  <c r="G136"/>
  <c r="G138"/>
  <c r="G141"/>
  <c r="Q16"/>
  <c r="Z16"/>
  <c r="F23" i="12" s="1"/>
  <c r="A31" s="1"/>
  <c r="AT7" i="9"/>
  <c r="Z17"/>
  <c r="AT8"/>
  <c r="Q18"/>
  <c r="Z18"/>
  <c r="AZ7"/>
  <c r="Q19"/>
  <c r="Q20"/>
  <c r="Z20"/>
  <c r="Q21"/>
  <c r="Q22"/>
  <c r="Q23"/>
  <c r="Q24"/>
  <c r="Z24"/>
  <c r="Q25"/>
  <c r="Q26"/>
  <c r="Z26"/>
  <c r="AB26" s="1"/>
  <c r="Q27"/>
  <c r="Q28"/>
  <c r="Q29"/>
  <c r="Q30"/>
  <c r="Q32"/>
  <c r="Q33"/>
  <c r="Q34"/>
  <c r="Z34"/>
  <c r="Q35"/>
  <c r="Q36"/>
  <c r="Q37"/>
  <c r="Q38"/>
  <c r="Q39"/>
  <c r="Q40"/>
  <c r="Q41"/>
  <c r="Q42"/>
  <c r="Q43"/>
  <c r="Q44"/>
  <c r="Q45"/>
  <c r="Q46"/>
  <c r="Z46"/>
  <c r="Q48"/>
  <c r="Z48"/>
  <c r="AB48" s="1"/>
  <c r="Q49"/>
  <c r="Q50"/>
  <c r="Q53"/>
  <c r="Q55"/>
  <c r="Q56"/>
  <c r="Q57"/>
  <c r="Q58"/>
  <c r="Q59"/>
  <c r="Q60"/>
  <c r="Q62"/>
  <c r="Q64"/>
  <c r="Q65"/>
  <c r="R65" s="1"/>
  <c r="BF68"/>
  <c r="Q69"/>
  <c r="Q70"/>
  <c r="Q71"/>
  <c r="Q72"/>
  <c r="Q74"/>
  <c r="Q75"/>
  <c r="Q77"/>
  <c r="Q78"/>
  <c r="Q79"/>
  <c r="Q80"/>
  <c r="Q81"/>
  <c r="Q83"/>
  <c r="Z83"/>
  <c r="Q84"/>
  <c r="Q86"/>
  <c r="Q87"/>
  <c r="Q89"/>
  <c r="Q90"/>
  <c r="Q91"/>
  <c r="Q92"/>
  <c r="Q93"/>
  <c r="Q94"/>
  <c r="Q96"/>
  <c r="Q97"/>
  <c r="Q99"/>
  <c r="Q100"/>
  <c r="Q101"/>
  <c r="Q103"/>
  <c r="Q104"/>
  <c r="Q105"/>
  <c r="Q106"/>
  <c r="Q107"/>
  <c r="Z107"/>
  <c r="Q108"/>
  <c r="Q109"/>
  <c r="Q110"/>
  <c r="Q111"/>
  <c r="Q113"/>
  <c r="Q114"/>
  <c r="Q118"/>
  <c r="Q119"/>
  <c r="Q120"/>
  <c r="Q121"/>
  <c r="Q122"/>
  <c r="Q124"/>
  <c r="Q125"/>
  <c r="Q126"/>
  <c r="Q128"/>
  <c r="Q129"/>
  <c r="Q130"/>
  <c r="Q131"/>
  <c r="Q132"/>
  <c r="Q133"/>
  <c r="Q134"/>
  <c r="Q137"/>
  <c r="Q139"/>
  <c r="Q140"/>
  <c r="Q142"/>
  <c r="I13"/>
  <c r="K11" s="1"/>
  <c r="Q13"/>
  <c r="S11" s="1"/>
  <c r="Y14"/>
  <c r="T13"/>
  <c r="T15"/>
  <c r="T16"/>
  <c r="T18"/>
  <c r="T19"/>
  <c r="T20"/>
  <c r="T21"/>
  <c r="T22"/>
  <c r="T23"/>
  <c r="T24"/>
  <c r="T25"/>
  <c r="T26"/>
  <c r="T27"/>
  <c r="T28"/>
  <c r="T29"/>
  <c r="T30"/>
  <c r="T32"/>
  <c r="T33"/>
  <c r="T34"/>
  <c r="T35"/>
  <c r="T36"/>
  <c r="T37"/>
  <c r="T38"/>
  <c r="T39"/>
  <c r="T40"/>
  <c r="T41"/>
  <c r="T42"/>
  <c r="T43"/>
  <c r="T44"/>
  <c r="T45"/>
  <c r="T46"/>
  <c r="T48"/>
  <c r="T49"/>
  <c r="T50"/>
  <c r="T53"/>
  <c r="T55"/>
  <c r="T56"/>
  <c r="T57"/>
  <c r="T58"/>
  <c r="T59"/>
  <c r="T60"/>
  <c r="T62"/>
  <c r="T64"/>
  <c r="T65"/>
  <c r="T68"/>
  <c r="T69"/>
  <c r="T70"/>
  <c r="T71"/>
  <c r="T72"/>
  <c r="T74"/>
  <c r="T75"/>
  <c r="T77"/>
  <c r="T78"/>
  <c r="T79"/>
  <c r="T80"/>
  <c r="T81"/>
  <c r="T83"/>
  <c r="T84"/>
  <c r="T86"/>
  <c r="T87"/>
  <c r="T89"/>
  <c r="T90"/>
  <c r="T91"/>
  <c r="T92"/>
  <c r="T93"/>
  <c r="T94"/>
  <c r="T96"/>
  <c r="T97"/>
  <c r="T99"/>
  <c r="T100"/>
  <c r="T101"/>
  <c r="T103"/>
  <c r="T104"/>
  <c r="T105"/>
  <c r="T106"/>
  <c r="T107"/>
  <c r="T108"/>
  <c r="T109"/>
  <c r="T110"/>
  <c r="T111"/>
  <c r="T113"/>
  <c r="T118"/>
  <c r="T119"/>
  <c r="T120"/>
  <c r="T121"/>
  <c r="T122"/>
  <c r="T123"/>
  <c r="T124"/>
  <c r="T125"/>
  <c r="T126"/>
  <c r="T127"/>
  <c r="T128"/>
  <c r="T129"/>
  <c r="T130"/>
  <c r="T131"/>
  <c r="T132"/>
  <c r="T133"/>
  <c r="T134"/>
  <c r="T137"/>
  <c r="T139"/>
  <c r="T140"/>
  <c r="T142"/>
  <c r="AD13"/>
  <c r="AC13"/>
  <c r="AI13" s="1"/>
  <c r="AO13" s="1"/>
  <c r="AD14"/>
  <c r="AC14"/>
  <c r="AI14" s="1"/>
  <c r="AP15"/>
  <c r="BB15" s="1"/>
  <c r="AO15"/>
  <c r="AD16"/>
  <c r="AC16"/>
  <c r="AD17"/>
  <c r="AC17"/>
  <c r="AD19"/>
  <c r="AC19"/>
  <c r="AI19" s="1"/>
  <c r="AO19" s="1"/>
  <c r="BA19" s="1"/>
  <c r="AD20"/>
  <c r="AO20"/>
  <c r="AD21"/>
  <c r="AC21"/>
  <c r="AI21" s="1"/>
  <c r="AO21" s="1"/>
  <c r="BA21" s="1"/>
  <c r="AP22"/>
  <c r="BB22" s="1"/>
  <c r="AO22"/>
  <c r="AD23"/>
  <c r="AJ23" s="1"/>
  <c r="AP23" s="1"/>
  <c r="BB23" s="1"/>
  <c r="AC23"/>
  <c r="AD24"/>
  <c r="AC24"/>
  <c r="AD25"/>
  <c r="AJ25" s="1"/>
  <c r="AP25"/>
  <c r="BB25" s="1"/>
  <c r="AC25"/>
  <c r="AD26"/>
  <c r="AJ26" s="1"/>
  <c r="AP26" s="1"/>
  <c r="BB26" s="1"/>
  <c r="AC26"/>
  <c r="AD27"/>
  <c r="AJ27" s="1"/>
  <c r="AP27" s="1"/>
  <c r="BB27" s="1"/>
  <c r="AC27"/>
  <c r="AD28"/>
  <c r="AC28"/>
  <c r="AI28" s="1"/>
  <c r="AO28" s="1"/>
  <c r="BA28" s="1"/>
  <c r="AD29"/>
  <c r="AC29"/>
  <c r="AD30"/>
  <c r="AC30"/>
  <c r="AD31"/>
  <c r="AC31"/>
  <c r="AD32"/>
  <c r="AJ32" s="1"/>
  <c r="AP32" s="1"/>
  <c r="BB32" s="1"/>
  <c r="AC32"/>
  <c r="AD33"/>
  <c r="AJ33" s="1"/>
  <c r="AP33" s="1"/>
  <c r="BB33" s="1"/>
  <c r="AC33"/>
  <c r="AD34"/>
  <c r="AJ34" s="1"/>
  <c r="AP34"/>
  <c r="BB34" s="1"/>
  <c r="AC34"/>
  <c r="AD35"/>
  <c r="AJ35" s="1"/>
  <c r="AP35" s="1"/>
  <c r="BB35" s="1"/>
  <c r="AC35"/>
  <c r="AD36"/>
  <c r="AC36"/>
  <c r="AD37"/>
  <c r="AC37"/>
  <c r="AI37" s="1"/>
  <c r="AO37" s="1"/>
  <c r="BA37" s="1"/>
  <c r="AD38"/>
  <c r="AC38"/>
  <c r="AD39"/>
  <c r="AJ39" s="1"/>
  <c r="AP39" s="1"/>
  <c r="BB39" s="1"/>
  <c r="AC39"/>
  <c r="AD40"/>
  <c r="AJ40" s="1"/>
  <c r="AP40"/>
  <c r="BB40" s="1"/>
  <c r="AC40"/>
  <c r="AD41"/>
  <c r="AJ41" s="1"/>
  <c r="AP41" s="1"/>
  <c r="BB41" s="1"/>
  <c r="AC41"/>
  <c r="AD42"/>
  <c r="AC42"/>
  <c r="AD43"/>
  <c r="AJ43" s="1"/>
  <c r="AP43"/>
  <c r="BB43" s="1"/>
  <c r="AC43"/>
  <c r="AD44"/>
  <c r="AC44"/>
  <c r="AI44" s="1"/>
  <c r="AO44"/>
  <c r="AD45"/>
  <c r="AC45"/>
  <c r="AI45" s="1"/>
  <c r="AO45" s="1"/>
  <c r="BA45" s="1"/>
  <c r="AD46"/>
  <c r="AC46"/>
  <c r="AD47"/>
  <c r="AJ47" s="1"/>
  <c r="AP47" s="1"/>
  <c r="BB47" s="1"/>
  <c r="AC47"/>
  <c r="AD48"/>
  <c r="AC48"/>
  <c r="AI48" s="1"/>
  <c r="AO48" s="1"/>
  <c r="BA48" s="1"/>
  <c r="AD49"/>
  <c r="AC49"/>
  <c r="AI49" s="1"/>
  <c r="AO49" s="1"/>
  <c r="BA49" s="1"/>
  <c r="AD50"/>
  <c r="AC50"/>
  <c r="AD51"/>
  <c r="AJ51" s="1"/>
  <c r="AP51" s="1"/>
  <c r="BB51" s="1"/>
  <c r="AC51"/>
  <c r="AD52"/>
  <c r="AC52"/>
  <c r="AI52" s="1"/>
  <c r="AO52" s="1"/>
  <c r="BA52" s="1"/>
  <c r="AD53"/>
  <c r="AC53"/>
  <c r="AI53" s="1"/>
  <c r="AO53" s="1"/>
  <c r="BA53" s="1"/>
  <c r="AD54"/>
  <c r="AJ54" s="1"/>
  <c r="AP54" s="1"/>
  <c r="BB54" s="1"/>
  <c r="AC54"/>
  <c r="AI54" s="1"/>
  <c r="AO54" s="1"/>
  <c r="BA54" s="1"/>
  <c r="AD55"/>
  <c r="AJ55" s="1"/>
  <c r="AP55" s="1"/>
  <c r="BB55" s="1"/>
  <c r="AC55"/>
  <c r="AI55" s="1"/>
  <c r="AO55" s="1"/>
  <c r="BA55" s="1"/>
  <c r="AD56"/>
  <c r="AJ56" s="1"/>
  <c r="AP56" s="1"/>
  <c r="BB56" s="1"/>
  <c r="AC56"/>
  <c r="AI56" s="1"/>
  <c r="AO56" s="1"/>
  <c r="BA56" s="1"/>
  <c r="AD57"/>
  <c r="AC57"/>
  <c r="AI57" s="1"/>
  <c r="AO57"/>
  <c r="BA57" s="1"/>
  <c r="AD58"/>
  <c r="AJ58" s="1"/>
  <c r="AP58" s="1"/>
  <c r="BB58" s="1"/>
  <c r="AC58"/>
  <c r="AD59"/>
  <c r="AJ59" s="1"/>
  <c r="AP59" s="1"/>
  <c r="BB59" s="1"/>
  <c r="AC59"/>
  <c r="AD60"/>
  <c r="AJ60" s="1"/>
  <c r="AP60"/>
  <c r="BB60" s="1"/>
  <c r="AC60"/>
  <c r="AI60" s="1"/>
  <c r="AO60" s="1"/>
  <c r="BA60" s="1"/>
  <c r="AD61"/>
  <c r="AC61"/>
  <c r="AD62"/>
  <c r="AJ62" s="1"/>
  <c r="AP62" s="1"/>
  <c r="BB62" s="1"/>
  <c r="AC62"/>
  <c r="AI62" s="1"/>
  <c r="AO62"/>
  <c r="AD63"/>
  <c r="AJ63" s="1"/>
  <c r="AP63" s="1"/>
  <c r="BB63" s="1"/>
  <c r="AC63"/>
  <c r="AI63" s="1"/>
  <c r="AO63"/>
  <c r="BA63" s="1"/>
  <c r="AD64"/>
  <c r="AJ64" s="1"/>
  <c r="AP64" s="1"/>
  <c r="BB64" s="1"/>
  <c r="AC64"/>
  <c r="AI64" s="1"/>
  <c r="AO64"/>
  <c r="BA64" s="1"/>
  <c r="AD65"/>
  <c r="AC65"/>
  <c r="AI65" s="1"/>
  <c r="AO65" s="1"/>
  <c r="BA65" s="1"/>
  <c r="AD66"/>
  <c r="AC66"/>
  <c r="AD67"/>
  <c r="AC67"/>
  <c r="BD68"/>
  <c r="AD69"/>
  <c r="AJ69" s="1"/>
  <c r="AP69" s="1"/>
  <c r="BB69" s="1"/>
  <c r="AC69"/>
  <c r="AI69" s="1"/>
  <c r="AO69" s="1"/>
  <c r="AD70"/>
  <c r="AJ70" s="1"/>
  <c r="AP70" s="1"/>
  <c r="BB70" s="1"/>
  <c r="AC70"/>
  <c r="AI70" s="1"/>
  <c r="AO70" s="1"/>
  <c r="AD71"/>
  <c r="AJ71" s="1"/>
  <c r="AP71"/>
  <c r="BB71" s="1"/>
  <c r="AC71"/>
  <c r="AI71" s="1"/>
  <c r="AO71" s="1"/>
  <c r="BA71" s="1"/>
  <c r="AD72"/>
  <c r="AC72"/>
  <c r="AI72"/>
  <c r="AO72" s="1"/>
  <c r="BA72" s="1"/>
  <c r="AD73"/>
  <c r="AC73"/>
  <c r="AI73" s="1"/>
  <c r="AO73" s="1"/>
  <c r="BA73" s="1"/>
  <c r="AD74"/>
  <c r="AC74"/>
  <c r="AI74" s="1"/>
  <c r="AO74" s="1"/>
  <c r="BA74" s="1"/>
  <c r="AD75"/>
  <c r="AC75"/>
  <c r="AI75" s="1"/>
  <c r="AO75" s="1"/>
  <c r="BA75" s="1"/>
  <c r="AD76"/>
  <c r="AC76"/>
  <c r="AI76" s="1"/>
  <c r="AO76" s="1"/>
  <c r="BA76" s="1"/>
  <c r="AD77"/>
  <c r="AC77"/>
  <c r="AI77" s="1"/>
  <c r="AO77" s="1"/>
  <c r="BA77" s="1"/>
  <c r="AD78"/>
  <c r="AC78"/>
  <c r="AI78"/>
  <c r="AO78" s="1"/>
  <c r="BA78" s="1"/>
  <c r="AD79"/>
  <c r="AC79"/>
  <c r="AI79" s="1"/>
  <c r="AO79" s="1"/>
  <c r="BA79" s="1"/>
  <c r="AD80"/>
  <c r="AC80"/>
  <c r="AI80" s="1"/>
  <c r="AO80" s="1"/>
  <c r="BA80" s="1"/>
  <c r="AD81"/>
  <c r="AC81"/>
  <c r="AI81" s="1"/>
  <c r="AO81" s="1"/>
  <c r="BA81" s="1"/>
  <c r="AD82"/>
  <c r="AC82"/>
  <c r="AI82" s="1"/>
  <c r="AO82" s="1"/>
  <c r="BA82" s="1"/>
  <c r="AD83"/>
  <c r="AC83"/>
  <c r="AI83" s="1"/>
  <c r="AO83" s="1"/>
  <c r="BA83" s="1"/>
  <c r="AD84"/>
  <c r="AJ84" s="1"/>
  <c r="AP84" s="1"/>
  <c r="BB84" s="1"/>
  <c r="AC84"/>
  <c r="AI84" s="1"/>
  <c r="AO84" s="1"/>
  <c r="AD85"/>
  <c r="AJ85" s="1"/>
  <c r="AP85" s="1"/>
  <c r="BB85" s="1"/>
  <c r="AC85"/>
  <c r="AI85" s="1"/>
  <c r="AO85" s="1"/>
  <c r="AD86"/>
  <c r="AJ86" s="1"/>
  <c r="AP86"/>
  <c r="BB86" s="1"/>
  <c r="AC86"/>
  <c r="AI86" s="1"/>
  <c r="AO86" s="1"/>
  <c r="AD87"/>
  <c r="AJ87" s="1"/>
  <c r="AP87" s="1"/>
  <c r="BB87" s="1"/>
  <c r="AC87"/>
  <c r="AI87" s="1"/>
  <c r="AO87" s="1"/>
  <c r="AD88"/>
  <c r="AJ88" s="1"/>
  <c r="AP88" s="1"/>
  <c r="BB88" s="1"/>
  <c r="AC88"/>
  <c r="AI88" s="1"/>
  <c r="AO88" s="1"/>
  <c r="AD89"/>
  <c r="AJ89" s="1"/>
  <c r="AP89" s="1"/>
  <c r="BB89" s="1"/>
  <c r="AC89"/>
  <c r="AI89" s="1"/>
  <c r="AO89" s="1"/>
  <c r="AD90"/>
  <c r="AJ90" s="1"/>
  <c r="AP90"/>
  <c r="BB90" s="1"/>
  <c r="AC90"/>
  <c r="AI90" s="1"/>
  <c r="AO90" s="1"/>
  <c r="AD91"/>
  <c r="AJ91" s="1"/>
  <c r="AP91" s="1"/>
  <c r="BB91" s="1"/>
  <c r="AC91"/>
  <c r="AI91" s="1"/>
  <c r="AO91" s="1"/>
  <c r="AD92"/>
  <c r="AJ92" s="1"/>
  <c r="AP92" s="1"/>
  <c r="BB92" s="1"/>
  <c r="AC92"/>
  <c r="AI92" s="1"/>
  <c r="AO92" s="1"/>
  <c r="AD93"/>
  <c r="AJ93" s="1"/>
  <c r="AP93" s="1"/>
  <c r="BB93" s="1"/>
  <c r="AC93"/>
  <c r="AI93" s="1"/>
  <c r="AO93" s="1"/>
  <c r="AD94"/>
  <c r="AJ94" s="1"/>
  <c r="AP94"/>
  <c r="BB94" s="1"/>
  <c r="AC94"/>
  <c r="AI94" s="1"/>
  <c r="AO94" s="1"/>
  <c r="AD95"/>
  <c r="AJ95" s="1"/>
  <c r="AP95" s="1"/>
  <c r="BB95" s="1"/>
  <c r="AC95"/>
  <c r="AI95" s="1"/>
  <c r="AO95" s="1"/>
  <c r="AD96"/>
  <c r="AJ96" s="1"/>
  <c r="AP96" s="1"/>
  <c r="BB96" s="1"/>
  <c r="AC96"/>
  <c r="AI96" s="1"/>
  <c r="AO96" s="1"/>
  <c r="AD97"/>
  <c r="AJ97" s="1"/>
  <c r="AP97" s="1"/>
  <c r="BB97" s="1"/>
  <c r="AC97"/>
  <c r="AI97" s="1"/>
  <c r="AO97" s="1"/>
  <c r="AD98"/>
  <c r="AJ98" s="1"/>
  <c r="AP98"/>
  <c r="BB98" s="1"/>
  <c r="AC98"/>
  <c r="AI98" s="1"/>
  <c r="AO98" s="1"/>
  <c r="AD99"/>
  <c r="AJ99" s="1"/>
  <c r="AP99" s="1"/>
  <c r="BB99" s="1"/>
  <c r="AC99"/>
  <c r="AI99" s="1"/>
  <c r="AO99" s="1"/>
  <c r="AD100"/>
  <c r="AJ100" s="1"/>
  <c r="AP100" s="1"/>
  <c r="BB100" s="1"/>
  <c r="AC100"/>
  <c r="AI100" s="1"/>
  <c r="AO100" s="1"/>
  <c r="AD101"/>
  <c r="AJ101" s="1"/>
  <c r="AP101" s="1"/>
  <c r="BB101" s="1"/>
  <c r="AC101"/>
  <c r="AI101" s="1"/>
  <c r="AO101" s="1"/>
  <c r="AD102"/>
  <c r="AJ102" s="1"/>
  <c r="AP102"/>
  <c r="BB102" s="1"/>
  <c r="AC102"/>
  <c r="AI102" s="1"/>
  <c r="AO102" s="1"/>
  <c r="AD103"/>
  <c r="AJ103" s="1"/>
  <c r="AP103" s="1"/>
  <c r="BB103" s="1"/>
  <c r="AC103"/>
  <c r="AI103" s="1"/>
  <c r="AO103" s="1"/>
  <c r="AD104"/>
  <c r="AJ104" s="1"/>
  <c r="AP104" s="1"/>
  <c r="BB104" s="1"/>
  <c r="AC104"/>
  <c r="AI104" s="1"/>
  <c r="AO104" s="1"/>
  <c r="AD105"/>
  <c r="AJ105" s="1"/>
  <c r="AP105" s="1"/>
  <c r="BB105" s="1"/>
  <c r="AC105"/>
  <c r="AI105" s="1"/>
  <c r="AO105" s="1"/>
  <c r="AD106"/>
  <c r="AJ106" s="1"/>
  <c r="AP106"/>
  <c r="BB106" s="1"/>
  <c r="AC106"/>
  <c r="AI106" s="1"/>
  <c r="AO106" s="1"/>
  <c r="AD107"/>
  <c r="AJ107" s="1"/>
  <c r="AP107" s="1"/>
  <c r="BB107" s="1"/>
  <c r="AC107"/>
  <c r="AI107" s="1"/>
  <c r="AO107" s="1"/>
  <c r="AD108"/>
  <c r="AC108"/>
  <c r="AI108" s="1"/>
  <c r="AO108" s="1"/>
  <c r="BA108" s="1"/>
  <c r="AD109"/>
  <c r="AC109"/>
  <c r="AI109" s="1"/>
  <c r="AO109" s="1"/>
  <c r="BA109" s="1"/>
  <c r="AD110"/>
  <c r="AJ110" s="1"/>
  <c r="AP110"/>
  <c r="BB110" s="1"/>
  <c r="AC110"/>
  <c r="AI110" s="1"/>
  <c r="AO110" s="1"/>
  <c r="BA110" s="1"/>
  <c r="AD111"/>
  <c r="AJ111" s="1"/>
  <c r="AP111"/>
  <c r="BB111" s="1"/>
  <c r="AC111"/>
  <c r="AI111" s="1"/>
  <c r="AO111" s="1"/>
  <c r="BA111" s="1"/>
  <c r="AD112"/>
  <c r="AJ112" s="1"/>
  <c r="AP112" s="1"/>
  <c r="BB112" s="1"/>
  <c r="AC112"/>
  <c r="AI112" s="1"/>
  <c r="AO112" s="1"/>
  <c r="BA112" s="1"/>
  <c r="AD113"/>
  <c r="AC113"/>
  <c r="AI113"/>
  <c r="AO113" s="1"/>
  <c r="BA113" s="1"/>
  <c r="AD114"/>
  <c r="AC114"/>
  <c r="AI114"/>
  <c r="AO114" s="1"/>
  <c r="BA114" s="1"/>
  <c r="AD115"/>
  <c r="AC115"/>
  <c r="AI115" s="1"/>
  <c r="AO115" s="1"/>
  <c r="BA115" s="1"/>
  <c r="AD116"/>
  <c r="AJ116" s="1"/>
  <c r="AP116" s="1"/>
  <c r="BB116" s="1"/>
  <c r="AC116"/>
  <c r="AI116" s="1"/>
  <c r="AO116" s="1"/>
  <c r="BA116" s="1"/>
  <c r="AD117"/>
  <c r="AC117"/>
  <c r="AI117" s="1"/>
  <c r="AO117" s="1"/>
  <c r="BA117" s="1"/>
  <c r="AD118"/>
  <c r="AC118"/>
  <c r="AI118" s="1"/>
  <c r="AO118" s="1"/>
  <c r="BA118" s="1"/>
  <c r="AD119"/>
  <c r="AJ119" s="1"/>
  <c r="AP119" s="1"/>
  <c r="BB119" s="1"/>
  <c r="AC119"/>
  <c r="AI119" s="1"/>
  <c r="AO119" s="1"/>
  <c r="AD120"/>
  <c r="AC120"/>
  <c r="AI120" s="1"/>
  <c r="AO120" s="1"/>
  <c r="BA120" s="1"/>
  <c r="AD121"/>
  <c r="AJ121" s="1"/>
  <c r="AP121" s="1"/>
  <c r="BB121" s="1"/>
  <c r="AC121"/>
  <c r="AI121" s="1"/>
  <c r="AO121" s="1"/>
  <c r="BA121" s="1"/>
  <c r="AD122"/>
  <c r="AJ122" s="1"/>
  <c r="AP122" s="1"/>
  <c r="BB122" s="1"/>
  <c r="AC122"/>
  <c r="AI122" s="1"/>
  <c r="AO122" s="1"/>
  <c r="BA122" s="1"/>
  <c r="AD123"/>
  <c r="AJ123" s="1"/>
  <c r="AP123" s="1"/>
  <c r="BB123" s="1"/>
  <c r="AC123"/>
  <c r="AI123" s="1"/>
  <c r="AO123" s="1"/>
  <c r="BA123" s="1"/>
  <c r="AD124"/>
  <c r="AC124"/>
  <c r="AI124" s="1"/>
  <c r="AO124" s="1"/>
  <c r="BA124" s="1"/>
  <c r="AD125"/>
  <c r="AJ125" s="1"/>
  <c r="AP125" s="1"/>
  <c r="BB125" s="1"/>
  <c r="AC125"/>
  <c r="AI125" s="1"/>
  <c r="AO125" s="1"/>
  <c r="BA125" s="1"/>
  <c r="AD126"/>
  <c r="AC126"/>
  <c r="AI126" s="1"/>
  <c r="AO126" s="1"/>
  <c r="BA126" s="1"/>
  <c r="AD127"/>
  <c r="AJ127" s="1"/>
  <c r="AP127" s="1"/>
  <c r="BB127" s="1"/>
  <c r="AC127"/>
  <c r="AI127" s="1"/>
  <c r="AO127" s="1"/>
  <c r="BA127" s="1"/>
  <c r="AD128"/>
  <c r="AC128"/>
  <c r="AI128" s="1"/>
  <c r="AO128" s="1"/>
  <c r="BA128" s="1"/>
  <c r="AD129"/>
  <c r="AJ129" s="1"/>
  <c r="AP129" s="1"/>
  <c r="BB129" s="1"/>
  <c r="AC129"/>
  <c r="AI129" s="1"/>
  <c r="AO129" s="1"/>
  <c r="BA129" s="1"/>
  <c r="AD130"/>
  <c r="AJ130" s="1"/>
  <c r="AP130" s="1"/>
  <c r="BB130" s="1"/>
  <c r="AC130"/>
  <c r="AI130"/>
  <c r="AO130" s="1"/>
  <c r="BA130" s="1"/>
  <c r="AD131"/>
  <c r="AJ131" s="1"/>
  <c r="AP131" s="1"/>
  <c r="BB131" s="1"/>
  <c r="AC131"/>
  <c r="AI131" s="1"/>
  <c r="AO131" s="1"/>
  <c r="BA131" s="1"/>
  <c r="AD132"/>
  <c r="AC132"/>
  <c r="AI132" s="1"/>
  <c r="AO132" s="1"/>
  <c r="BA132" s="1"/>
  <c r="AD133"/>
  <c r="AC133"/>
  <c r="AI133" s="1"/>
  <c r="AO133" s="1"/>
  <c r="BA133" s="1"/>
  <c r="AD134"/>
  <c r="AC134"/>
  <c r="AI134" s="1"/>
  <c r="AO134" s="1"/>
  <c r="BA134" s="1"/>
  <c r="AD135"/>
  <c r="AJ135" s="1"/>
  <c r="AP135"/>
  <c r="BB135" s="1"/>
  <c r="AC135"/>
  <c r="AI135" s="1"/>
  <c r="AO135" s="1"/>
  <c r="AD136"/>
  <c r="AC136"/>
  <c r="AI136"/>
  <c r="AO136" s="1"/>
  <c r="BA136" s="1"/>
  <c r="AD137"/>
  <c r="AJ137" s="1"/>
  <c r="AP137" s="1"/>
  <c r="BB137" s="1"/>
  <c r="AC137"/>
  <c r="AI137" s="1"/>
  <c r="AO137" s="1"/>
  <c r="BA137" s="1"/>
  <c r="AD138"/>
  <c r="AJ138" s="1"/>
  <c r="AP138" s="1"/>
  <c r="BB138" s="1"/>
  <c r="AC138"/>
  <c r="AI138" s="1"/>
  <c r="AO138" s="1"/>
  <c r="BA138" s="1"/>
  <c r="AD139"/>
  <c r="AJ139" s="1"/>
  <c r="AP139" s="1"/>
  <c r="BB139" s="1"/>
  <c r="AC139"/>
  <c r="AI139" s="1"/>
  <c r="AO139" s="1"/>
  <c r="BA139" s="1"/>
  <c r="AD140"/>
  <c r="AC140"/>
  <c r="AI140" s="1"/>
  <c r="AO140" s="1"/>
  <c r="BA140" s="1"/>
  <c r="AD141"/>
  <c r="AJ141" s="1"/>
  <c r="AP141"/>
  <c r="BB141" s="1"/>
  <c r="AC141"/>
  <c r="AI141" s="1"/>
  <c r="AO141" s="1"/>
  <c r="BA141" s="1"/>
  <c r="AD142"/>
  <c r="AC142"/>
  <c r="AI142"/>
  <c r="AO142" s="1"/>
  <c r="BA142" s="1"/>
  <c r="AS7"/>
  <c r="AS8"/>
  <c r="BE68"/>
  <c r="BC68"/>
  <c r="AC197"/>
  <c r="AC198" s="1"/>
  <c r="AC191"/>
  <c r="BA135"/>
  <c r="BA119"/>
  <c r="BA107"/>
  <c r="BA106"/>
  <c r="BA105"/>
  <c r="BA104"/>
  <c r="BA103"/>
  <c r="BA102"/>
  <c r="BA101"/>
  <c r="BA100"/>
  <c r="BA99"/>
  <c r="BA98"/>
  <c r="BA97"/>
  <c r="BA96"/>
  <c r="BA95"/>
  <c r="BA94"/>
  <c r="BA93"/>
  <c r="BA92"/>
  <c r="BA91"/>
  <c r="BA90"/>
  <c r="BA89"/>
  <c r="BA88"/>
  <c r="BA87"/>
  <c r="BA86"/>
  <c r="BA85"/>
  <c r="BA84"/>
  <c r="BA70"/>
  <c r="BA69"/>
  <c r="BB68"/>
  <c r="BA68"/>
  <c r="BA62"/>
  <c r="BA44"/>
  <c r="BA20"/>
  <c r="BB18"/>
  <c r="AH197"/>
  <c r="AH198" s="1"/>
  <c r="K145"/>
  <c r="Y7" s="1"/>
  <c r="Y8" s="1"/>
  <c r="X7"/>
  <c r="AB17"/>
  <c r="AB18"/>
  <c r="AB20"/>
  <c r="AB24"/>
  <c r="AB34"/>
  <c r="AB46"/>
  <c r="AB83"/>
  <c r="AB107"/>
  <c r="V13"/>
  <c r="V11" s="1"/>
  <c r="M73"/>
  <c r="A14"/>
  <c r="A15" s="1"/>
  <c r="A16" s="1"/>
  <c r="A17" s="1"/>
  <c r="A18" s="1"/>
  <c r="A19" s="1"/>
  <c r="A20" s="1"/>
  <c r="A21" s="1"/>
  <c r="A22" s="1"/>
  <c r="A23" s="1"/>
  <c r="A24" s="1"/>
  <c r="A25" s="1"/>
  <c r="A26" s="1"/>
  <c r="A27" s="1"/>
  <c r="A28" s="1"/>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71" s="1"/>
  <c r="A72" s="1"/>
  <c r="A73" s="1"/>
  <c r="A74" s="1"/>
  <c r="A75" s="1"/>
  <c r="A76" s="1"/>
  <c r="A77" s="1"/>
  <c r="A78" s="1"/>
  <c r="A79" s="1"/>
  <c r="A80" s="1"/>
  <c r="A81" s="1"/>
  <c r="A82" s="1"/>
  <c r="A83" s="1"/>
  <c r="A84" s="1"/>
  <c r="A85" s="1"/>
  <c r="A86" s="1"/>
  <c r="A87" s="1"/>
  <c r="A88" s="1"/>
  <c r="A89" s="1"/>
  <c r="A90" s="1"/>
  <c r="A91" s="1"/>
  <c r="A92" s="1"/>
  <c r="A93" s="1"/>
  <c r="A94" s="1"/>
  <c r="A95" s="1"/>
  <c r="A96" s="1"/>
  <c r="A97" s="1"/>
  <c r="A98" s="1"/>
  <c r="A99" s="1"/>
  <c r="A100" s="1"/>
  <c r="A101" s="1"/>
  <c r="A102" s="1"/>
  <c r="A103" s="1"/>
  <c r="A104" s="1"/>
  <c r="A105" s="1"/>
  <c r="A106" s="1"/>
  <c r="A107" s="1"/>
  <c r="A108" s="1"/>
  <c r="A109" s="1"/>
  <c r="A110" s="1"/>
  <c r="A111" s="1"/>
  <c r="A112" s="1"/>
  <c r="A113" s="1"/>
  <c r="A114" s="1"/>
  <c r="A115" s="1"/>
  <c r="A116" s="1"/>
  <c r="A117" s="1"/>
  <c r="A118" s="1"/>
  <c r="A119" s="1"/>
  <c r="A120" s="1"/>
  <c r="A121" s="1"/>
  <c r="A122" s="1"/>
  <c r="A123" s="1"/>
  <c r="A124" s="1"/>
  <c r="A125" s="1"/>
  <c r="A126" s="1"/>
  <c r="A127" s="1"/>
  <c r="A128" s="1"/>
  <c r="A129" s="1"/>
  <c r="A130" s="1"/>
  <c r="A131" s="1"/>
  <c r="A132" s="1"/>
  <c r="A133" s="1"/>
  <c r="A134" s="1"/>
  <c r="A135" s="1"/>
  <c r="A136" s="1"/>
  <c r="A137" s="1"/>
  <c r="A138" s="1"/>
  <c r="A139" s="1"/>
  <c r="A140" s="1"/>
  <c r="A141" s="1"/>
  <c r="A142" s="1"/>
  <c r="M141"/>
  <c r="M138"/>
  <c r="M135"/>
  <c r="M127"/>
  <c r="M129"/>
  <c r="M119"/>
  <c r="M65"/>
  <c r="M113"/>
  <c r="M58"/>
  <c r="M74"/>
  <c r="M123"/>
  <c r="M71"/>
  <c r="M94"/>
  <c r="M121"/>
  <c r="M114"/>
  <c r="M84"/>
  <c r="M100"/>
  <c r="M115"/>
  <c r="M102"/>
  <c r="M112"/>
  <c r="M96"/>
  <c r="M106"/>
  <c r="M117"/>
  <c r="M92"/>
  <c r="M116"/>
  <c r="M49"/>
  <c r="M81"/>
  <c r="M98"/>
  <c r="M82"/>
  <c r="M95"/>
  <c r="M87"/>
  <c r="M88"/>
  <c r="M79"/>
  <c r="M43"/>
  <c r="M77"/>
  <c r="M83"/>
  <c r="M53"/>
  <c r="M69"/>
  <c r="M85"/>
  <c r="M67"/>
  <c r="M55"/>
  <c r="M59"/>
  <c r="M76"/>
  <c r="M72"/>
  <c r="M54"/>
  <c r="M42"/>
  <c r="M63"/>
  <c r="M61"/>
  <c r="M51"/>
  <c r="M52"/>
  <c r="M47"/>
  <c r="M29"/>
  <c r="M122"/>
  <c r="M97"/>
  <c r="M104"/>
  <c r="M32"/>
  <c r="M105"/>
  <c r="M86"/>
  <c r="M33"/>
  <c r="M70"/>
  <c r="M62"/>
  <c r="M56"/>
  <c r="M57"/>
  <c r="M45"/>
  <c r="M46"/>
  <c r="M66"/>
  <c r="M48"/>
  <c r="M50"/>
  <c r="M35"/>
  <c r="M36"/>
  <c r="M44"/>
  <c r="M41"/>
  <c r="M30"/>
  <c r="M25"/>
  <c r="M28"/>
  <c r="M31"/>
  <c r="M27"/>
  <c r="M23"/>
  <c r="M24"/>
  <c r="M20"/>
  <c r="M142"/>
  <c r="M140"/>
  <c r="M139"/>
  <c r="M137"/>
  <c r="M126"/>
  <c r="M133"/>
  <c r="M132"/>
  <c r="M134"/>
  <c r="M124"/>
  <c r="M136"/>
  <c r="M111"/>
  <c r="M118"/>
  <c r="M131"/>
  <c r="M125"/>
  <c r="M130"/>
  <c r="M128"/>
  <c r="M101"/>
  <c r="M103"/>
  <c r="M99"/>
  <c r="M109"/>
  <c r="M120"/>
  <c r="M107"/>
  <c r="M108"/>
  <c r="M110"/>
  <c r="M90"/>
  <c r="M93"/>
  <c r="M89"/>
  <c r="M91"/>
  <c r="M80"/>
  <c r="M75"/>
  <c r="M60"/>
  <c r="M64"/>
  <c r="M39"/>
  <c r="M78"/>
  <c r="M34"/>
  <c r="M38"/>
  <c r="M40"/>
  <c r="M37"/>
  <c r="M26"/>
  <c r="M21"/>
  <c r="M18"/>
  <c r="M19"/>
  <c r="M22"/>
  <c r="M16"/>
  <c r="M17"/>
  <c r="M15"/>
  <c r="M14"/>
  <c r="AP132" l="1"/>
  <c r="BB132" s="1"/>
  <c r="AJ132"/>
  <c r="AJ120"/>
  <c r="AP120" s="1"/>
  <c r="BB120" s="1"/>
  <c r="AP82"/>
  <c r="BB82" s="1"/>
  <c r="AJ82"/>
  <c r="AJ77"/>
  <c r="AP77" s="1"/>
  <c r="BB77" s="1"/>
  <c r="AO50"/>
  <c r="BA50" s="1"/>
  <c r="AI50"/>
  <c r="AI47"/>
  <c r="AO47" s="1"/>
  <c r="BA47" s="1"/>
  <c r="AO41"/>
  <c r="BA41" s="1"/>
  <c r="AI41"/>
  <c r="AI31"/>
  <c r="AO31" s="1"/>
  <c r="BA31" s="1"/>
  <c r="AP28"/>
  <c r="BB28" s="1"/>
  <c r="AJ28"/>
  <c r="AI23"/>
  <c r="AO23" s="1"/>
  <c r="BA23" s="1"/>
  <c r="AP16"/>
  <c r="AJ16"/>
  <c r="AJ14"/>
  <c r="AP14" s="1"/>
  <c r="BB14" s="1"/>
  <c r="AP126"/>
  <c r="BB126" s="1"/>
  <c r="AJ126"/>
  <c r="AJ73"/>
  <c r="AP73" s="1"/>
  <c r="BB73" s="1"/>
  <c r="AP65"/>
  <c r="BB65" s="1"/>
  <c r="AJ65"/>
  <c r="AJ48"/>
  <c r="AP48" s="1"/>
  <c r="BB48" s="1"/>
  <c r="AP45"/>
  <c r="BB45" s="1"/>
  <c r="AJ45"/>
  <c r="AJ42"/>
  <c r="AP42" s="1"/>
  <c r="BB42" s="1"/>
  <c r="AP36"/>
  <c r="BB36" s="1"/>
  <c r="AJ36"/>
  <c r="AJ30"/>
  <c r="AP30" s="1"/>
  <c r="BB30" s="1"/>
  <c r="AO16"/>
  <c r="AI16"/>
  <c r="AI147" s="1"/>
  <c r="AG192" s="1"/>
  <c r="AG195" s="1"/>
  <c r="AJ13"/>
  <c r="AP13" s="1"/>
  <c r="AP142"/>
  <c r="BB142" s="1"/>
  <c r="AJ142"/>
  <c r="AJ136"/>
  <c r="AP136" s="1"/>
  <c r="BB136" s="1"/>
  <c r="AP114"/>
  <c r="BB114" s="1"/>
  <c r="AJ114"/>
  <c r="AJ113"/>
  <c r="AP113" s="1"/>
  <c r="BB113" s="1"/>
  <c r="AP78"/>
  <c r="BB78" s="1"/>
  <c r="AJ78"/>
  <c r="AJ72"/>
  <c r="AP72" s="1"/>
  <c r="BB72" s="1"/>
  <c r="AP67"/>
  <c r="BB67" s="1"/>
  <c r="AJ67"/>
  <c r="AI59"/>
  <c r="AO59" s="1"/>
  <c r="BA59" s="1"/>
  <c r="AP57"/>
  <c r="BB57" s="1"/>
  <c r="AJ57"/>
  <c r="AJ44"/>
  <c r="AP44" s="1"/>
  <c r="BB44" s="1"/>
  <c r="AO42"/>
  <c r="BA42" s="1"/>
  <c r="AI42"/>
  <c r="AI39"/>
  <c r="AO39" s="1"/>
  <c r="BA39" s="1"/>
  <c r="AP38"/>
  <c r="BB38" s="1"/>
  <c r="AJ38"/>
  <c r="AI36"/>
  <c r="AO36" s="1"/>
  <c r="BA36" s="1"/>
  <c r="AO33"/>
  <c r="BA33" s="1"/>
  <c r="AI33"/>
  <c r="AI30"/>
  <c r="AO30" s="1"/>
  <c r="BA30" s="1"/>
  <c r="AO24"/>
  <c r="BA24" s="1"/>
  <c r="AI24"/>
  <c r="AJ17"/>
  <c r="AP17" s="1"/>
  <c r="BB17" s="1"/>
  <c r="AB16"/>
  <c r="AP117"/>
  <c r="BB117" s="1"/>
  <c r="AJ117"/>
  <c r="AJ109"/>
  <c r="AP109" s="1"/>
  <c r="BB109" s="1"/>
  <c r="AP74"/>
  <c r="BB74" s="1"/>
  <c r="AJ74"/>
  <c r="AJ66"/>
  <c r="AP66" s="1"/>
  <c r="BB66" s="1"/>
  <c r="AO61"/>
  <c r="BA61" s="1"/>
  <c r="AI61"/>
  <c r="AJ52"/>
  <c r="AP52" s="1"/>
  <c r="BB52" s="1"/>
  <c r="AP49"/>
  <c r="BB49" s="1"/>
  <c r="AJ49"/>
  <c r="AJ46"/>
  <c r="AP46" s="1"/>
  <c r="BB46" s="1"/>
  <c r="AO35"/>
  <c r="BA35" s="1"/>
  <c r="AI35"/>
  <c r="AI29"/>
  <c r="AO29" s="1"/>
  <c r="BA29" s="1"/>
  <c r="AO26"/>
  <c r="BA26" s="1"/>
  <c r="AI26"/>
  <c r="AJ19"/>
  <c r="AP19" s="1"/>
  <c r="BB19" s="1"/>
  <c r="AP134"/>
  <c r="BB134" s="1"/>
  <c r="AJ134"/>
  <c r="AJ115"/>
  <c r="AP115" s="1"/>
  <c r="BB115" s="1"/>
  <c r="AP108"/>
  <c r="BB108" s="1"/>
  <c r="AJ108"/>
  <c r="AJ81"/>
  <c r="AP81" s="1"/>
  <c r="BB81" s="1"/>
  <c r="AP79"/>
  <c r="BB79" s="1"/>
  <c r="AJ79"/>
  <c r="AJ76"/>
  <c r="AP76" s="1"/>
  <c r="BB76" s="1"/>
  <c r="AO66"/>
  <c r="BA66" s="1"/>
  <c r="AI66"/>
  <c r="AI46"/>
  <c r="AO46" s="1"/>
  <c r="BA46" s="1"/>
  <c r="AO43"/>
  <c r="BA43" s="1"/>
  <c r="AI43"/>
  <c r="AI40"/>
  <c r="AO40" s="1"/>
  <c r="BA40" s="1"/>
  <c r="AO34"/>
  <c r="BA34" s="1"/>
  <c r="AI34"/>
  <c r="AI25"/>
  <c r="AO25" s="1"/>
  <c r="BA25" s="1"/>
  <c r="AP24"/>
  <c r="BB24" s="1"/>
  <c r="AJ24"/>
  <c r="AJ21"/>
  <c r="AP21" s="1"/>
  <c r="BB21" s="1"/>
  <c r="AP140"/>
  <c r="BB140" s="1"/>
  <c r="AJ140"/>
  <c r="AJ133"/>
  <c r="AP133" s="1"/>
  <c r="BB133" s="1"/>
  <c r="AP128"/>
  <c r="BB128" s="1"/>
  <c r="AJ128"/>
  <c r="AJ124"/>
  <c r="AP124" s="1"/>
  <c r="BB124" s="1"/>
  <c r="AP118"/>
  <c r="BB118" s="1"/>
  <c r="AJ118"/>
  <c r="AJ83"/>
  <c r="AP83" s="1"/>
  <c r="BB83" s="1"/>
  <c r="AP80"/>
  <c r="BB80" s="1"/>
  <c r="AJ80"/>
  <c r="AJ75"/>
  <c r="AP75" s="1"/>
  <c r="BB75" s="1"/>
  <c r="AO67"/>
  <c r="BA67" s="1"/>
  <c r="AI67"/>
  <c r="AJ61"/>
  <c r="AP61" s="1"/>
  <c r="BB61" s="1"/>
  <c r="AO58"/>
  <c r="BA58" s="1"/>
  <c r="AI58"/>
  <c r="AJ53"/>
  <c r="AP53" s="1"/>
  <c r="BB53" s="1"/>
  <c r="AO51"/>
  <c r="BA51" s="1"/>
  <c r="AI51"/>
  <c r="AJ50"/>
  <c r="AP50" s="1"/>
  <c r="BB50" s="1"/>
  <c r="AO38"/>
  <c r="BA38" s="1"/>
  <c r="AI38"/>
  <c r="AJ37"/>
  <c r="AP37" s="1"/>
  <c r="BB37" s="1"/>
  <c r="AO32"/>
  <c r="BA32" s="1"/>
  <c r="AI32"/>
  <c r="AJ31"/>
  <c r="AP31" s="1"/>
  <c r="BB31" s="1"/>
  <c r="AP29"/>
  <c r="BB29" s="1"/>
  <c r="AJ29"/>
  <c r="AI27"/>
  <c r="AO27" s="1"/>
  <c r="BA27" s="1"/>
  <c r="AP20"/>
  <c r="BB20" s="1"/>
  <c r="AJ20"/>
  <c r="AI17"/>
  <c r="AO17" s="1"/>
  <c r="BA17" s="1"/>
  <c r="D19" i="14"/>
  <c r="H19" s="1"/>
  <c r="M13" i="9"/>
  <c r="I145"/>
  <c r="I146" s="1"/>
  <c r="AC147"/>
  <c r="AG191" s="1"/>
  <c r="AG194" s="1"/>
  <c r="AD147"/>
  <c r="AH191" s="1"/>
  <c r="AH194" s="1"/>
  <c r="J116"/>
  <c r="J122"/>
  <c r="J111"/>
  <c r="J65"/>
  <c r="J54"/>
  <c r="AJ147"/>
  <c r="AH192" s="1"/>
  <c r="AH195" s="1"/>
  <c r="H54"/>
  <c r="H65"/>
  <c r="Y13"/>
  <c r="Z13" s="1"/>
  <c r="AB13" s="1"/>
  <c r="H116"/>
  <c r="H122"/>
  <c r="BA22"/>
  <c r="BA15"/>
  <c r="BA13"/>
  <c r="R111"/>
  <c r="AO14"/>
  <c r="BA14" s="1"/>
  <c r="X8"/>
  <c r="AC199"/>
  <c r="AC200" s="1"/>
  <c r="AC194"/>
  <c r="AC195" s="1"/>
  <c r="AC196" s="1"/>
  <c r="AC192"/>
  <c r="AC193" s="1"/>
  <c r="G145"/>
  <c r="G146" s="1"/>
  <c r="X11"/>
  <c r="W22"/>
  <c r="Q17"/>
  <c r="Q145" s="1"/>
  <c r="Q146" s="1"/>
  <c r="T17"/>
  <c r="AY156"/>
  <c r="AZ156"/>
  <c r="BB13" l="1"/>
  <c r="BB147" s="1"/>
  <c r="AH200" s="1"/>
  <c r="AP147"/>
  <c r="AH193" s="1"/>
  <c r="AH196" s="1"/>
  <c r="F25" i="12"/>
  <c r="BA16" i="9"/>
  <c r="AY157"/>
  <c r="AY158" s="1"/>
  <c r="AY159" s="1"/>
  <c r="AY160" s="1"/>
  <c r="AY161" s="1"/>
  <c r="AY162" s="1"/>
  <c r="AY163" s="1"/>
  <c r="AY164" s="1"/>
  <c r="AY165" s="1"/>
  <c r="AY166" s="1"/>
  <c r="AY167" s="1"/>
  <c r="AY168" s="1"/>
  <c r="AY169" s="1"/>
  <c r="F48" i="14"/>
  <c r="F24" i="12"/>
  <c r="BB16" i="9"/>
  <c r="AZ157"/>
  <c r="AZ158" s="1"/>
  <c r="AZ159" s="1"/>
  <c r="AZ160" s="1"/>
  <c r="AZ161" s="1"/>
  <c r="AZ162" s="1"/>
  <c r="AZ163" s="1"/>
  <c r="AZ164" s="1"/>
  <c r="AZ165" s="1"/>
  <c r="AZ166" s="1"/>
  <c r="AZ167" s="1"/>
  <c r="AZ168" s="1"/>
  <c r="AZ169" s="1"/>
  <c r="F49" i="14"/>
  <c r="F29" s="1"/>
  <c r="F8" s="1"/>
  <c r="J8" s="1"/>
  <c r="F12" i="21" s="1"/>
  <c r="H145" i="9"/>
  <c r="R122"/>
  <c r="AA122" s="1"/>
  <c r="AM122" s="1"/>
  <c r="J145"/>
  <c r="I150" s="1"/>
  <c r="BA147"/>
  <c r="AG199" s="1"/>
  <c r="AG200" s="1"/>
  <c r="AO147"/>
  <c r="AG193" s="1"/>
  <c r="AG196" s="1"/>
  <c r="U111"/>
  <c r="X67"/>
  <c r="Z67" s="1"/>
  <c r="AA92"/>
  <c r="AA96"/>
  <c r="AA46"/>
  <c r="AA81"/>
  <c r="AA97"/>
  <c r="AA114"/>
  <c r="AA62"/>
  <c r="AA17"/>
  <c r="AA34"/>
  <c r="AA89"/>
  <c r="AA105"/>
  <c r="AA16"/>
  <c r="AA26"/>
  <c r="AA71"/>
  <c r="AA64"/>
  <c r="AA139"/>
  <c r="AA101"/>
  <c r="AA109"/>
  <c r="AA119"/>
  <c r="AA124"/>
  <c r="AA140"/>
  <c r="AA60"/>
  <c r="AA94"/>
  <c r="AA18"/>
  <c r="AA90"/>
  <c r="AA98"/>
  <c r="AA102"/>
  <c r="AA120"/>
  <c r="AA129"/>
  <c r="AA133"/>
  <c r="AA79"/>
  <c r="AA83"/>
  <c r="AA99"/>
  <c r="AA126"/>
  <c r="AA142"/>
  <c r="AA80"/>
  <c r="AA108"/>
  <c r="AA118"/>
  <c r="AA58"/>
  <c r="AA84"/>
  <c r="AA113"/>
  <c r="AA127"/>
  <c r="AA128"/>
  <c r="AA86"/>
  <c r="AA106"/>
  <c r="AA110"/>
  <c r="AA115"/>
  <c r="AA137"/>
  <c r="AA121"/>
  <c r="AA130"/>
  <c r="AA135"/>
  <c r="AA104"/>
  <c r="AA93"/>
  <c r="AA136"/>
  <c r="AA123"/>
  <c r="AA74"/>
  <c r="AA141"/>
  <c r="AA134"/>
  <c r="AA13"/>
  <c r="AA103"/>
  <c r="AA100"/>
  <c r="AA117"/>
  <c r="AA20"/>
  <c r="AA32"/>
  <c r="AA48"/>
  <c r="AA87"/>
  <c r="AA138"/>
  <c r="AA88"/>
  <c r="AA132"/>
  <c r="AA125"/>
  <c r="AA24"/>
  <c r="AA91"/>
  <c r="AA107"/>
  <c r="AA112"/>
  <c r="AA131"/>
  <c r="AA65"/>
  <c r="AS65" s="1"/>
  <c r="AA116"/>
  <c r="AS116" s="1"/>
  <c r="AA111"/>
  <c r="AH111" s="1"/>
  <c r="AF111" s="1"/>
  <c r="BK111" s="1"/>
  <c r="T145"/>
  <c r="T146" s="1"/>
  <c r="U54"/>
  <c r="U65"/>
  <c r="W23"/>
  <c r="X21"/>
  <c r="X27"/>
  <c r="X32"/>
  <c r="X37"/>
  <c r="X41"/>
  <c r="X23"/>
  <c r="X29"/>
  <c r="X35"/>
  <c r="X39"/>
  <c r="X43"/>
  <c r="X19"/>
  <c r="X38"/>
  <c r="X42"/>
  <c r="X44"/>
  <c r="X45"/>
  <c r="X49"/>
  <c r="X22"/>
  <c r="X30"/>
  <c r="X33"/>
  <c r="X50"/>
  <c r="X51"/>
  <c r="X52"/>
  <c r="X57"/>
  <c r="X62"/>
  <c r="X63"/>
  <c r="X66"/>
  <c r="X71"/>
  <c r="X74"/>
  <c r="X79"/>
  <c r="X89"/>
  <c r="X93"/>
  <c r="X99"/>
  <c r="X104"/>
  <c r="X112"/>
  <c r="X25"/>
  <c r="X36"/>
  <c r="X40"/>
  <c r="X53"/>
  <c r="X54"/>
  <c r="X28"/>
  <c r="X31"/>
  <c r="X47"/>
  <c r="X56"/>
  <c r="X58"/>
  <c r="X59"/>
  <c r="X60"/>
  <c r="X69"/>
  <c r="X70"/>
  <c r="X76"/>
  <c r="X77"/>
  <c r="X78"/>
  <c r="X80"/>
  <c r="X81"/>
  <c r="X85"/>
  <c r="X86"/>
  <c r="X87"/>
  <c r="X102"/>
  <c r="X103"/>
  <c r="X105"/>
  <c r="X106"/>
  <c r="X111"/>
  <c r="X116"/>
  <c r="X117"/>
  <c r="X119"/>
  <c r="X123"/>
  <c r="X127"/>
  <c r="X131"/>
  <c r="X137"/>
  <c r="X140"/>
  <c r="X14"/>
  <c r="X68"/>
  <c r="X55"/>
  <c r="X73"/>
  <c r="X75"/>
  <c r="X84"/>
  <c r="X98"/>
  <c r="X100"/>
  <c r="X101"/>
  <c r="X115"/>
  <c r="X118"/>
  <c r="X122"/>
  <c r="X126"/>
  <c r="X130"/>
  <c r="X134"/>
  <c r="X136"/>
  <c r="X139"/>
  <c r="X142"/>
  <c r="X64"/>
  <c r="X65"/>
  <c r="X72"/>
  <c r="X95"/>
  <c r="X96"/>
  <c r="X97"/>
  <c r="X108"/>
  <c r="X109"/>
  <c r="X110"/>
  <c r="X113"/>
  <c r="X114"/>
  <c r="X121"/>
  <c r="X125"/>
  <c r="X129"/>
  <c r="X133"/>
  <c r="X138"/>
  <c r="X141"/>
  <c r="X15"/>
  <c r="X61"/>
  <c r="X82"/>
  <c r="X88"/>
  <c r="X90"/>
  <c r="X91"/>
  <c r="X92"/>
  <c r="X94"/>
  <c r="X120"/>
  <c r="X124"/>
  <c r="X128"/>
  <c r="X132"/>
  <c r="X135"/>
  <c r="R145" l="1"/>
  <c r="Q150" s="1"/>
  <c r="AG122"/>
  <c r="AS24"/>
  <c r="BE24" s="1"/>
  <c r="AN24"/>
  <c r="AM24"/>
  <c r="AS20"/>
  <c r="BE20" s="1"/>
  <c r="AM20"/>
  <c r="AN20"/>
  <c r="AS123"/>
  <c r="AN123"/>
  <c r="AM123"/>
  <c r="AN115"/>
  <c r="AS115"/>
  <c r="AM115"/>
  <c r="AS58"/>
  <c r="AN58"/>
  <c r="AM58"/>
  <c r="AM94"/>
  <c r="AS94"/>
  <c r="AN94"/>
  <c r="AS91"/>
  <c r="AN91"/>
  <c r="AM91"/>
  <c r="AN88"/>
  <c r="AS88"/>
  <c r="AM88"/>
  <c r="AM32"/>
  <c r="AN32"/>
  <c r="AS32"/>
  <c r="AM103"/>
  <c r="AS103"/>
  <c r="AN103"/>
  <c r="AS74"/>
  <c r="AN74"/>
  <c r="AM74"/>
  <c r="AN104"/>
  <c r="AM104"/>
  <c r="AS104"/>
  <c r="AS137"/>
  <c r="AM137"/>
  <c r="AN137"/>
  <c r="AM86"/>
  <c r="AN86"/>
  <c r="AS86"/>
  <c r="AN84"/>
  <c r="AM84"/>
  <c r="AS84"/>
  <c r="AS80"/>
  <c r="AM80"/>
  <c r="AN80"/>
  <c r="AS83"/>
  <c r="BE83" s="1"/>
  <c r="AN83"/>
  <c r="AM83"/>
  <c r="AS120"/>
  <c r="AM120"/>
  <c r="AN120"/>
  <c r="AY18"/>
  <c r="AY155" s="1"/>
  <c r="E48" i="14" s="1"/>
  <c r="AZ18" i="9"/>
  <c r="AN124"/>
  <c r="AS124"/>
  <c r="AM124"/>
  <c r="AS139"/>
  <c r="AM139"/>
  <c r="AN139"/>
  <c r="AN16"/>
  <c r="AM16"/>
  <c r="AS16"/>
  <c r="BE16" s="1"/>
  <c r="AM17"/>
  <c r="AN17"/>
  <c r="AS17"/>
  <c r="BE17" s="1"/>
  <c r="AS81"/>
  <c r="AN81"/>
  <c r="AM81"/>
  <c r="AS107"/>
  <c r="BE107" s="1"/>
  <c r="AN107"/>
  <c r="AM107"/>
  <c r="AM132"/>
  <c r="AS132"/>
  <c r="AN132"/>
  <c r="AN48"/>
  <c r="AM48"/>
  <c r="AS48"/>
  <c r="BE48" s="1"/>
  <c r="AM100"/>
  <c r="AN100"/>
  <c r="AS100"/>
  <c r="AS141"/>
  <c r="AN141"/>
  <c r="AM141"/>
  <c r="AS93"/>
  <c r="AM93"/>
  <c r="AN93"/>
  <c r="AN121"/>
  <c r="AS121"/>
  <c r="AM121"/>
  <c r="AM106"/>
  <c r="AN106"/>
  <c r="AS106"/>
  <c r="AM113"/>
  <c r="AS113"/>
  <c r="AN113"/>
  <c r="AS108"/>
  <c r="AM108"/>
  <c r="AN108"/>
  <c r="AS99"/>
  <c r="AN99"/>
  <c r="AM99"/>
  <c r="AM129"/>
  <c r="AN129"/>
  <c r="AS129"/>
  <c r="AN90"/>
  <c r="AM90"/>
  <c r="AS90"/>
  <c r="AM140"/>
  <c r="AS140"/>
  <c r="AN140"/>
  <c r="AM101"/>
  <c r="AN101"/>
  <c r="AS101"/>
  <c r="AN26"/>
  <c r="AM26"/>
  <c r="AS26"/>
  <c r="BE26" s="1"/>
  <c r="AS34"/>
  <c r="BE34" s="1"/>
  <c r="AM34"/>
  <c r="AN34"/>
  <c r="AS97"/>
  <c r="AM97"/>
  <c r="AN97"/>
  <c r="AN92"/>
  <c r="AM92"/>
  <c r="AS92"/>
  <c r="AH122"/>
  <c r="AF122" s="1"/>
  <c r="BK122" s="1"/>
  <c r="AN116"/>
  <c r="AN65"/>
  <c r="AS111"/>
  <c r="AS122"/>
  <c r="AN112"/>
  <c r="AM112"/>
  <c r="AS112"/>
  <c r="AM125"/>
  <c r="AN125"/>
  <c r="AS125"/>
  <c r="AS87"/>
  <c r="AN87"/>
  <c r="AM87"/>
  <c r="AN117"/>
  <c r="AS117"/>
  <c r="AM117"/>
  <c r="AN134"/>
  <c r="AS134"/>
  <c r="AM134"/>
  <c r="AS136"/>
  <c r="AN136"/>
  <c r="AM136"/>
  <c r="AN130"/>
  <c r="AM130"/>
  <c r="AS130"/>
  <c r="AM110"/>
  <c r="AS110"/>
  <c r="AN110"/>
  <c r="AS127"/>
  <c r="AM127"/>
  <c r="AN127"/>
  <c r="AN118"/>
  <c r="AS118"/>
  <c r="AM118"/>
  <c r="AN126"/>
  <c r="AS126"/>
  <c r="AM126"/>
  <c r="AS133"/>
  <c r="AM133"/>
  <c r="AN133"/>
  <c r="AM98"/>
  <c r="AN98"/>
  <c r="AS98"/>
  <c r="AN60"/>
  <c r="AM60"/>
  <c r="AS60"/>
  <c r="AM109"/>
  <c r="AS109"/>
  <c r="AN109"/>
  <c r="AS71"/>
  <c r="AM71"/>
  <c r="AN71"/>
  <c r="AM89"/>
  <c r="AS89"/>
  <c r="AN89"/>
  <c r="AS114"/>
  <c r="AN114"/>
  <c r="AM114"/>
  <c r="AS96"/>
  <c r="AN96"/>
  <c r="AM96"/>
  <c r="AN111"/>
  <c r="AN122"/>
  <c r="AM131"/>
  <c r="AN131"/>
  <c r="AS131"/>
  <c r="AS13"/>
  <c r="BE13" s="1"/>
  <c r="AM13"/>
  <c r="AN13"/>
  <c r="AN135"/>
  <c r="AS135"/>
  <c r="AM135"/>
  <c r="AM128"/>
  <c r="AS128"/>
  <c r="AN128"/>
  <c r="AN142"/>
  <c r="AM142"/>
  <c r="AS142"/>
  <c r="AN79"/>
  <c r="AS79"/>
  <c r="AM79"/>
  <c r="AN102"/>
  <c r="AS102"/>
  <c r="AM102"/>
  <c r="AN119"/>
  <c r="AM119"/>
  <c r="AS119"/>
  <c r="AN64"/>
  <c r="AM64"/>
  <c r="AS64"/>
  <c r="AM105"/>
  <c r="AN105"/>
  <c r="AS105"/>
  <c r="AN62"/>
  <c r="AS62"/>
  <c r="AM62"/>
  <c r="AN46"/>
  <c r="AM46"/>
  <c r="AS46"/>
  <c r="BE46" s="1"/>
  <c r="AM116"/>
  <c r="AM65"/>
  <c r="AN138"/>
  <c r="AM138"/>
  <c r="AS138"/>
  <c r="AM111"/>
  <c r="AH199"/>
  <c r="AB67"/>
  <c r="AA67"/>
  <c r="AH20"/>
  <c r="AG20"/>
  <c r="AH104"/>
  <c r="AG104"/>
  <c r="AH127"/>
  <c r="AF127" s="1"/>
  <c r="BK127" s="1"/>
  <c r="AG127"/>
  <c r="AH142"/>
  <c r="AF142" s="1"/>
  <c r="BK142" s="1"/>
  <c r="AG142"/>
  <c r="AH26"/>
  <c r="AG26"/>
  <c r="AG97"/>
  <c r="AH97"/>
  <c r="AG96"/>
  <c r="AH96"/>
  <c r="AH132"/>
  <c r="AF132" s="1"/>
  <c r="BK132" s="1"/>
  <c r="AG132"/>
  <c r="AG117"/>
  <c r="AH117"/>
  <c r="AH13"/>
  <c r="AG13"/>
  <c r="AG141"/>
  <c r="AH141"/>
  <c r="AF141" s="1"/>
  <c r="BK141" s="1"/>
  <c r="AH136"/>
  <c r="AF136" s="1"/>
  <c r="BK136" s="1"/>
  <c r="AG136"/>
  <c r="AH130"/>
  <c r="AF130" s="1"/>
  <c r="BK130" s="1"/>
  <c r="AG130"/>
  <c r="AH137"/>
  <c r="AF137" s="1"/>
  <c r="BK137" s="1"/>
  <c r="AG137"/>
  <c r="AH86"/>
  <c r="AG86"/>
  <c r="AG113"/>
  <c r="AH113"/>
  <c r="AF113" s="1"/>
  <c r="BK113" s="1"/>
  <c r="AG108"/>
  <c r="AH108"/>
  <c r="AH126"/>
  <c r="AF126" s="1"/>
  <c r="BK126" s="1"/>
  <c r="AG126"/>
  <c r="AH133"/>
  <c r="AF133" s="1"/>
  <c r="BK133" s="1"/>
  <c r="AG133"/>
  <c r="AH98"/>
  <c r="AG98"/>
  <c r="AG140"/>
  <c r="AH140"/>
  <c r="AF140" s="1"/>
  <c r="BK140" s="1"/>
  <c r="AG101"/>
  <c r="AH101"/>
  <c r="AH89"/>
  <c r="AG89"/>
  <c r="AG34"/>
  <c r="AH34"/>
  <c r="AG62"/>
  <c r="AH62"/>
  <c r="AG81"/>
  <c r="AH81"/>
  <c r="AG92"/>
  <c r="AH92"/>
  <c r="AG111"/>
  <c r="AG116"/>
  <c r="AH116"/>
  <c r="AG88"/>
  <c r="AH88"/>
  <c r="AG48"/>
  <c r="AH48"/>
  <c r="AG100"/>
  <c r="AH100"/>
  <c r="AG134"/>
  <c r="AH134"/>
  <c r="AF134" s="1"/>
  <c r="BK134" s="1"/>
  <c r="AH74"/>
  <c r="AG74"/>
  <c r="AG93"/>
  <c r="AH93"/>
  <c r="AG135"/>
  <c r="AH135"/>
  <c r="AF135" s="1"/>
  <c r="BK135" s="1"/>
  <c r="AH121"/>
  <c r="AG121"/>
  <c r="AH115"/>
  <c r="AF115" s="1"/>
  <c r="BK115" s="1"/>
  <c r="AG115"/>
  <c r="AH128"/>
  <c r="AF128" s="1"/>
  <c r="BK128" s="1"/>
  <c r="AG128"/>
  <c r="AG84"/>
  <c r="AH84"/>
  <c r="AG80"/>
  <c r="AH80"/>
  <c r="AH99"/>
  <c r="AG99"/>
  <c r="AG129"/>
  <c r="AH129"/>
  <c r="AF129" s="1"/>
  <c r="BK129" s="1"/>
  <c r="AH90"/>
  <c r="AG90"/>
  <c r="AG60"/>
  <c r="AH60"/>
  <c r="AG124"/>
  <c r="AH124"/>
  <c r="AF124" s="1"/>
  <c r="BK124" s="1"/>
  <c r="AH71"/>
  <c r="AG71"/>
  <c r="AG131"/>
  <c r="AH131"/>
  <c r="AF131" s="1"/>
  <c r="BK131" s="1"/>
  <c r="AG107"/>
  <c r="AH107"/>
  <c r="AG125"/>
  <c r="AH125"/>
  <c r="AF125" s="1"/>
  <c r="BK125" s="1"/>
  <c r="AG87"/>
  <c r="AH87"/>
  <c r="AH123"/>
  <c r="AG123"/>
  <c r="AH106"/>
  <c r="AG106"/>
  <c r="AG118"/>
  <c r="AH118"/>
  <c r="AF118" s="1"/>
  <c r="BK118" s="1"/>
  <c r="AG79"/>
  <c r="AH79"/>
  <c r="AG102"/>
  <c r="AH102"/>
  <c r="AG109"/>
  <c r="AH109"/>
  <c r="AF109" s="1"/>
  <c r="BK109" s="1"/>
  <c r="AG139"/>
  <c r="AH139"/>
  <c r="AF139" s="1"/>
  <c r="BK139" s="1"/>
  <c r="AH105"/>
  <c r="AG105"/>
  <c r="AG91"/>
  <c r="AH91"/>
  <c r="AG65"/>
  <c r="AH65"/>
  <c r="AF65" s="1"/>
  <c r="BK65" s="1"/>
  <c r="AG112"/>
  <c r="AH112"/>
  <c r="AG24"/>
  <c r="AH24"/>
  <c r="AH138"/>
  <c r="AF138" s="1"/>
  <c r="BK138" s="1"/>
  <c r="AG138"/>
  <c r="AG32"/>
  <c r="AH32"/>
  <c r="AH103"/>
  <c r="AG103"/>
  <c r="AH110"/>
  <c r="AG110"/>
  <c r="AH58"/>
  <c r="AG58"/>
  <c r="AH83"/>
  <c r="AF83" s="1"/>
  <c r="BK83" s="1"/>
  <c r="AG83"/>
  <c r="AH120"/>
  <c r="AF120" s="1"/>
  <c r="BK120" s="1"/>
  <c r="AG120"/>
  <c r="AH94"/>
  <c r="AG94"/>
  <c r="AG119"/>
  <c r="AH119"/>
  <c r="AF119" s="1"/>
  <c r="BK119" s="1"/>
  <c r="AH64"/>
  <c r="AG64"/>
  <c r="AG16"/>
  <c r="AH16"/>
  <c r="AH17"/>
  <c r="AG17"/>
  <c r="AG114"/>
  <c r="AH114"/>
  <c r="AG46"/>
  <c r="AH46"/>
  <c r="U145"/>
  <c r="T150" s="1"/>
  <c r="Z141"/>
  <c r="Z96"/>
  <c r="Z98"/>
  <c r="Z106"/>
  <c r="Z58"/>
  <c r="Z99"/>
  <c r="Z50"/>
  <c r="Z37"/>
  <c r="Z82"/>
  <c r="Z121"/>
  <c r="Z142"/>
  <c r="Z115"/>
  <c r="Z131"/>
  <c r="Z105"/>
  <c r="Z69"/>
  <c r="Z25"/>
  <c r="Z71"/>
  <c r="Z45"/>
  <c r="Z124"/>
  <c r="Z91"/>
  <c r="Z61"/>
  <c r="Z133"/>
  <c r="Z114"/>
  <c r="Z108"/>
  <c r="Z72"/>
  <c r="Z139"/>
  <c r="Z126"/>
  <c r="Z101"/>
  <c r="Z75"/>
  <c r="Z14"/>
  <c r="X145"/>
  <c r="Z127"/>
  <c r="Z116"/>
  <c r="Z103"/>
  <c r="Z85"/>
  <c r="Z77"/>
  <c r="Z60"/>
  <c r="Z47"/>
  <c r="Z53"/>
  <c r="Z112"/>
  <c r="Z89"/>
  <c r="Z66"/>
  <c r="Z52"/>
  <c r="Z30"/>
  <c r="Z44"/>
  <c r="Z43"/>
  <c r="Z23"/>
  <c r="Z27"/>
  <c r="Z88"/>
  <c r="Z64"/>
  <c r="Z55"/>
  <c r="Z87"/>
  <c r="Z28"/>
  <c r="Z62"/>
  <c r="Z49"/>
  <c r="Z35"/>
  <c r="Z128"/>
  <c r="Z138"/>
  <c r="Z95"/>
  <c r="Z130"/>
  <c r="Z68"/>
  <c r="AB68" s="1"/>
  <c r="Z117"/>
  <c r="Z78"/>
  <c r="AA78" s="1"/>
  <c r="Z54"/>
  <c r="Z93"/>
  <c r="Z33"/>
  <c r="Z19"/>
  <c r="Z32"/>
  <c r="Z135"/>
  <c r="Z120"/>
  <c r="Z90"/>
  <c r="Z15"/>
  <c r="Z129"/>
  <c r="Z113"/>
  <c r="Z97"/>
  <c r="Z65"/>
  <c r="Z136"/>
  <c r="Z122"/>
  <c r="Z100"/>
  <c r="Z73"/>
  <c r="Z140"/>
  <c r="Z123"/>
  <c r="Z111"/>
  <c r="Z102"/>
  <c r="Z81"/>
  <c r="Z76"/>
  <c r="Z59"/>
  <c r="Z31"/>
  <c r="Z40"/>
  <c r="Z104"/>
  <c r="Z79"/>
  <c r="Z63"/>
  <c r="Z51"/>
  <c r="Z22"/>
  <c r="Z42"/>
  <c r="Z39"/>
  <c r="Z41"/>
  <c r="Z21"/>
  <c r="Z132"/>
  <c r="Z110"/>
  <c r="Z134"/>
  <c r="Z137"/>
  <c r="Z70"/>
  <c r="Z74"/>
  <c r="Z94"/>
  <c r="Z125"/>
  <c r="Z118"/>
  <c r="Z119"/>
  <c r="Z80"/>
  <c r="Z36"/>
  <c r="Z38"/>
  <c r="Z92"/>
  <c r="Z109"/>
  <c r="Z84"/>
  <c r="Z86"/>
  <c r="Z56"/>
  <c r="Z57"/>
  <c r="Z29"/>
  <c r="AF13" l="1"/>
  <c r="BK13" s="1"/>
  <c r="AN67"/>
  <c r="AS67"/>
  <c r="BE67" s="1"/>
  <c r="AM67"/>
  <c r="AL105"/>
  <c r="AT105"/>
  <c r="AR105" s="1"/>
  <c r="AT64"/>
  <c r="AR64" s="1"/>
  <c r="AL64"/>
  <c r="AL142"/>
  <c r="BM142" s="1"/>
  <c r="AT142"/>
  <c r="AT96"/>
  <c r="AR96" s="1"/>
  <c r="AL96"/>
  <c r="AT71"/>
  <c r="AL71"/>
  <c r="AT60"/>
  <c r="AR60" s="1"/>
  <c r="AL60"/>
  <c r="AL133"/>
  <c r="BM133" s="1"/>
  <c r="AT133"/>
  <c r="AL118"/>
  <c r="BM118" s="1"/>
  <c r="AT118"/>
  <c r="AL110"/>
  <c r="AT110"/>
  <c r="AT87"/>
  <c r="AR87" s="1"/>
  <c r="AL87"/>
  <c r="AL97"/>
  <c r="AT97"/>
  <c r="AR97" s="1"/>
  <c r="AL26"/>
  <c r="AT26"/>
  <c r="AT140"/>
  <c r="AL140"/>
  <c r="BM140" s="1"/>
  <c r="AT108"/>
  <c r="AR108" s="1"/>
  <c r="AL108"/>
  <c r="AL93"/>
  <c r="AT93"/>
  <c r="AR93" s="1"/>
  <c r="AL141"/>
  <c r="BM141" s="1"/>
  <c r="AT141"/>
  <c r="AT132"/>
  <c r="AL132"/>
  <c r="BM132" s="1"/>
  <c r="AT107"/>
  <c r="AL107"/>
  <c r="AT124"/>
  <c r="AL124"/>
  <c r="BM124" s="1"/>
  <c r="AL86"/>
  <c r="AT86"/>
  <c r="AR86" s="1"/>
  <c r="AF114"/>
  <c r="BK114" s="1"/>
  <c r="AF16"/>
  <c r="BK16" s="1"/>
  <c r="AF112"/>
  <c r="BK112" s="1"/>
  <c r="AF91"/>
  <c r="BK91" s="1"/>
  <c r="AF102"/>
  <c r="BK102" s="1"/>
  <c r="AF84"/>
  <c r="BK84" s="1"/>
  <c r="AF100"/>
  <c r="BK100" s="1"/>
  <c r="AF88"/>
  <c r="BK88" s="1"/>
  <c r="AF97"/>
  <c r="BK97" s="1"/>
  <c r="AG78"/>
  <c r="AM78"/>
  <c r="AN78"/>
  <c r="AS78"/>
  <c r="BE78" s="1"/>
  <c r="AL46"/>
  <c r="AT46"/>
  <c r="AT119"/>
  <c r="AL119"/>
  <c r="BM119" s="1"/>
  <c r="AT13"/>
  <c r="AL13"/>
  <c r="AT131"/>
  <c r="AL131"/>
  <c r="BM131" s="1"/>
  <c r="AL114"/>
  <c r="AT114"/>
  <c r="AR114" s="1"/>
  <c r="AL109"/>
  <c r="BM109" s="1"/>
  <c r="AT109"/>
  <c r="AR109" s="1"/>
  <c r="AT136"/>
  <c r="AL136"/>
  <c r="BM136" s="1"/>
  <c r="AL134"/>
  <c r="BM134" s="1"/>
  <c r="AT134"/>
  <c r="AL125"/>
  <c r="BM125" s="1"/>
  <c r="AT125"/>
  <c r="AT112"/>
  <c r="AR112" s="1"/>
  <c r="AL112"/>
  <c r="AT116"/>
  <c r="AR116" s="1"/>
  <c r="AL116"/>
  <c r="AT92"/>
  <c r="AR92" s="1"/>
  <c r="AL92"/>
  <c r="AL34"/>
  <c r="AT34"/>
  <c r="AL129"/>
  <c r="BM129" s="1"/>
  <c r="AT129"/>
  <c r="AL113"/>
  <c r="BM113" s="1"/>
  <c r="AT113"/>
  <c r="AR113" s="1"/>
  <c r="AL106"/>
  <c r="AT106"/>
  <c r="AR106" s="1"/>
  <c r="AL121"/>
  <c r="AT121"/>
  <c r="AT100"/>
  <c r="AR100" s="1"/>
  <c r="AL100"/>
  <c r="AT48"/>
  <c r="AL48"/>
  <c r="AL81"/>
  <c r="AT81"/>
  <c r="AR81" s="1"/>
  <c r="AT139"/>
  <c r="AL139"/>
  <c r="BM139" s="1"/>
  <c r="AT120"/>
  <c r="AL120"/>
  <c r="BM120" s="1"/>
  <c r="AT83"/>
  <c r="AL83"/>
  <c r="BM83" s="1"/>
  <c r="AT104"/>
  <c r="AR104" s="1"/>
  <c r="AL104"/>
  <c r="AT103"/>
  <c r="AR103" s="1"/>
  <c r="AL103"/>
  <c r="AT32"/>
  <c r="AR32" s="1"/>
  <c r="AL32"/>
  <c r="AT88"/>
  <c r="AR88" s="1"/>
  <c r="AL88"/>
  <c r="AL94"/>
  <c r="AT94"/>
  <c r="AR94" s="1"/>
  <c r="AL58"/>
  <c r="AT58"/>
  <c r="AR58" s="1"/>
  <c r="AT115"/>
  <c r="AR115" s="1"/>
  <c r="AL115"/>
  <c r="BM115" s="1"/>
  <c r="AT20"/>
  <c r="AL20"/>
  <c r="AT24"/>
  <c r="AL24"/>
  <c r="AF17"/>
  <c r="BK17" s="1"/>
  <c r="AF64"/>
  <c r="BK64" s="1"/>
  <c r="AF94"/>
  <c r="BK94" s="1"/>
  <c r="AF110"/>
  <c r="BK110" s="1"/>
  <c r="AF105"/>
  <c r="BK105" s="1"/>
  <c r="AF106"/>
  <c r="BK106" s="1"/>
  <c r="AF71"/>
  <c r="BK71" s="1"/>
  <c r="AF121"/>
  <c r="BK121" s="1"/>
  <c r="AF81"/>
  <c r="BK81" s="1"/>
  <c r="AF34"/>
  <c r="BK34" s="1"/>
  <c r="AF101"/>
  <c r="BK101" s="1"/>
  <c r="AH78"/>
  <c r="AF78" s="1"/>
  <c r="BK78" s="1"/>
  <c r="AF86"/>
  <c r="BK86" s="1"/>
  <c r="AF26"/>
  <c r="BK26" s="1"/>
  <c r="AF20"/>
  <c r="BK20" s="1"/>
  <c r="AL138"/>
  <c r="BM138" s="1"/>
  <c r="AT138"/>
  <c r="AL62"/>
  <c r="AT62"/>
  <c r="AR62" s="1"/>
  <c r="AL102"/>
  <c r="AT102"/>
  <c r="AR102" s="1"/>
  <c r="AT135"/>
  <c r="AL135"/>
  <c r="BM135" s="1"/>
  <c r="AT111"/>
  <c r="AL111"/>
  <c r="BM111" s="1"/>
  <c r="AL98"/>
  <c r="AT98"/>
  <c r="AR98" s="1"/>
  <c r="AL117"/>
  <c r="AT117"/>
  <c r="AR117" s="1"/>
  <c r="AT65"/>
  <c r="AL65"/>
  <c r="BM65" s="1"/>
  <c r="AL101"/>
  <c r="AT101"/>
  <c r="AR101" s="1"/>
  <c r="AT99"/>
  <c r="AR99" s="1"/>
  <c r="AL99"/>
  <c r="AL17"/>
  <c r="AT17"/>
  <c r="AL16"/>
  <c r="AT16"/>
  <c r="AT84"/>
  <c r="AR84" s="1"/>
  <c r="AL84"/>
  <c r="AL137"/>
  <c r="BM137" s="1"/>
  <c r="AT137"/>
  <c r="AF46"/>
  <c r="BK46" s="1"/>
  <c r="AF32"/>
  <c r="BK32" s="1"/>
  <c r="AF24"/>
  <c r="BK24" s="1"/>
  <c r="AF79"/>
  <c r="BK79" s="1"/>
  <c r="AF87"/>
  <c r="BK87" s="1"/>
  <c r="AF107"/>
  <c r="BK107" s="1"/>
  <c r="AF60"/>
  <c r="BK60" s="1"/>
  <c r="AF80"/>
  <c r="BK80" s="1"/>
  <c r="AF93"/>
  <c r="BK93" s="1"/>
  <c r="AF48"/>
  <c r="BK48" s="1"/>
  <c r="AF116"/>
  <c r="BK116" s="1"/>
  <c r="AF89"/>
  <c r="BK89" s="1"/>
  <c r="AF108"/>
  <c r="BK108" s="1"/>
  <c r="AF117"/>
  <c r="BK117" s="1"/>
  <c r="AF96"/>
  <c r="BK96" s="1"/>
  <c r="AT79"/>
  <c r="AR79" s="1"/>
  <c r="AL79"/>
  <c r="AT128"/>
  <c r="AL128"/>
  <c r="BM128" s="1"/>
  <c r="AL122"/>
  <c r="BM122" s="1"/>
  <c r="AT122"/>
  <c r="AL89"/>
  <c r="AT89"/>
  <c r="AR89" s="1"/>
  <c r="AL126"/>
  <c r="BM126" s="1"/>
  <c r="AT126"/>
  <c r="AT127"/>
  <c r="AL127"/>
  <c r="BM127" s="1"/>
  <c r="AL130"/>
  <c r="BM130" s="1"/>
  <c r="AT130"/>
  <c r="AL90"/>
  <c r="AT90"/>
  <c r="AR90" s="1"/>
  <c r="BF18"/>
  <c r="AZ155"/>
  <c r="E49" i="14" s="1"/>
  <c r="E29" s="1"/>
  <c r="E8" s="1"/>
  <c r="AT80" i="9"/>
  <c r="AR80" s="1"/>
  <c r="AL80"/>
  <c r="AL74"/>
  <c r="AT74"/>
  <c r="AR74" s="1"/>
  <c r="AT91"/>
  <c r="AR91" s="1"/>
  <c r="AL91"/>
  <c r="AT123"/>
  <c r="AL123"/>
  <c r="AF58"/>
  <c r="BK58" s="1"/>
  <c r="AF103"/>
  <c r="BK103" s="1"/>
  <c r="AF123"/>
  <c r="BK123" s="1"/>
  <c r="AF90"/>
  <c r="BK90" s="1"/>
  <c r="AF99"/>
  <c r="BK99" s="1"/>
  <c r="AF74"/>
  <c r="BK74" s="1"/>
  <c r="AF92"/>
  <c r="BK92" s="1"/>
  <c r="AF62"/>
  <c r="BK62" s="1"/>
  <c r="AF98"/>
  <c r="BK98" s="1"/>
  <c r="AF104"/>
  <c r="BK104" s="1"/>
  <c r="AE111"/>
  <c r="BJ111" s="1"/>
  <c r="AQ90"/>
  <c r="AQ103"/>
  <c r="AE44"/>
  <c r="BJ44" s="1"/>
  <c r="AQ130"/>
  <c r="AQ74"/>
  <c r="AK19"/>
  <c r="AK114"/>
  <c r="AQ23"/>
  <c r="AK84"/>
  <c r="AK28"/>
  <c r="AQ121"/>
  <c r="AQ58"/>
  <c r="AQ44"/>
  <c r="AK124"/>
  <c r="AE101"/>
  <c r="BJ101" s="1"/>
  <c r="AQ41"/>
  <c r="AQ128"/>
  <c r="AQ14"/>
  <c r="AK29"/>
  <c r="AK91"/>
  <c r="AK117"/>
  <c r="AK115"/>
  <c r="AK26"/>
  <c r="AQ49"/>
  <c r="AK36"/>
  <c r="AQ51"/>
  <c r="AE51"/>
  <c r="BJ51" s="1"/>
  <c r="AE118"/>
  <c r="BJ118" s="1"/>
  <c r="AE76"/>
  <c r="BJ76" s="1"/>
  <c r="AK88"/>
  <c r="AE31"/>
  <c r="BJ31" s="1"/>
  <c r="AQ67"/>
  <c r="AE20"/>
  <c r="BJ20" s="1"/>
  <c r="AQ98"/>
  <c r="AE77"/>
  <c r="BJ77" s="1"/>
  <c r="AE78"/>
  <c r="BJ78" s="1"/>
  <c r="AK67"/>
  <c r="AK99"/>
  <c r="AQ64"/>
  <c r="AQ140"/>
  <c r="AE32"/>
  <c r="BJ32" s="1"/>
  <c r="AQ109"/>
  <c r="AK110"/>
  <c r="AE63"/>
  <c r="BJ63" s="1"/>
  <c r="AK58"/>
  <c r="AQ57"/>
  <c r="AK135"/>
  <c r="AK87"/>
  <c r="AK100"/>
  <c r="AK51"/>
  <c r="AK70"/>
  <c r="AK126"/>
  <c r="AQ61"/>
  <c r="AE41"/>
  <c r="BJ41" s="1"/>
  <c r="AK116"/>
  <c r="AK33"/>
  <c r="AK90"/>
  <c r="AK54"/>
  <c r="AE24"/>
  <c r="BJ24" s="1"/>
  <c r="AQ106"/>
  <c r="AQ48"/>
  <c r="AK15"/>
  <c r="AQ120"/>
  <c r="AE97"/>
  <c r="BJ97" s="1"/>
  <c r="AK22"/>
  <c r="AK105"/>
  <c r="AE89"/>
  <c r="BJ89" s="1"/>
  <c r="AE88"/>
  <c r="BJ88" s="1"/>
  <c r="AQ16"/>
  <c r="AE112"/>
  <c r="BJ112" s="1"/>
  <c r="AE125"/>
  <c r="BJ125" s="1"/>
  <c r="AQ63"/>
  <c r="AK49"/>
  <c r="AE22"/>
  <c r="BJ22" s="1"/>
  <c r="AK121"/>
  <c r="AQ33"/>
  <c r="AE61"/>
  <c r="BJ61" s="1"/>
  <c r="AE42"/>
  <c r="BJ42" s="1"/>
  <c r="AQ29"/>
  <c r="AE131"/>
  <c r="BJ131" s="1"/>
  <c r="AQ71"/>
  <c r="AK136"/>
  <c r="AE26"/>
  <c r="BJ26" s="1"/>
  <c r="AK71"/>
  <c r="AK80"/>
  <c r="AQ122"/>
  <c r="AE133"/>
  <c r="BJ133" s="1"/>
  <c r="AK140"/>
  <c r="AK17"/>
  <c r="AK25"/>
  <c r="AK37"/>
  <c r="AK82"/>
  <c r="AK85"/>
  <c r="AE34"/>
  <c r="BJ34" s="1"/>
  <c r="AK73"/>
  <c r="AE114"/>
  <c r="BJ114" s="1"/>
  <c r="AQ19"/>
  <c r="AK14"/>
  <c r="AQ79"/>
  <c r="AQ42"/>
  <c r="AQ86"/>
  <c r="AK23"/>
  <c r="AE62"/>
  <c r="BJ62" s="1"/>
  <c r="AE74"/>
  <c r="BJ74" s="1"/>
  <c r="AE115"/>
  <c r="BJ115" s="1"/>
  <c r="AE54"/>
  <c r="BJ54" s="1"/>
  <c r="BL54" s="1"/>
  <c r="AQ24"/>
  <c r="AE107"/>
  <c r="BJ107" s="1"/>
  <c r="AQ36"/>
  <c r="AQ35"/>
  <c r="AQ62"/>
  <c r="AQ107"/>
  <c r="AK97"/>
  <c r="AQ22"/>
  <c r="AE28"/>
  <c r="BJ28" s="1"/>
  <c r="AK81"/>
  <c r="AQ139"/>
  <c r="AQ125"/>
  <c r="AK45"/>
  <c r="AW18"/>
  <c r="AE134"/>
  <c r="BJ134" s="1"/>
  <c r="AE23"/>
  <c r="BJ23" s="1"/>
  <c r="AK72"/>
  <c r="AE15"/>
  <c r="BJ15" s="1"/>
  <c r="AK56"/>
  <c r="AK30"/>
  <c r="AE141"/>
  <c r="BJ141" s="1"/>
  <c r="AK32"/>
  <c r="AE98"/>
  <c r="BJ98" s="1"/>
  <c r="AE102"/>
  <c r="BJ102" s="1"/>
  <c r="AE46"/>
  <c r="BJ46" s="1"/>
  <c r="AK131"/>
  <c r="AK78"/>
  <c r="AK16"/>
  <c r="AQ56"/>
  <c r="AE92"/>
  <c r="BJ92" s="1"/>
  <c r="AK123"/>
  <c r="AK63"/>
  <c r="AK24"/>
  <c r="AQ21"/>
  <c r="AK43"/>
  <c r="AQ53"/>
  <c r="AQ66"/>
  <c r="AQ85"/>
  <c r="AQ112"/>
  <c r="AE66"/>
  <c r="BJ66" s="1"/>
  <c r="AK77"/>
  <c r="AQ88"/>
  <c r="AQ118"/>
  <c r="AK134"/>
  <c r="AQ89"/>
  <c r="AE104"/>
  <c r="BJ104" s="1"/>
  <c r="AQ119"/>
  <c r="AE36"/>
  <c r="BJ36" s="1"/>
  <c r="AE58"/>
  <c r="BJ58" s="1"/>
  <c r="AK94"/>
  <c r="AE124"/>
  <c r="BJ124" s="1"/>
  <c r="AE70"/>
  <c r="BJ70" s="1"/>
  <c r="BL70" s="1"/>
  <c r="AQ80"/>
  <c r="AE93"/>
  <c r="BJ93" s="1"/>
  <c r="AK107"/>
  <c r="AQ138"/>
  <c r="AK108"/>
  <c r="AQ124"/>
  <c r="AE139"/>
  <c r="BJ139" s="1"/>
  <c r="AQ65"/>
  <c r="AQ15"/>
  <c r="AQ94"/>
  <c r="AQ113"/>
  <c r="AE53"/>
  <c r="BJ53" s="1"/>
  <c r="AQ102"/>
  <c r="AQ77"/>
  <c r="AE84"/>
  <c r="BJ84" s="1"/>
  <c r="BL84" s="1"/>
  <c r="AE30"/>
  <c r="BJ30" s="1"/>
  <c r="BL30" s="1"/>
  <c r="AK95"/>
  <c r="AQ46"/>
  <c r="AK66"/>
  <c r="AE45"/>
  <c r="BJ45" s="1"/>
  <c r="AK119"/>
  <c r="AK79"/>
  <c r="AE137"/>
  <c r="BJ137" s="1"/>
  <c r="AK92"/>
  <c r="AE123"/>
  <c r="BJ123" s="1"/>
  <c r="AK89"/>
  <c r="AE27"/>
  <c r="BJ27" s="1"/>
  <c r="AQ136"/>
  <c r="AK50"/>
  <c r="AE43"/>
  <c r="BJ43" s="1"/>
  <c r="AE81"/>
  <c r="BJ81" s="1"/>
  <c r="AQ116"/>
  <c r="AE108"/>
  <c r="BJ108" s="1"/>
  <c r="BL108" s="1"/>
  <c r="AQ26"/>
  <c r="AE17"/>
  <c r="BJ17" s="1"/>
  <c r="AK31"/>
  <c r="AE83"/>
  <c r="BJ83" s="1"/>
  <c r="AE140"/>
  <c r="BJ140" s="1"/>
  <c r="AQ115"/>
  <c r="AQ132"/>
  <c r="AE126"/>
  <c r="BJ126" s="1"/>
  <c r="AQ27"/>
  <c r="AE85"/>
  <c r="BJ85" s="1"/>
  <c r="AE67"/>
  <c r="BJ67" s="1"/>
  <c r="AX18"/>
  <c r="AQ55"/>
  <c r="AK120"/>
  <c r="AQ105"/>
  <c r="AE116"/>
  <c r="BJ116" s="1"/>
  <c r="BL116" s="1"/>
  <c r="AE100"/>
  <c r="BJ100" s="1"/>
  <c r="AQ32"/>
  <c r="AE35"/>
  <c r="BJ35" s="1"/>
  <c r="AK86"/>
  <c r="AK65"/>
  <c r="AE73"/>
  <c r="BJ73" s="1"/>
  <c r="AE142"/>
  <c r="BJ142" s="1"/>
  <c r="AE120"/>
  <c r="BJ120" s="1"/>
  <c r="AK42"/>
  <c r="AE38"/>
  <c r="BJ38" s="1"/>
  <c r="AK64"/>
  <c r="AQ100"/>
  <c r="AE49"/>
  <c r="BJ49" s="1"/>
  <c r="AK132"/>
  <c r="AE37"/>
  <c r="BJ37" s="1"/>
  <c r="AQ127"/>
  <c r="AE82"/>
  <c r="BJ82" s="1"/>
  <c r="BL82" s="1"/>
  <c r="AE109"/>
  <c r="BJ109" s="1"/>
  <c r="AE96"/>
  <c r="BJ96" s="1"/>
  <c r="AQ20"/>
  <c r="AE50"/>
  <c r="BJ50" s="1"/>
  <c r="AQ83"/>
  <c r="AK118"/>
  <c r="AE29"/>
  <c r="BJ29" s="1"/>
  <c r="AK48"/>
  <c r="AE99"/>
  <c r="BJ99" s="1"/>
  <c r="AK130"/>
  <c r="AQ13"/>
  <c r="AK35"/>
  <c r="AQ45"/>
  <c r="AK57"/>
  <c r="AE71"/>
  <c r="BJ71" s="1"/>
  <c r="AQ92"/>
  <c r="AE121"/>
  <c r="BJ121" s="1"/>
  <c r="BL121" s="1"/>
  <c r="BN121" s="1"/>
  <c r="AK69"/>
  <c r="AE80"/>
  <c r="BJ80" s="1"/>
  <c r="AK106"/>
  <c r="AQ123"/>
  <c r="AK93"/>
  <c r="AE138"/>
  <c r="BJ138" s="1"/>
  <c r="AK76"/>
  <c r="AQ72"/>
  <c r="AK83"/>
  <c r="AQ96"/>
  <c r="AE128"/>
  <c r="BJ128" s="1"/>
  <c r="AK142"/>
  <c r="AQ97"/>
  <c r="AK128"/>
  <c r="AE57"/>
  <c r="BJ57" s="1"/>
  <c r="AK137"/>
  <c r="AK61"/>
  <c r="AE129"/>
  <c r="BJ129" s="1"/>
  <c r="AK46"/>
  <c r="AE127"/>
  <c r="BJ127" s="1"/>
  <c r="AQ34"/>
  <c r="AE40"/>
  <c r="BJ40" s="1"/>
  <c r="AE105"/>
  <c r="BJ105" s="1"/>
  <c r="AK98"/>
  <c r="AK38"/>
  <c r="AK74"/>
  <c r="AE25"/>
  <c r="BJ25" s="1"/>
  <c r="AE69"/>
  <c r="BJ69" s="1"/>
  <c r="AK139"/>
  <c r="AK47"/>
  <c r="AE95"/>
  <c r="BJ95" s="1"/>
  <c r="AK13"/>
  <c r="AE135"/>
  <c r="BJ135" s="1"/>
  <c r="AK40"/>
  <c r="AQ104"/>
  <c r="AQ110"/>
  <c r="AQ54"/>
  <c r="AQ28"/>
  <c r="AQ31"/>
  <c r="AE56"/>
  <c r="BJ56" s="1"/>
  <c r="BL56" s="1"/>
  <c r="BN56" s="1"/>
  <c r="AQ91"/>
  <c r="AK44"/>
  <c r="AQ76"/>
  <c r="AK133"/>
  <c r="AK60"/>
  <c r="AK34"/>
  <c r="AE91"/>
  <c r="BJ91" s="1"/>
  <c r="AE64"/>
  <c r="BJ64" s="1"/>
  <c r="AE13"/>
  <c r="BJ13" s="1"/>
  <c r="AQ60"/>
  <c r="AK39"/>
  <c r="AK103"/>
  <c r="AE122"/>
  <c r="BJ122" s="1"/>
  <c r="AQ129"/>
  <c r="AE47"/>
  <c r="BJ47" s="1"/>
  <c r="AQ101"/>
  <c r="AE106"/>
  <c r="BJ106" s="1"/>
  <c r="AE21"/>
  <c r="BJ21" s="1"/>
  <c r="AE55"/>
  <c r="BJ55" s="1"/>
  <c r="AK104"/>
  <c r="AE60"/>
  <c r="BJ60" s="1"/>
  <c r="BL60" s="1"/>
  <c r="AE16"/>
  <c r="BJ16" s="1"/>
  <c r="AE79"/>
  <c r="BJ79" s="1"/>
  <c r="AQ134"/>
  <c r="AQ84"/>
  <c r="AE113"/>
  <c r="BJ113" s="1"/>
  <c r="AE130"/>
  <c r="BJ130" s="1"/>
  <c r="AE65"/>
  <c r="BJ65" s="1"/>
  <c r="AK113"/>
  <c r="AK21"/>
  <c r="AQ47"/>
  <c r="AK59"/>
  <c r="AQ135"/>
  <c r="AE59"/>
  <c r="BJ59" s="1"/>
  <c r="AE119"/>
  <c r="BJ119" s="1"/>
  <c r="AQ126"/>
  <c r="AQ70"/>
  <c r="AE94"/>
  <c r="BJ94" s="1"/>
  <c r="AK125"/>
  <c r="AK109"/>
  <c r="AK111"/>
  <c r="AQ39"/>
  <c r="AK102"/>
  <c r="AQ93"/>
  <c r="AK20"/>
  <c r="AQ25"/>
  <c r="AQ78"/>
  <c r="AE136"/>
  <c r="BJ136" s="1"/>
  <c r="AK122"/>
  <c r="AQ40"/>
  <c r="AQ17"/>
  <c r="AQ52"/>
  <c r="AK96"/>
  <c r="AE39"/>
  <c r="BJ39" s="1"/>
  <c r="AE14"/>
  <c r="BJ14" s="1"/>
  <c r="AK53"/>
  <c r="AQ43"/>
  <c r="AQ75"/>
  <c r="AE33"/>
  <c r="BJ33" s="1"/>
  <c r="AK52"/>
  <c r="AE48"/>
  <c r="BJ48" s="1"/>
  <c r="AQ73"/>
  <c r="AQ87"/>
  <c r="AQ117"/>
  <c r="AE103"/>
  <c r="BJ103" s="1"/>
  <c r="AQ133"/>
  <c r="AK41"/>
  <c r="AK55"/>
  <c r="AE19"/>
  <c r="BJ19" s="1"/>
  <c r="AQ69"/>
  <c r="AE90"/>
  <c r="BJ90" s="1"/>
  <c r="AE132"/>
  <c r="BJ132" s="1"/>
  <c r="AQ38"/>
  <c r="AQ50"/>
  <c r="AK62"/>
  <c r="AQ137"/>
  <c r="AQ142"/>
  <c r="AQ30"/>
  <c r="AK27"/>
  <c r="AQ37"/>
  <c r="AQ59"/>
  <c r="AE75"/>
  <c r="BJ75" s="1"/>
  <c r="AQ99"/>
  <c r="AK129"/>
  <c r="AE72"/>
  <c r="BJ72" s="1"/>
  <c r="BL72" s="1"/>
  <c r="AQ82"/>
  <c r="AQ95"/>
  <c r="AE110"/>
  <c r="BJ110" s="1"/>
  <c r="BL110" s="1"/>
  <c r="BN110" s="1"/>
  <c r="AK141"/>
  <c r="AK112"/>
  <c r="AK127"/>
  <c r="AQ141"/>
  <c r="AE52"/>
  <c r="BJ52" s="1"/>
  <c r="AQ81"/>
  <c r="AQ108"/>
  <c r="AK138"/>
  <c r="AK75"/>
  <c r="AE86"/>
  <c r="BJ86" s="1"/>
  <c r="BL86" s="1"/>
  <c r="AQ114"/>
  <c r="AQ131"/>
  <c r="AE87"/>
  <c r="BJ87" s="1"/>
  <c r="AK101"/>
  <c r="AE117"/>
  <c r="BJ117" s="1"/>
  <c r="AQ111"/>
  <c r="AB29"/>
  <c r="AA29"/>
  <c r="AA36"/>
  <c r="AB63"/>
  <c r="AA63"/>
  <c r="AB102"/>
  <c r="AB65"/>
  <c r="AB54"/>
  <c r="AA54"/>
  <c r="AB35"/>
  <c r="AA35"/>
  <c r="AB27"/>
  <c r="AA27"/>
  <c r="AB112"/>
  <c r="AB127"/>
  <c r="AB108"/>
  <c r="AB25"/>
  <c r="AA25"/>
  <c r="AB115"/>
  <c r="AB106"/>
  <c r="AB109"/>
  <c r="AB79"/>
  <c r="AB111"/>
  <c r="AB97"/>
  <c r="AB19"/>
  <c r="AA19"/>
  <c r="AB49"/>
  <c r="AA49"/>
  <c r="AB114"/>
  <c r="AB69"/>
  <c r="AA69"/>
  <c r="AB50"/>
  <c r="AA50"/>
  <c r="AG67"/>
  <c r="AH67"/>
  <c r="AF67" s="1"/>
  <c r="BK67" s="1"/>
  <c r="AA56"/>
  <c r="AB92"/>
  <c r="AB119"/>
  <c r="AB74"/>
  <c r="AB110"/>
  <c r="AB21"/>
  <c r="AA21"/>
  <c r="AB22"/>
  <c r="AA22"/>
  <c r="AB104"/>
  <c r="AB76"/>
  <c r="AA76"/>
  <c r="AB123"/>
  <c r="AB122"/>
  <c r="AB113"/>
  <c r="AB120"/>
  <c r="AB33"/>
  <c r="AA33"/>
  <c r="AB117"/>
  <c r="AB138"/>
  <c r="AB62"/>
  <c r="AB64"/>
  <c r="AB43"/>
  <c r="AA43"/>
  <c r="AB66"/>
  <c r="AA66"/>
  <c r="AB47"/>
  <c r="AA47"/>
  <c r="AB103"/>
  <c r="AB14"/>
  <c r="AA14"/>
  <c r="AB139"/>
  <c r="AB133"/>
  <c r="AB45"/>
  <c r="AA45"/>
  <c r="AB105"/>
  <c r="AB121"/>
  <c r="AB99"/>
  <c r="AB96"/>
  <c r="AB84"/>
  <c r="AB137"/>
  <c r="AB39"/>
  <c r="AA39"/>
  <c r="AB31"/>
  <c r="AA31"/>
  <c r="AB73"/>
  <c r="AA73"/>
  <c r="AB15"/>
  <c r="AA15"/>
  <c r="AB32"/>
  <c r="AB130"/>
  <c r="AB87"/>
  <c r="AB30"/>
  <c r="AA30"/>
  <c r="AB77"/>
  <c r="AA77"/>
  <c r="AB101"/>
  <c r="AB91"/>
  <c r="AB37"/>
  <c r="AA37"/>
  <c r="AB57"/>
  <c r="AA57"/>
  <c r="AB80"/>
  <c r="AB94"/>
  <c r="AB134"/>
  <c r="AB42"/>
  <c r="AA42"/>
  <c r="AB59"/>
  <c r="AA59"/>
  <c r="AB100"/>
  <c r="AB90"/>
  <c r="AB78"/>
  <c r="AB95"/>
  <c r="AA95"/>
  <c r="AB55"/>
  <c r="AA55"/>
  <c r="AB23"/>
  <c r="AA23"/>
  <c r="AB52"/>
  <c r="AA52"/>
  <c r="AB53"/>
  <c r="AA53"/>
  <c r="AB85"/>
  <c r="AA85"/>
  <c r="AB126"/>
  <c r="AB124"/>
  <c r="AB142"/>
  <c r="AB86"/>
  <c r="AB38"/>
  <c r="AA38"/>
  <c r="AB118"/>
  <c r="AB70"/>
  <c r="AA70"/>
  <c r="AB132"/>
  <c r="AB41"/>
  <c r="AA41"/>
  <c r="AB51"/>
  <c r="AA51"/>
  <c r="AB40"/>
  <c r="AA40"/>
  <c r="AB81"/>
  <c r="AB140"/>
  <c r="AB136"/>
  <c r="AB129"/>
  <c r="AB135"/>
  <c r="AB93"/>
  <c r="AB128"/>
  <c r="AB28"/>
  <c r="AA28"/>
  <c r="AB88"/>
  <c r="AB44"/>
  <c r="AA44"/>
  <c r="AB89"/>
  <c r="AB60"/>
  <c r="AB116"/>
  <c r="AA75"/>
  <c r="AA72"/>
  <c r="AA61"/>
  <c r="AA82"/>
  <c r="AB58"/>
  <c r="AB141"/>
  <c r="BE125"/>
  <c r="BE104"/>
  <c r="BE102"/>
  <c r="BE122"/>
  <c r="BE113"/>
  <c r="BE32"/>
  <c r="BE117"/>
  <c r="BE138"/>
  <c r="BE62"/>
  <c r="BE64"/>
  <c r="BE71"/>
  <c r="BE131"/>
  <c r="BE98"/>
  <c r="BE86"/>
  <c r="BE109"/>
  <c r="BE80"/>
  <c r="BE118"/>
  <c r="BE94"/>
  <c r="BE89"/>
  <c r="BF60"/>
  <c r="BE60"/>
  <c r="BE116"/>
  <c r="BE134"/>
  <c r="BE123"/>
  <c r="BE65"/>
  <c r="BE120"/>
  <c r="BE130"/>
  <c r="BE87"/>
  <c r="AB56"/>
  <c r="AB36"/>
  <c r="AB125"/>
  <c r="BE74"/>
  <c r="BE137"/>
  <c r="BE110"/>
  <c r="BE79"/>
  <c r="BE81"/>
  <c r="BE111"/>
  <c r="BE140"/>
  <c r="BE100"/>
  <c r="BE136"/>
  <c r="BE97"/>
  <c r="BE129"/>
  <c r="BE90"/>
  <c r="BE135"/>
  <c r="BE93"/>
  <c r="BE128"/>
  <c r="BE88"/>
  <c r="Z145"/>
  <c r="BE101"/>
  <c r="BE139"/>
  <c r="BE108"/>
  <c r="BE133"/>
  <c r="BE91"/>
  <c r="BE105"/>
  <c r="BF115"/>
  <c r="BE115"/>
  <c r="BE121"/>
  <c r="BE99"/>
  <c r="BE106"/>
  <c r="BE96"/>
  <c r="BE84"/>
  <c r="BE112"/>
  <c r="BE103"/>
  <c r="BE127"/>
  <c r="AB75"/>
  <c r="AB72"/>
  <c r="AB61"/>
  <c r="AB71"/>
  <c r="AB131"/>
  <c r="AB82"/>
  <c r="AB98"/>
  <c r="BE92"/>
  <c r="BE119"/>
  <c r="BE132"/>
  <c r="BE126"/>
  <c r="BE114"/>
  <c r="BE124"/>
  <c r="BE142"/>
  <c r="BE58"/>
  <c r="BE141"/>
  <c r="BL64" l="1"/>
  <c r="BN64" s="1"/>
  <c r="BL38"/>
  <c r="BN38" s="1"/>
  <c r="BN84"/>
  <c r="BL20"/>
  <c r="BN20" s="1"/>
  <c r="BF102"/>
  <c r="BF79"/>
  <c r="BF98"/>
  <c r="BF62"/>
  <c r="BF32"/>
  <c r="BF86"/>
  <c r="BF92"/>
  <c r="BF112"/>
  <c r="BF100"/>
  <c r="BF104"/>
  <c r="BL32"/>
  <c r="BN32" s="1"/>
  <c r="BL76"/>
  <c r="BN76" s="1"/>
  <c r="BO115"/>
  <c r="BL87"/>
  <c r="BN87" s="1"/>
  <c r="BL48"/>
  <c r="BN48" s="1"/>
  <c r="BN60"/>
  <c r="BL106"/>
  <c r="BN106" s="1"/>
  <c r="BN30"/>
  <c r="BL102"/>
  <c r="BN102" s="1"/>
  <c r="BL34"/>
  <c r="BN34" s="1"/>
  <c r="BL42"/>
  <c r="BN42" s="1"/>
  <c r="BL112"/>
  <c r="BN112" s="1"/>
  <c r="BO113"/>
  <c r="BL39"/>
  <c r="BN39" s="1"/>
  <c r="BL94"/>
  <c r="BN94" s="1"/>
  <c r="BL71"/>
  <c r="BN108"/>
  <c r="BL46"/>
  <c r="BN46" s="1"/>
  <c r="BL62"/>
  <c r="BN62" s="1"/>
  <c r="BL125"/>
  <c r="BN125" s="1"/>
  <c r="BO109"/>
  <c r="BL137"/>
  <c r="BN137" s="1"/>
  <c r="BL98"/>
  <c r="BN98" s="1"/>
  <c r="BN72"/>
  <c r="BL96"/>
  <c r="BN96" s="1"/>
  <c r="BN70"/>
  <c r="BL36"/>
  <c r="BN36" s="1"/>
  <c r="BN54"/>
  <c r="BL22"/>
  <c r="BN22" s="1"/>
  <c r="BN86"/>
  <c r="BL40"/>
  <c r="BN40" s="1"/>
  <c r="BL129"/>
  <c r="BN129" s="1"/>
  <c r="BL80"/>
  <c r="BN80" s="1"/>
  <c r="BN71"/>
  <c r="BN116"/>
  <c r="BL141"/>
  <c r="BN141" s="1"/>
  <c r="BL28"/>
  <c r="BN28" s="1"/>
  <c r="BL133"/>
  <c r="BN133" s="1"/>
  <c r="BL24"/>
  <c r="BN24" s="1"/>
  <c r="BL31"/>
  <c r="BN31" s="1"/>
  <c r="BL44"/>
  <c r="BN44" s="1"/>
  <c r="BL14"/>
  <c r="BN14" s="1"/>
  <c r="BL95"/>
  <c r="BN95" s="1"/>
  <c r="BL50"/>
  <c r="BN50" s="1"/>
  <c r="BN82"/>
  <c r="BL100"/>
  <c r="BN100" s="1"/>
  <c r="BL104"/>
  <c r="BN104" s="1"/>
  <c r="BL92"/>
  <c r="BN92" s="1"/>
  <c r="BL15"/>
  <c r="BN15" s="1"/>
  <c r="BL114"/>
  <c r="BN114" s="1"/>
  <c r="BL88"/>
  <c r="BN88" s="1"/>
  <c r="BL78"/>
  <c r="BN78" s="1"/>
  <c r="BL118"/>
  <c r="BN118" s="1"/>
  <c r="BL103"/>
  <c r="BN103" s="1"/>
  <c r="BL122"/>
  <c r="BN122" s="1"/>
  <c r="BL135"/>
  <c r="BL37"/>
  <c r="BN37" s="1"/>
  <c r="BL35"/>
  <c r="BN35" s="1"/>
  <c r="BL45"/>
  <c r="BL53"/>
  <c r="BN53" s="1"/>
  <c r="BL41"/>
  <c r="BN41" s="1"/>
  <c r="BM58"/>
  <c r="BO58" s="1"/>
  <c r="BM117"/>
  <c r="BO117" s="1"/>
  <c r="BM107"/>
  <c r="BM86"/>
  <c r="BO86" s="1"/>
  <c r="BM105"/>
  <c r="BO105" s="1"/>
  <c r="BM16"/>
  <c r="BL75"/>
  <c r="BN75" s="1"/>
  <c r="BL16"/>
  <c r="BN16" s="1"/>
  <c r="BL138"/>
  <c r="BL83"/>
  <c r="BN83" s="1"/>
  <c r="BL123"/>
  <c r="BN123" s="1"/>
  <c r="BL58"/>
  <c r="BN58" s="1"/>
  <c r="BL26"/>
  <c r="BN26" s="1"/>
  <c r="BL89"/>
  <c r="BN89" s="1"/>
  <c r="BL101"/>
  <c r="BM104"/>
  <c r="BO104" s="1"/>
  <c r="BP104" s="1"/>
  <c r="BQ104" s="1"/>
  <c r="BM74"/>
  <c r="BO74" s="1"/>
  <c r="BM96"/>
  <c r="BO96" s="1"/>
  <c r="BM60"/>
  <c r="BM34"/>
  <c r="BM106"/>
  <c r="BO106" s="1"/>
  <c r="BM100"/>
  <c r="BL117"/>
  <c r="BN117" s="1"/>
  <c r="BL33"/>
  <c r="BN33" s="1"/>
  <c r="BL119"/>
  <c r="BL55"/>
  <c r="BN55" s="1"/>
  <c r="BL57"/>
  <c r="BN57" s="1"/>
  <c r="BL93"/>
  <c r="BL74"/>
  <c r="BN74" s="1"/>
  <c r="BL131"/>
  <c r="BN131" s="1"/>
  <c r="BM92"/>
  <c r="BM20"/>
  <c r="BM88"/>
  <c r="BL52"/>
  <c r="BN52" s="1"/>
  <c r="BL19"/>
  <c r="BN19" s="1"/>
  <c r="BJ144"/>
  <c r="BL13"/>
  <c r="BN13" s="1"/>
  <c r="BL142"/>
  <c r="BN142" s="1"/>
  <c r="BL67"/>
  <c r="BN67" s="1"/>
  <c r="BL66"/>
  <c r="BN66" s="1"/>
  <c r="BL23"/>
  <c r="BN23" s="1"/>
  <c r="BM98"/>
  <c r="BO98" s="1"/>
  <c r="BM99"/>
  <c r="BO99" s="1"/>
  <c r="BM48"/>
  <c r="BM32"/>
  <c r="BO32" s="1"/>
  <c r="BM81"/>
  <c r="BO81" s="1"/>
  <c r="BM17"/>
  <c r="BM84"/>
  <c r="BO84" s="1"/>
  <c r="BP84" s="1"/>
  <c r="BQ84" s="1"/>
  <c r="BL59"/>
  <c r="BN59" s="1"/>
  <c r="BL113"/>
  <c r="BL21"/>
  <c r="BN21" s="1"/>
  <c r="BL29"/>
  <c r="BN29" s="1"/>
  <c r="BL120"/>
  <c r="BN120" s="1"/>
  <c r="BL126"/>
  <c r="BL77"/>
  <c r="BN77" s="1"/>
  <c r="BL51"/>
  <c r="BN51" s="1"/>
  <c r="BM103"/>
  <c r="BO103" s="1"/>
  <c r="BM116"/>
  <c r="BO116" s="1"/>
  <c r="BM24"/>
  <c r="BM26"/>
  <c r="BM64"/>
  <c r="BO64" s="1"/>
  <c r="BP64" s="1"/>
  <c r="BQ64" s="1"/>
  <c r="BM112"/>
  <c r="BO112" s="1"/>
  <c r="BL90"/>
  <c r="BN90" s="1"/>
  <c r="BL130"/>
  <c r="BN130" s="1"/>
  <c r="BL79"/>
  <c r="BN79" s="1"/>
  <c r="BL47"/>
  <c r="BN47" s="1"/>
  <c r="BL91"/>
  <c r="BN91" s="1"/>
  <c r="BL25"/>
  <c r="BN25" s="1"/>
  <c r="BL105"/>
  <c r="BL128"/>
  <c r="BN128" s="1"/>
  <c r="BL49"/>
  <c r="BN49" s="1"/>
  <c r="BL140"/>
  <c r="BN140" s="1"/>
  <c r="BL43"/>
  <c r="BN43" s="1"/>
  <c r="BL107"/>
  <c r="BN107" s="1"/>
  <c r="BL97"/>
  <c r="BN97" s="1"/>
  <c r="BL63"/>
  <c r="BN63" s="1"/>
  <c r="BL111"/>
  <c r="BN111" s="1"/>
  <c r="BM123"/>
  <c r="BM89"/>
  <c r="BO89" s="1"/>
  <c r="BM80"/>
  <c r="BO80" s="1"/>
  <c r="BM79"/>
  <c r="BO79" s="1"/>
  <c r="BM101"/>
  <c r="BO101" s="1"/>
  <c r="BM71"/>
  <c r="BM94"/>
  <c r="BO94" s="1"/>
  <c r="BM91"/>
  <c r="BO91" s="1"/>
  <c r="BL132"/>
  <c r="BN132" s="1"/>
  <c r="BL136"/>
  <c r="BL65"/>
  <c r="BL69"/>
  <c r="BN69" s="1"/>
  <c r="BL127"/>
  <c r="BN127" s="1"/>
  <c r="BL99"/>
  <c r="BN99" s="1"/>
  <c r="BL109"/>
  <c r="BN109" s="1"/>
  <c r="BL73"/>
  <c r="BN73" s="1"/>
  <c r="BL85"/>
  <c r="BN85" s="1"/>
  <c r="BL17"/>
  <c r="BN17" s="1"/>
  <c r="BL81"/>
  <c r="BN81" s="1"/>
  <c r="BL27"/>
  <c r="BN27" s="1"/>
  <c r="BL139"/>
  <c r="BL124"/>
  <c r="BN124" s="1"/>
  <c r="BL134"/>
  <c r="BL115"/>
  <c r="BN115" s="1"/>
  <c r="BL61"/>
  <c r="BN61" s="1"/>
  <c r="BM62"/>
  <c r="BO62" s="1"/>
  <c r="BM90"/>
  <c r="BO90" s="1"/>
  <c r="BM108"/>
  <c r="BO108" s="1"/>
  <c r="BM93"/>
  <c r="BO93" s="1"/>
  <c r="BM87"/>
  <c r="BO87" s="1"/>
  <c r="BM46"/>
  <c r="BM121"/>
  <c r="BM110"/>
  <c r="BM97"/>
  <c r="BO97" s="1"/>
  <c r="BM102"/>
  <c r="BO102" s="1"/>
  <c r="BM114"/>
  <c r="BO114" s="1"/>
  <c r="BM13"/>
  <c r="I8" i="14"/>
  <c r="E12" i="21" s="1"/>
  <c r="BF84" i="9"/>
  <c r="BF81"/>
  <c r="BF109"/>
  <c r="BF74"/>
  <c r="BF106"/>
  <c r="BF94"/>
  <c r="BF93"/>
  <c r="BF105"/>
  <c r="BF103"/>
  <c r="BF116"/>
  <c r="BF80"/>
  <c r="BF101"/>
  <c r="BF88"/>
  <c r="BF97"/>
  <c r="BF91"/>
  <c r="BF117"/>
  <c r="BF114"/>
  <c r="BF108"/>
  <c r="BF89"/>
  <c r="BF64"/>
  <c r="BF99"/>
  <c r="BF87"/>
  <c r="BF58"/>
  <c r="BF96"/>
  <c r="BF90"/>
  <c r="BF113"/>
  <c r="AN72"/>
  <c r="AM72"/>
  <c r="AS72"/>
  <c r="BE72" s="1"/>
  <c r="AM28"/>
  <c r="AS28"/>
  <c r="BE28" s="1"/>
  <c r="AN28"/>
  <c r="AM70"/>
  <c r="AS70"/>
  <c r="BE70" s="1"/>
  <c r="AN70"/>
  <c r="AS59"/>
  <c r="BE59" s="1"/>
  <c r="AN59"/>
  <c r="AM59"/>
  <c r="AH15"/>
  <c r="AF15" s="1"/>
  <c r="BK15" s="1"/>
  <c r="AN15"/>
  <c r="AS15"/>
  <c r="BE15" s="1"/>
  <c r="AM15"/>
  <c r="AM31"/>
  <c r="AN31"/>
  <c r="AS31"/>
  <c r="BE31" s="1"/>
  <c r="AH22"/>
  <c r="AF22" s="1"/>
  <c r="BK22" s="1"/>
  <c r="AS22"/>
  <c r="BE22" s="1"/>
  <c r="AM22"/>
  <c r="AN22"/>
  <c r="AN56"/>
  <c r="AS56"/>
  <c r="BE56" s="1"/>
  <c r="AM56"/>
  <c r="AM49"/>
  <c r="AS49"/>
  <c r="BE49" s="1"/>
  <c r="AN49"/>
  <c r="AR127"/>
  <c r="BD127" s="1"/>
  <c r="BF127"/>
  <c r="AR128"/>
  <c r="BD128" s="1"/>
  <c r="BF128"/>
  <c r="AR17"/>
  <c r="BF17"/>
  <c r="AR138"/>
  <c r="BD138" s="1"/>
  <c r="BF138"/>
  <c r="AR20"/>
  <c r="BF20"/>
  <c r="AR83"/>
  <c r="BD83" s="1"/>
  <c r="BF83"/>
  <c r="AR139"/>
  <c r="BD139" s="1"/>
  <c r="BF139"/>
  <c r="AR48"/>
  <c r="BF48"/>
  <c r="AR136"/>
  <c r="BD136" s="1"/>
  <c r="BF136"/>
  <c r="AR13"/>
  <c r="BF13"/>
  <c r="AR110"/>
  <c r="BD110" s="1"/>
  <c r="BF110"/>
  <c r="AR133"/>
  <c r="BD133" s="1"/>
  <c r="BF133"/>
  <c r="AR142"/>
  <c r="BD142" s="1"/>
  <c r="BF142"/>
  <c r="AL67"/>
  <c r="BM67" s="1"/>
  <c r="AT67"/>
  <c r="AS61"/>
  <c r="BE61" s="1"/>
  <c r="AM61"/>
  <c r="AN61"/>
  <c r="AM51"/>
  <c r="AN51"/>
  <c r="AS51"/>
  <c r="BE51" s="1"/>
  <c r="AM38"/>
  <c r="AS38"/>
  <c r="BE38" s="1"/>
  <c r="AN38"/>
  <c r="AN53"/>
  <c r="AM53"/>
  <c r="AS53"/>
  <c r="BE53" s="1"/>
  <c r="AN23"/>
  <c r="AM23"/>
  <c r="AS23"/>
  <c r="BE23" s="1"/>
  <c r="AN95"/>
  <c r="AS95"/>
  <c r="BE95" s="1"/>
  <c r="AM95"/>
  <c r="AM57"/>
  <c r="AN57"/>
  <c r="AS57"/>
  <c r="BE57" s="1"/>
  <c r="AN30"/>
  <c r="AM30"/>
  <c r="AS30"/>
  <c r="BE30" s="1"/>
  <c r="AS66"/>
  <c r="BE66" s="1"/>
  <c r="AN66"/>
  <c r="AM66"/>
  <c r="AS33"/>
  <c r="BE33" s="1"/>
  <c r="AN33"/>
  <c r="AM33"/>
  <c r="AN50"/>
  <c r="AM50"/>
  <c r="AS50"/>
  <c r="BE50" s="1"/>
  <c r="AM27"/>
  <c r="AS27"/>
  <c r="BE27" s="1"/>
  <c r="AN27"/>
  <c r="AN54"/>
  <c r="AS54"/>
  <c r="BE54" s="1"/>
  <c r="AM54"/>
  <c r="AN63"/>
  <c r="AS63"/>
  <c r="BE63" s="1"/>
  <c r="AM63"/>
  <c r="AR65"/>
  <c r="BD65" s="1"/>
  <c r="BF65"/>
  <c r="AR135"/>
  <c r="BD135" s="1"/>
  <c r="BF135"/>
  <c r="AR121"/>
  <c r="BD121" s="1"/>
  <c r="BF121"/>
  <c r="AR34"/>
  <c r="BF34"/>
  <c r="AR125"/>
  <c r="BD125" s="1"/>
  <c r="BF125"/>
  <c r="AR46"/>
  <c r="BF46"/>
  <c r="AR107"/>
  <c r="BD107" s="1"/>
  <c r="BF107"/>
  <c r="AM82"/>
  <c r="AS82"/>
  <c r="BE82" s="1"/>
  <c r="AN82"/>
  <c r="AM42"/>
  <c r="AN42"/>
  <c r="AS42"/>
  <c r="BE42" s="1"/>
  <c r="AS73"/>
  <c r="BE73" s="1"/>
  <c r="AN73"/>
  <c r="AM73"/>
  <c r="AM39"/>
  <c r="AS39"/>
  <c r="BE39" s="1"/>
  <c r="AN39"/>
  <c r="AS45"/>
  <c r="BE45" s="1"/>
  <c r="AM45"/>
  <c r="AN45"/>
  <c r="AN14"/>
  <c r="AM14"/>
  <c r="AS14"/>
  <c r="BE14" s="1"/>
  <c r="AM21"/>
  <c r="AN21"/>
  <c r="AS21"/>
  <c r="BE21" s="1"/>
  <c r="AS19"/>
  <c r="BE19" s="1"/>
  <c r="AM19"/>
  <c r="AN19"/>
  <c r="AS25"/>
  <c r="BE25" s="1"/>
  <c r="AN25"/>
  <c r="AM25"/>
  <c r="AM29"/>
  <c r="AN29"/>
  <c r="AS29"/>
  <c r="BE29" s="1"/>
  <c r="AR123"/>
  <c r="BD123" s="1"/>
  <c r="BF123"/>
  <c r="AR137"/>
  <c r="BD137" s="1"/>
  <c r="BF137"/>
  <c r="AR16"/>
  <c r="BF16"/>
  <c r="AR24"/>
  <c r="BF24"/>
  <c r="AR120"/>
  <c r="BD120" s="1"/>
  <c r="BF120"/>
  <c r="AR131"/>
  <c r="BD131" s="1"/>
  <c r="BF131"/>
  <c r="AR119"/>
  <c r="BD119" s="1"/>
  <c r="BF119"/>
  <c r="AL78"/>
  <c r="BM78" s="1"/>
  <c r="AT78"/>
  <c r="AR141"/>
  <c r="BD141" s="1"/>
  <c r="BF141"/>
  <c r="AR26"/>
  <c r="BF26"/>
  <c r="AR118"/>
  <c r="BD118" s="1"/>
  <c r="BF118"/>
  <c r="AS75"/>
  <c r="BE75" s="1"/>
  <c r="AN75"/>
  <c r="AM75"/>
  <c r="AS44"/>
  <c r="BE44" s="1"/>
  <c r="AM44"/>
  <c r="AN44"/>
  <c r="AS40"/>
  <c r="BE40" s="1"/>
  <c r="AN40"/>
  <c r="AM40"/>
  <c r="AS41"/>
  <c r="BE41" s="1"/>
  <c r="AN41"/>
  <c r="AM41"/>
  <c r="AM85"/>
  <c r="AS85"/>
  <c r="BE85" s="1"/>
  <c r="AN85"/>
  <c r="AN52"/>
  <c r="AM52"/>
  <c r="AS52"/>
  <c r="BE52" s="1"/>
  <c r="AM55"/>
  <c r="AN55"/>
  <c r="AS55"/>
  <c r="BE55" s="1"/>
  <c r="AN37"/>
  <c r="AM37"/>
  <c r="AS37"/>
  <c r="BE37" s="1"/>
  <c r="AN77"/>
  <c r="AM77"/>
  <c r="AS77"/>
  <c r="BE77" s="1"/>
  <c r="AS47"/>
  <c r="BE47" s="1"/>
  <c r="AN47"/>
  <c r="AM47"/>
  <c r="AM43"/>
  <c r="AS43"/>
  <c r="BE43" s="1"/>
  <c r="AN43"/>
  <c r="AS76"/>
  <c r="BE76" s="1"/>
  <c r="AN76"/>
  <c r="AM76"/>
  <c r="AN69"/>
  <c r="AM69"/>
  <c r="AS69"/>
  <c r="BE69" s="1"/>
  <c r="AM35"/>
  <c r="AS35"/>
  <c r="BE35" s="1"/>
  <c r="AN35"/>
  <c r="AM36"/>
  <c r="AN36"/>
  <c r="AS36"/>
  <c r="BE36" s="1"/>
  <c r="AR130"/>
  <c r="BD130" s="1"/>
  <c r="BF130"/>
  <c r="AR126"/>
  <c r="BD126" s="1"/>
  <c r="BF126"/>
  <c r="AR122"/>
  <c r="BD122" s="1"/>
  <c r="BF122"/>
  <c r="AR111"/>
  <c r="BD111" s="1"/>
  <c r="BF111"/>
  <c r="AR129"/>
  <c r="BD129" s="1"/>
  <c r="BF129"/>
  <c r="AR134"/>
  <c r="BD134" s="1"/>
  <c r="BF134"/>
  <c r="AR124"/>
  <c r="BD124" s="1"/>
  <c r="BF124"/>
  <c r="AR132"/>
  <c r="BD132" s="1"/>
  <c r="BF132"/>
  <c r="AR140"/>
  <c r="BD140" s="1"/>
  <c r="BF140"/>
  <c r="AR71"/>
  <c r="BD71" s="1"/>
  <c r="BF71"/>
  <c r="AH72"/>
  <c r="AF72" s="1"/>
  <c r="BK72" s="1"/>
  <c r="AG72"/>
  <c r="AH42"/>
  <c r="AF42" s="1"/>
  <c r="BK42" s="1"/>
  <c r="AG42"/>
  <c r="AG31"/>
  <c r="AH31"/>
  <c r="AF31" s="1"/>
  <c r="BK31" s="1"/>
  <c r="AG14"/>
  <c r="AH14"/>
  <c r="AF14" s="1"/>
  <c r="BK14" s="1"/>
  <c r="AA145"/>
  <c r="D32" i="14" s="1"/>
  <c r="D33" s="1"/>
  <c r="AH27" i="9"/>
  <c r="AF27" s="1"/>
  <c r="BK27" s="1"/>
  <c r="AG27"/>
  <c r="AG54"/>
  <c r="AH54"/>
  <c r="AF54" s="1"/>
  <c r="BK54" s="1"/>
  <c r="AH61"/>
  <c r="AF61" s="1"/>
  <c r="BK61" s="1"/>
  <c r="AG61"/>
  <c r="AG38"/>
  <c r="AH38"/>
  <c r="AF38" s="1"/>
  <c r="BK38" s="1"/>
  <c r="AH57"/>
  <c r="AF57" s="1"/>
  <c r="BK57" s="1"/>
  <c r="AG57"/>
  <c r="AG49"/>
  <c r="AH49"/>
  <c r="AF49" s="1"/>
  <c r="BK49" s="1"/>
  <c r="AH19"/>
  <c r="AF19" s="1"/>
  <c r="BK19" s="1"/>
  <c r="AG19"/>
  <c r="AG29"/>
  <c r="AH29"/>
  <c r="AF29" s="1"/>
  <c r="BK29" s="1"/>
  <c r="AG82"/>
  <c r="AH82"/>
  <c r="AF82" s="1"/>
  <c r="BK82" s="1"/>
  <c r="AH28"/>
  <c r="AF28" s="1"/>
  <c r="BK28" s="1"/>
  <c r="AG28"/>
  <c r="AH70"/>
  <c r="AF70" s="1"/>
  <c r="BK70" s="1"/>
  <c r="AG70"/>
  <c r="AH45"/>
  <c r="AF45" s="1"/>
  <c r="BK45" s="1"/>
  <c r="AG45"/>
  <c r="AG21"/>
  <c r="AH21"/>
  <c r="AF21" s="1"/>
  <c r="BK21" s="1"/>
  <c r="AH56"/>
  <c r="AF56" s="1"/>
  <c r="BK56" s="1"/>
  <c r="AG56"/>
  <c r="AG50"/>
  <c r="AH50"/>
  <c r="AF50" s="1"/>
  <c r="BK50" s="1"/>
  <c r="AH69"/>
  <c r="AF69" s="1"/>
  <c r="BK69" s="1"/>
  <c r="AG69"/>
  <c r="AG63"/>
  <c r="AH63"/>
  <c r="AF63" s="1"/>
  <c r="BK63" s="1"/>
  <c r="AG36"/>
  <c r="AH36"/>
  <c r="AF36" s="1"/>
  <c r="BK36" s="1"/>
  <c r="AG59"/>
  <c r="AH59"/>
  <c r="AF59" s="1"/>
  <c r="BK59" s="1"/>
  <c r="AH73"/>
  <c r="AF73" s="1"/>
  <c r="BK73" s="1"/>
  <c r="AG73"/>
  <c r="AG39"/>
  <c r="AH39"/>
  <c r="AF39" s="1"/>
  <c r="BK39" s="1"/>
  <c r="AH35"/>
  <c r="AF35" s="1"/>
  <c r="BK35" s="1"/>
  <c r="AG35"/>
  <c r="AH37"/>
  <c r="AF37" s="1"/>
  <c r="BK37" s="1"/>
  <c r="AG37"/>
  <c r="AH75"/>
  <c r="AF75" s="1"/>
  <c r="BK75" s="1"/>
  <c r="AG75"/>
  <c r="AH44"/>
  <c r="AF44" s="1"/>
  <c r="BK44" s="1"/>
  <c r="AG44"/>
  <c r="AH40"/>
  <c r="AF40" s="1"/>
  <c r="BK40" s="1"/>
  <c r="AG40"/>
  <c r="AH51"/>
  <c r="AF51" s="1"/>
  <c r="BK51" s="1"/>
  <c r="AG51"/>
  <c r="AH41"/>
  <c r="AF41" s="1"/>
  <c r="BK41" s="1"/>
  <c r="AG41"/>
  <c r="AG85"/>
  <c r="AH85"/>
  <c r="AF85" s="1"/>
  <c r="BK85" s="1"/>
  <c r="AG53"/>
  <c r="AH53"/>
  <c r="AF53" s="1"/>
  <c r="BK53" s="1"/>
  <c r="AH52"/>
  <c r="AF52" s="1"/>
  <c r="BK52" s="1"/>
  <c r="AG52"/>
  <c r="AG23"/>
  <c r="AH23"/>
  <c r="AF23" s="1"/>
  <c r="BK23" s="1"/>
  <c r="AH55"/>
  <c r="AF55" s="1"/>
  <c r="BK55" s="1"/>
  <c r="AG55"/>
  <c r="AG95"/>
  <c r="AH95"/>
  <c r="AF95" s="1"/>
  <c r="BK95" s="1"/>
  <c r="AG77"/>
  <c r="AH77"/>
  <c r="AF77" s="1"/>
  <c r="BK77" s="1"/>
  <c r="AG30"/>
  <c r="AH30"/>
  <c r="AF30" s="1"/>
  <c r="BK30" s="1"/>
  <c r="AH47"/>
  <c r="AF47" s="1"/>
  <c r="BK47" s="1"/>
  <c r="AG47"/>
  <c r="AG66"/>
  <c r="AH66"/>
  <c r="AF66" s="1"/>
  <c r="BK66" s="1"/>
  <c r="AH43"/>
  <c r="AF43" s="1"/>
  <c r="BK43" s="1"/>
  <c r="AG43"/>
  <c r="AG33"/>
  <c r="AH33"/>
  <c r="AF33" s="1"/>
  <c r="BK33" s="1"/>
  <c r="AH76"/>
  <c r="AF76" s="1"/>
  <c r="BK76" s="1"/>
  <c r="AG76"/>
  <c r="AG25"/>
  <c r="AH25"/>
  <c r="AF25" s="1"/>
  <c r="BK25" s="1"/>
  <c r="AB145"/>
  <c r="BF156"/>
  <c r="BF157" s="1"/>
  <c r="BF158" s="1"/>
  <c r="BF159" s="1"/>
  <c r="BF160" s="1"/>
  <c r="BF161" s="1"/>
  <c r="BF162" s="1"/>
  <c r="BF163" s="1"/>
  <c r="BF164" s="1"/>
  <c r="BF165" s="1"/>
  <c r="BF166" s="1"/>
  <c r="BF167" s="1"/>
  <c r="BF168" s="1"/>
  <c r="BF169" s="1"/>
  <c r="BE156"/>
  <c r="BE157" s="1"/>
  <c r="BE158" s="1"/>
  <c r="BE159" s="1"/>
  <c r="BE160" s="1"/>
  <c r="BE161" s="1"/>
  <c r="BE162" s="1"/>
  <c r="BE163" s="1"/>
  <c r="BE164" s="1"/>
  <c r="BE165" s="1"/>
  <c r="BE166" s="1"/>
  <c r="BE167" s="1"/>
  <c r="BE168" s="1"/>
  <c r="BE169" s="1"/>
  <c r="AT156"/>
  <c r="F47" i="14" s="1"/>
  <c r="AN156" i="9"/>
  <c r="AH156"/>
  <c r="AS156"/>
  <c r="F46" i="14" s="1"/>
  <c r="AM156" i="9"/>
  <c r="AG156"/>
  <c r="BO48" l="1"/>
  <c r="BP48" s="1"/>
  <c r="BQ48" s="1"/>
  <c r="BO26"/>
  <c r="BP26" s="1"/>
  <c r="BQ26" s="1"/>
  <c r="BO142"/>
  <c r="BO132"/>
  <c r="BO46"/>
  <c r="BP46" s="1"/>
  <c r="BQ46" s="1"/>
  <c r="BO20"/>
  <c r="BP20" s="1"/>
  <c r="BQ20" s="1"/>
  <c r="BO34"/>
  <c r="BP34" s="1"/>
  <c r="BQ34" s="1"/>
  <c r="BO136"/>
  <c r="BP108"/>
  <c r="BQ108" s="1"/>
  <c r="BO138"/>
  <c r="BO110"/>
  <c r="BP132"/>
  <c r="BQ132" s="1"/>
  <c r="BO123"/>
  <c r="BP123" s="1"/>
  <c r="BQ123" s="1"/>
  <c r="BP112"/>
  <c r="BQ112" s="1"/>
  <c r="BP116"/>
  <c r="BQ116" s="1"/>
  <c r="BO135"/>
  <c r="BO137"/>
  <c r="BP137" s="1"/>
  <c r="BQ137" s="1"/>
  <c r="BO126"/>
  <c r="BO131"/>
  <c r="BP131" s="1"/>
  <c r="BQ131" s="1"/>
  <c r="BO121"/>
  <c r="BP121" s="1"/>
  <c r="BQ121" s="1"/>
  <c r="BO71"/>
  <c r="BP71" s="1"/>
  <c r="BQ71" s="1"/>
  <c r="BO127"/>
  <c r="BP127" s="1"/>
  <c r="BQ127" s="1"/>
  <c r="BO133"/>
  <c r="BP133" s="1"/>
  <c r="BQ133" s="1"/>
  <c r="BO130"/>
  <c r="BP130" s="1"/>
  <c r="BQ130" s="1"/>
  <c r="BP32"/>
  <c r="BQ32" s="1"/>
  <c r="BO141"/>
  <c r="BP141" s="1"/>
  <c r="BQ141" s="1"/>
  <c r="BO129"/>
  <c r="BP129" s="1"/>
  <c r="BQ129" s="1"/>
  <c r="BO128"/>
  <c r="BP128" s="1"/>
  <c r="BQ128" s="1"/>
  <c r="BO120"/>
  <c r="BP120" s="1"/>
  <c r="BQ120" s="1"/>
  <c r="BP80"/>
  <c r="BQ80" s="1"/>
  <c r="BP142"/>
  <c r="BQ142" s="1"/>
  <c r="BP96"/>
  <c r="BQ96" s="1"/>
  <c r="BO16"/>
  <c r="BP16" s="1"/>
  <c r="BQ16" s="1"/>
  <c r="BO134"/>
  <c r="BO118"/>
  <c r="BP118" s="1"/>
  <c r="BQ118" s="1"/>
  <c r="BO83"/>
  <c r="BP83" s="1"/>
  <c r="BQ83" s="1"/>
  <c r="BO125"/>
  <c r="BP125" s="1"/>
  <c r="BQ125" s="1"/>
  <c r="BO24"/>
  <c r="BP24" s="1"/>
  <c r="BQ24" s="1"/>
  <c r="BO17"/>
  <c r="BP17" s="1"/>
  <c r="BQ17" s="1"/>
  <c r="BO107"/>
  <c r="BP107" s="1"/>
  <c r="BQ107" s="1"/>
  <c r="BO65"/>
  <c r="BO122"/>
  <c r="BP122" s="1"/>
  <c r="BQ122" s="1"/>
  <c r="BO111"/>
  <c r="BP111" s="1"/>
  <c r="BQ111" s="1"/>
  <c r="BO140"/>
  <c r="BP140" s="1"/>
  <c r="BQ140" s="1"/>
  <c r="BO139"/>
  <c r="BO124"/>
  <c r="BP124" s="1"/>
  <c r="BQ124" s="1"/>
  <c r="BO119"/>
  <c r="BP97"/>
  <c r="BQ97" s="1"/>
  <c r="BP106"/>
  <c r="BQ106" s="1"/>
  <c r="BP94"/>
  <c r="BQ94" s="1"/>
  <c r="BP114"/>
  <c r="BQ114" s="1"/>
  <c r="BP86"/>
  <c r="BQ86" s="1"/>
  <c r="BN139"/>
  <c r="BN65"/>
  <c r="BO88"/>
  <c r="BP88" s="1"/>
  <c r="BQ88" s="1"/>
  <c r="BP117"/>
  <c r="BQ117" s="1"/>
  <c r="BN134"/>
  <c r="BP102"/>
  <c r="BQ102" s="1"/>
  <c r="BN136"/>
  <c r="BP89"/>
  <c r="BQ89" s="1"/>
  <c r="BP81"/>
  <c r="BQ81" s="1"/>
  <c r="BP98"/>
  <c r="BQ98" s="1"/>
  <c r="BO100"/>
  <c r="BP100" s="1"/>
  <c r="BQ100" s="1"/>
  <c r="BN138"/>
  <c r="BP58"/>
  <c r="BQ58" s="1"/>
  <c r="BN45"/>
  <c r="BO13"/>
  <c r="BP13" s="1"/>
  <c r="BN105"/>
  <c r="BN126"/>
  <c r="BP126" s="1"/>
  <c r="BN113"/>
  <c r="BP113" s="1"/>
  <c r="BQ113" s="1"/>
  <c r="BL144"/>
  <c r="BO92"/>
  <c r="BP92" s="1"/>
  <c r="BQ92" s="1"/>
  <c r="BN93"/>
  <c r="BP93" s="1"/>
  <c r="BO60"/>
  <c r="BP60" s="1"/>
  <c r="BQ60" s="1"/>
  <c r="BP74"/>
  <c r="BQ74" s="1"/>
  <c r="BN101"/>
  <c r="BP101" s="1"/>
  <c r="BN135"/>
  <c r="BN119"/>
  <c r="BP115"/>
  <c r="BQ115" s="1"/>
  <c r="BK144"/>
  <c r="BP110"/>
  <c r="BQ110" s="1"/>
  <c r="BP87"/>
  <c r="BQ87" s="1"/>
  <c r="BP62"/>
  <c r="BQ62" s="1"/>
  <c r="BP91"/>
  <c r="BQ91" s="1"/>
  <c r="BP79"/>
  <c r="BQ79" s="1"/>
  <c r="BP103"/>
  <c r="BQ103" s="1"/>
  <c r="BP90"/>
  <c r="BQ90" s="1"/>
  <c r="BP109"/>
  <c r="BQ109" s="1"/>
  <c r="BP99"/>
  <c r="BQ99" s="1"/>
  <c r="BE155"/>
  <c r="AM155"/>
  <c r="E44" i="14" s="1"/>
  <c r="AN155" i="9"/>
  <c r="E45" i="14" s="1"/>
  <c r="AS155" i="9"/>
  <c r="E46" i="14" s="1"/>
  <c r="AT36" i="9"/>
  <c r="AL36"/>
  <c r="BM36" s="1"/>
  <c r="AL55"/>
  <c r="BM55" s="1"/>
  <c r="AT55"/>
  <c r="AT52"/>
  <c r="AL52"/>
  <c r="BM52" s="1"/>
  <c r="AT40"/>
  <c r="AL40"/>
  <c r="BM40" s="1"/>
  <c r="AT19"/>
  <c r="AL19"/>
  <c r="BM19" s="1"/>
  <c r="AL21"/>
  <c r="BM21" s="1"/>
  <c r="AT21"/>
  <c r="AT14"/>
  <c r="AL14"/>
  <c r="BM14" s="1"/>
  <c r="AL39"/>
  <c r="BM39" s="1"/>
  <c r="AT39"/>
  <c r="AL73"/>
  <c r="BM73" s="1"/>
  <c r="AT73"/>
  <c r="AL63"/>
  <c r="BM63" s="1"/>
  <c r="AT63"/>
  <c r="AL27"/>
  <c r="BM27" s="1"/>
  <c r="AT27"/>
  <c r="AT57"/>
  <c r="AL57"/>
  <c r="BM57" s="1"/>
  <c r="AT95"/>
  <c r="AL95"/>
  <c r="BM95" s="1"/>
  <c r="AR67"/>
  <c r="BO67" s="1"/>
  <c r="BP67" s="1"/>
  <c r="BQ67" s="1"/>
  <c r="BF67"/>
  <c r="AT49"/>
  <c r="AL49"/>
  <c r="BM49" s="1"/>
  <c r="AL70"/>
  <c r="BM70" s="1"/>
  <c r="AT70"/>
  <c r="AT72"/>
  <c r="AL72"/>
  <c r="BM72" s="1"/>
  <c r="AT69"/>
  <c r="AL69"/>
  <c r="BM69" s="1"/>
  <c r="AL43"/>
  <c r="BM43" s="1"/>
  <c r="AT43"/>
  <c r="AL47"/>
  <c r="BM47" s="1"/>
  <c r="AT47"/>
  <c r="AL77"/>
  <c r="BM77" s="1"/>
  <c r="AT77"/>
  <c r="AT29"/>
  <c r="AL29"/>
  <c r="BM29" s="1"/>
  <c r="AL42"/>
  <c r="BM42" s="1"/>
  <c r="AT42"/>
  <c r="AL54"/>
  <c r="BM54" s="1"/>
  <c r="AT54"/>
  <c r="AT33"/>
  <c r="AL33"/>
  <c r="BM33" s="1"/>
  <c r="AL23"/>
  <c r="BM23" s="1"/>
  <c r="AT23"/>
  <c r="AL38"/>
  <c r="BM38" s="1"/>
  <c r="AT38"/>
  <c r="AL51"/>
  <c r="BM51" s="1"/>
  <c r="AT51"/>
  <c r="AL31"/>
  <c r="BM31" s="1"/>
  <c r="AT31"/>
  <c r="AT15"/>
  <c r="AL15"/>
  <c r="BM15" s="1"/>
  <c r="AT28"/>
  <c r="AL28"/>
  <c r="BM28" s="1"/>
  <c r="AL35"/>
  <c r="BM35" s="1"/>
  <c r="AT35"/>
  <c r="AT37"/>
  <c r="AL37"/>
  <c r="BM37" s="1"/>
  <c r="AT44"/>
  <c r="AL44"/>
  <c r="BM44" s="1"/>
  <c r="AT75"/>
  <c r="AL75"/>
  <c r="BM75" s="1"/>
  <c r="AR78"/>
  <c r="BO78" s="1"/>
  <c r="BP78" s="1"/>
  <c r="BQ78" s="1"/>
  <c r="BF78"/>
  <c r="AT25"/>
  <c r="AL25"/>
  <c r="BM25" s="1"/>
  <c r="AL66"/>
  <c r="BM66" s="1"/>
  <c r="AT66"/>
  <c r="AL30"/>
  <c r="BM30" s="1"/>
  <c r="AT30"/>
  <c r="AT53"/>
  <c r="AL53"/>
  <c r="BM53" s="1"/>
  <c r="AT22"/>
  <c r="AL22"/>
  <c r="BM22" s="1"/>
  <c r="AL59"/>
  <c r="BM59" s="1"/>
  <c r="AT59"/>
  <c r="AT76"/>
  <c r="AL76"/>
  <c r="BM76" s="1"/>
  <c r="AL85"/>
  <c r="BM85" s="1"/>
  <c r="AT85"/>
  <c r="AT41"/>
  <c r="AL41"/>
  <c r="BM41" s="1"/>
  <c r="AT45"/>
  <c r="AL45"/>
  <c r="BM45" s="1"/>
  <c r="AL82"/>
  <c r="BM82" s="1"/>
  <c r="AT82"/>
  <c r="AL50"/>
  <c r="BM50" s="1"/>
  <c r="AT50"/>
  <c r="AT61"/>
  <c r="AL61"/>
  <c r="BM61" s="1"/>
  <c r="AT56"/>
  <c r="AL56"/>
  <c r="BM56" s="1"/>
  <c r="AH155"/>
  <c r="E43" i="14" s="1"/>
  <c r="AG155" i="9"/>
  <c r="E42" i="14" s="1"/>
  <c r="E25" s="1"/>
  <c r="E4" s="1"/>
  <c r="AM157" i="9"/>
  <c r="AM158" s="1"/>
  <c r="AM159" s="1"/>
  <c r="AM160" s="1"/>
  <c r="AM161" s="1"/>
  <c r="AM162" s="1"/>
  <c r="AM163" s="1"/>
  <c r="AM164" s="1"/>
  <c r="AM165" s="1"/>
  <c r="AM166" s="1"/>
  <c r="AM167" s="1"/>
  <c r="AM168" s="1"/>
  <c r="AM169" s="1"/>
  <c r="F44" i="14"/>
  <c r="AH157" i="9"/>
  <c r="AH158" s="1"/>
  <c r="AH159" s="1"/>
  <c r="AH160" s="1"/>
  <c r="AH161" s="1"/>
  <c r="AH162" s="1"/>
  <c r="AH163" s="1"/>
  <c r="AH164" s="1"/>
  <c r="AH165" s="1"/>
  <c r="AH166" s="1"/>
  <c r="AH167" s="1"/>
  <c r="AH168" s="1"/>
  <c r="AH169" s="1"/>
  <c r="F43" i="14"/>
  <c r="AG157" i="9"/>
  <c r="AG158" s="1"/>
  <c r="AG159" s="1"/>
  <c r="AG160" s="1"/>
  <c r="AG161" s="1"/>
  <c r="AG162" s="1"/>
  <c r="AG163" s="1"/>
  <c r="AG164" s="1"/>
  <c r="AG165" s="1"/>
  <c r="AG166" s="1"/>
  <c r="AG167" s="1"/>
  <c r="AG168" s="1"/>
  <c r="AG169" s="1"/>
  <c r="F42" i="14"/>
  <c r="F25" s="1"/>
  <c r="F4" s="1"/>
  <c r="AN157" i="9"/>
  <c r="AN158" s="1"/>
  <c r="AN159" s="1"/>
  <c r="AN160" s="1"/>
  <c r="AN161" s="1"/>
  <c r="AN162" s="1"/>
  <c r="AN163" s="1"/>
  <c r="AN164" s="1"/>
  <c r="AN165" s="1"/>
  <c r="AN166" s="1"/>
  <c r="AN167" s="1"/>
  <c r="AN168" s="1"/>
  <c r="AN169" s="1"/>
  <c r="F45" i="14"/>
  <c r="AS157" i="9"/>
  <c r="BJ156"/>
  <c r="AT157"/>
  <c r="BK156"/>
  <c r="BP135" l="1"/>
  <c r="BP136"/>
  <c r="BQ136" s="1"/>
  <c r="BP138"/>
  <c r="BQ138" s="1"/>
  <c r="BP139"/>
  <c r="BQ139" s="1"/>
  <c r="BP119"/>
  <c r="BQ119" s="1"/>
  <c r="BP134"/>
  <c r="BQ134" s="1"/>
  <c r="BP65"/>
  <c r="BQ65" s="1"/>
  <c r="BQ93"/>
  <c r="BQ101"/>
  <c r="BN144"/>
  <c r="BQ135"/>
  <c r="BP105"/>
  <c r="BQ105" s="1"/>
  <c r="BQ13"/>
  <c r="BM144"/>
  <c r="BQ126"/>
  <c r="BJ155"/>
  <c r="I4" i="14"/>
  <c r="E8" i="21" s="1"/>
  <c r="J4" i="14"/>
  <c r="F8" i="21" s="1"/>
  <c r="AR61" i="9"/>
  <c r="BO61" s="1"/>
  <c r="BP61" s="1"/>
  <c r="BQ61" s="1"/>
  <c r="BF61"/>
  <c r="AR41"/>
  <c r="BO41" s="1"/>
  <c r="BP41" s="1"/>
  <c r="BQ41" s="1"/>
  <c r="BF41"/>
  <c r="AR76"/>
  <c r="BO76" s="1"/>
  <c r="BP76" s="1"/>
  <c r="BQ76" s="1"/>
  <c r="BF76"/>
  <c r="AR22"/>
  <c r="BO22" s="1"/>
  <c r="BP22" s="1"/>
  <c r="BQ22" s="1"/>
  <c r="BF22"/>
  <c r="AR25"/>
  <c r="BO25" s="1"/>
  <c r="BP25" s="1"/>
  <c r="BQ25" s="1"/>
  <c r="BF25"/>
  <c r="AR75"/>
  <c r="BO75" s="1"/>
  <c r="BP75" s="1"/>
  <c r="BQ75" s="1"/>
  <c r="BF75"/>
  <c r="AR37"/>
  <c r="BO37" s="1"/>
  <c r="BP37" s="1"/>
  <c r="BQ37" s="1"/>
  <c r="BF37"/>
  <c r="AR28"/>
  <c r="BO28" s="1"/>
  <c r="BP28" s="1"/>
  <c r="BQ28" s="1"/>
  <c r="BF28"/>
  <c r="AR33"/>
  <c r="BO33" s="1"/>
  <c r="BP33" s="1"/>
  <c r="BQ33" s="1"/>
  <c r="BF33"/>
  <c r="AR72"/>
  <c r="BO72" s="1"/>
  <c r="BP72" s="1"/>
  <c r="BQ72" s="1"/>
  <c r="BF72"/>
  <c r="AR49"/>
  <c r="BO49" s="1"/>
  <c r="BP49" s="1"/>
  <c r="BQ49" s="1"/>
  <c r="BF49"/>
  <c r="AR95"/>
  <c r="BO95" s="1"/>
  <c r="BP95" s="1"/>
  <c r="BQ95" s="1"/>
  <c r="BF95"/>
  <c r="AR14"/>
  <c r="BO14" s="1"/>
  <c r="BP14" s="1"/>
  <c r="BQ14" s="1"/>
  <c r="BF14"/>
  <c r="AT155"/>
  <c r="AR19"/>
  <c r="BO19" s="1"/>
  <c r="BP19" s="1"/>
  <c r="BQ19" s="1"/>
  <c r="BF19"/>
  <c r="AR52"/>
  <c r="BO52" s="1"/>
  <c r="BP52" s="1"/>
  <c r="BQ52" s="1"/>
  <c r="BF52"/>
  <c r="AR36"/>
  <c r="BO36" s="1"/>
  <c r="BP36" s="1"/>
  <c r="BQ36" s="1"/>
  <c r="BF36"/>
  <c r="AR82"/>
  <c r="BO82" s="1"/>
  <c r="BP82" s="1"/>
  <c r="BQ82" s="1"/>
  <c r="BF82"/>
  <c r="AR30"/>
  <c r="BO30" s="1"/>
  <c r="BP30" s="1"/>
  <c r="BQ30" s="1"/>
  <c r="BF30"/>
  <c r="AR31"/>
  <c r="BO31" s="1"/>
  <c r="BP31" s="1"/>
  <c r="BQ31" s="1"/>
  <c r="BF31"/>
  <c r="AR38"/>
  <c r="BO38" s="1"/>
  <c r="BP38" s="1"/>
  <c r="BQ38" s="1"/>
  <c r="BF38"/>
  <c r="AR42"/>
  <c r="BO42" s="1"/>
  <c r="BP42" s="1"/>
  <c r="BQ42" s="1"/>
  <c r="BF42"/>
  <c r="AR77"/>
  <c r="BO77" s="1"/>
  <c r="BP77" s="1"/>
  <c r="BQ77" s="1"/>
  <c r="BF77"/>
  <c r="AR43"/>
  <c r="BO43" s="1"/>
  <c r="BP43" s="1"/>
  <c r="BQ43" s="1"/>
  <c r="BF43"/>
  <c r="AR27"/>
  <c r="BO27" s="1"/>
  <c r="BP27" s="1"/>
  <c r="BQ27" s="1"/>
  <c r="BF27"/>
  <c r="AR73"/>
  <c r="BO73" s="1"/>
  <c r="BP73" s="1"/>
  <c r="BQ73" s="1"/>
  <c r="BF73"/>
  <c r="AR56"/>
  <c r="BO56" s="1"/>
  <c r="BP56" s="1"/>
  <c r="BQ56" s="1"/>
  <c r="BF56"/>
  <c r="AR45"/>
  <c r="BO45" s="1"/>
  <c r="BP45" s="1"/>
  <c r="BQ45" s="1"/>
  <c r="BF45"/>
  <c r="AR53"/>
  <c r="BO53" s="1"/>
  <c r="BP53" s="1"/>
  <c r="BQ53" s="1"/>
  <c r="BF53"/>
  <c r="AR44"/>
  <c r="BO44" s="1"/>
  <c r="BP44" s="1"/>
  <c r="BQ44" s="1"/>
  <c r="BF44"/>
  <c r="AR15"/>
  <c r="BO15" s="1"/>
  <c r="BP15" s="1"/>
  <c r="BQ15" s="1"/>
  <c r="BF15"/>
  <c r="AR29"/>
  <c r="BO29" s="1"/>
  <c r="BP29" s="1"/>
  <c r="BQ29" s="1"/>
  <c r="BF29"/>
  <c r="AR69"/>
  <c r="BO69" s="1"/>
  <c r="BP69" s="1"/>
  <c r="BQ69" s="1"/>
  <c r="BF69"/>
  <c r="AR57"/>
  <c r="BO57" s="1"/>
  <c r="BP57" s="1"/>
  <c r="BQ57" s="1"/>
  <c r="BF57"/>
  <c r="AR40"/>
  <c r="BO40" s="1"/>
  <c r="BP40" s="1"/>
  <c r="BQ40" s="1"/>
  <c r="BF40"/>
  <c r="AR50"/>
  <c r="BO50" s="1"/>
  <c r="BP50" s="1"/>
  <c r="BQ50" s="1"/>
  <c r="BF50"/>
  <c r="AR85"/>
  <c r="BO85" s="1"/>
  <c r="BP85" s="1"/>
  <c r="BQ85" s="1"/>
  <c r="BF85"/>
  <c r="AR59"/>
  <c r="BO59" s="1"/>
  <c r="BP59" s="1"/>
  <c r="BQ59" s="1"/>
  <c r="BF59"/>
  <c r="AR66"/>
  <c r="BO66" s="1"/>
  <c r="BP66" s="1"/>
  <c r="BQ66" s="1"/>
  <c r="BF66"/>
  <c r="AR35"/>
  <c r="BO35" s="1"/>
  <c r="BP35" s="1"/>
  <c r="BQ35" s="1"/>
  <c r="BF35"/>
  <c r="AR51"/>
  <c r="BO51" s="1"/>
  <c r="BP51" s="1"/>
  <c r="BQ51" s="1"/>
  <c r="BF51"/>
  <c r="AR23"/>
  <c r="BO23" s="1"/>
  <c r="BP23" s="1"/>
  <c r="BQ23" s="1"/>
  <c r="BF23"/>
  <c r="AR54"/>
  <c r="BO54" s="1"/>
  <c r="BP54" s="1"/>
  <c r="BQ54" s="1"/>
  <c r="BF54"/>
  <c r="AR47"/>
  <c r="BO47" s="1"/>
  <c r="BP47" s="1"/>
  <c r="BQ47" s="1"/>
  <c r="BF47"/>
  <c r="AR70"/>
  <c r="BO70" s="1"/>
  <c r="BP70" s="1"/>
  <c r="BQ70" s="1"/>
  <c r="BF70"/>
  <c r="AR63"/>
  <c r="BO63" s="1"/>
  <c r="BP63" s="1"/>
  <c r="BQ63" s="1"/>
  <c r="BF63"/>
  <c r="AR39"/>
  <c r="BO39" s="1"/>
  <c r="BP39" s="1"/>
  <c r="BQ39" s="1"/>
  <c r="BF39"/>
  <c r="AR21"/>
  <c r="BO21" s="1"/>
  <c r="BP21" s="1"/>
  <c r="BQ21" s="1"/>
  <c r="BF21"/>
  <c r="AR55"/>
  <c r="BO55" s="1"/>
  <c r="BP55" s="1"/>
  <c r="BQ55" s="1"/>
  <c r="BF55"/>
  <c r="E26" i="14"/>
  <c r="E5" s="1"/>
  <c r="F26"/>
  <c r="F5" s="1"/>
  <c r="BJ157" i="9"/>
  <c r="AS158"/>
  <c r="BK157"/>
  <c r="AT158"/>
  <c r="BO144" l="1"/>
  <c r="BQ144"/>
  <c r="BP144"/>
  <c r="I5" i="14"/>
  <c r="E9" i="21" s="1"/>
  <c r="J5" i="14"/>
  <c r="F9" i="21" s="1"/>
  <c r="BF155" i="9"/>
  <c r="BK155" s="1"/>
  <c r="E47" i="14"/>
  <c r="E27"/>
  <c r="E6" s="1"/>
  <c r="F27"/>
  <c r="F6" s="1"/>
  <c r="BJ158" i="9"/>
  <c r="AS159"/>
  <c r="BK158"/>
  <c r="AT159"/>
  <c r="J6" i="14" l="1"/>
  <c r="F10" i="21" s="1"/>
  <c r="I6" i="14"/>
  <c r="E10" i="21" s="1"/>
  <c r="E28" i="14"/>
  <c r="E7" s="1"/>
  <c r="F28"/>
  <c r="F7" s="1"/>
  <c r="BK159" i="9"/>
  <c r="AT160"/>
  <c r="BJ159"/>
  <c r="AS160"/>
  <c r="I7" i="14" l="1"/>
  <c r="E11" i="21" s="1"/>
  <c r="J7" i="14"/>
  <c r="F11" i="21" s="1"/>
  <c r="AS161" i="9"/>
  <c r="BJ160"/>
  <c r="AT161"/>
  <c r="BK160"/>
  <c r="BK161" l="1"/>
  <c r="AT162"/>
  <c r="BJ161"/>
  <c r="AS162"/>
  <c r="BJ162" l="1"/>
  <c r="AS163"/>
  <c r="BK162"/>
  <c r="AT163"/>
  <c r="BK163" l="1"/>
  <c r="AT164"/>
  <c r="BJ163"/>
  <c r="AS164"/>
  <c r="AT165" l="1"/>
  <c r="BK164"/>
  <c r="BJ164"/>
  <c r="AS165"/>
  <c r="BJ165" l="1"/>
  <c r="AS166"/>
  <c r="BK165"/>
  <c r="AT166"/>
  <c r="BJ166" l="1"/>
  <c r="AS167"/>
  <c r="BK166"/>
  <c r="AT167"/>
  <c r="BK167" l="1"/>
  <c r="AT168"/>
  <c r="BJ167"/>
  <c r="AS168"/>
  <c r="AT169" l="1"/>
  <c r="BK168"/>
  <c r="BJ168"/>
  <c r="AS169"/>
  <c r="BJ169" l="1"/>
  <c r="BK169"/>
  <c r="Q149" l="1"/>
  <c r="BC139" l="1"/>
  <c r="BC135"/>
  <c r="BC131"/>
  <c r="BC127"/>
  <c r="BC123"/>
  <c r="BC119"/>
  <c r="BD116"/>
  <c r="BD114"/>
  <c r="BC111"/>
  <c r="BD108"/>
  <c r="BC105"/>
  <c r="BC103"/>
  <c r="BC101"/>
  <c r="BC99"/>
  <c r="BC97"/>
  <c r="BC95"/>
  <c r="BC93"/>
  <c r="BC91"/>
  <c r="BC89"/>
  <c r="BC87"/>
  <c r="BC85"/>
  <c r="BD81"/>
  <c r="BD79"/>
  <c r="BD77"/>
  <c r="BD75"/>
  <c r="BD73"/>
  <c r="BC71"/>
  <c r="BC140"/>
  <c r="BC136"/>
  <c r="BC132"/>
  <c r="BC128"/>
  <c r="BC124"/>
  <c r="BC120"/>
  <c r="BC116"/>
  <c r="BC114"/>
  <c r="BC108"/>
  <c r="BD106"/>
  <c r="BD104"/>
  <c r="BD102"/>
  <c r="BD100"/>
  <c r="BD98"/>
  <c r="BD96"/>
  <c r="BD94"/>
  <c r="BD92"/>
  <c r="BD90"/>
  <c r="BD88"/>
  <c r="BD86"/>
  <c r="BD84"/>
  <c r="BC81"/>
  <c r="BC79"/>
  <c r="BC77"/>
  <c r="BC75"/>
  <c r="BC73"/>
  <c r="BC141"/>
  <c r="BC133"/>
  <c r="BC125"/>
  <c r="BD117"/>
  <c r="BD113"/>
  <c r="BD109"/>
  <c r="BC106"/>
  <c r="BC102"/>
  <c r="BC98"/>
  <c r="BC94"/>
  <c r="BC90"/>
  <c r="BC86"/>
  <c r="BD80"/>
  <c r="BD76"/>
  <c r="BD72"/>
  <c r="BC69"/>
  <c r="BC66"/>
  <c r="BD64"/>
  <c r="BD62"/>
  <c r="BD60"/>
  <c r="BD58"/>
  <c r="BD56"/>
  <c r="BD54"/>
  <c r="BD52"/>
  <c r="BD50"/>
  <c r="BD48"/>
  <c r="BD46"/>
  <c r="BD44"/>
  <c r="BD42"/>
  <c r="BD40"/>
  <c r="BC138"/>
  <c r="BC130"/>
  <c r="BC122"/>
  <c r="BC117"/>
  <c r="BC113"/>
  <c r="BC109"/>
  <c r="BD103"/>
  <c r="BD99"/>
  <c r="BD95"/>
  <c r="BD91"/>
  <c r="BD87"/>
  <c r="BC83"/>
  <c r="BC80"/>
  <c r="BC76"/>
  <c r="BC72"/>
  <c r="BD70"/>
  <c r="BD67"/>
  <c r="BC65"/>
  <c r="BC64"/>
  <c r="BC62"/>
  <c r="BC60"/>
  <c r="BC58"/>
  <c r="BC56"/>
  <c r="BC54"/>
  <c r="BC52"/>
  <c r="BC50"/>
  <c r="BC48"/>
  <c r="BC46"/>
  <c r="BC44"/>
  <c r="BC42"/>
  <c r="BC129"/>
  <c r="BD115"/>
  <c r="BD112"/>
  <c r="BC100"/>
  <c r="BC92"/>
  <c r="BC84"/>
  <c r="BD78"/>
  <c r="BC70"/>
  <c r="BD63"/>
  <c r="BD59"/>
  <c r="BD55"/>
  <c r="BD51"/>
  <c r="BD47"/>
  <c r="BD43"/>
  <c r="BC39"/>
  <c r="BC37"/>
  <c r="BC35"/>
  <c r="BC33"/>
  <c r="BC31"/>
  <c r="BC29"/>
  <c r="BC27"/>
  <c r="BC25"/>
  <c r="BC23"/>
  <c r="BC21"/>
  <c r="BC19"/>
  <c r="BC17"/>
  <c r="BC15"/>
  <c r="BC104"/>
  <c r="BC88"/>
  <c r="BD82"/>
  <c r="BC67"/>
  <c r="BD61"/>
  <c r="BD53"/>
  <c r="BD45"/>
  <c r="BC40"/>
  <c r="BC36"/>
  <c r="BC32"/>
  <c r="BC30"/>
  <c r="BC26"/>
  <c r="BC22"/>
  <c r="BC16"/>
  <c r="BC142"/>
  <c r="BC126"/>
  <c r="BC110"/>
  <c r="BD93"/>
  <c r="BC82"/>
  <c r="BC74"/>
  <c r="BD69"/>
  <c r="BC57"/>
  <c r="BC49"/>
  <c r="BC41"/>
  <c r="BD39"/>
  <c r="BD35"/>
  <c r="BD31"/>
  <c r="BD27"/>
  <c r="BD23"/>
  <c r="BD21"/>
  <c r="BC134"/>
  <c r="BC118"/>
  <c r="BC115"/>
  <c r="BC112"/>
  <c r="BD105"/>
  <c r="BD97"/>
  <c r="BD89"/>
  <c r="BC78"/>
  <c r="BD66"/>
  <c r="BC63"/>
  <c r="BC59"/>
  <c r="BC55"/>
  <c r="BC51"/>
  <c r="BC47"/>
  <c r="BC43"/>
  <c r="BD38"/>
  <c r="BD36"/>
  <c r="BD34"/>
  <c r="BD32"/>
  <c r="BD30"/>
  <c r="BD28"/>
  <c r="BD26"/>
  <c r="BD24"/>
  <c r="BD22"/>
  <c r="BD20"/>
  <c r="BD16"/>
  <c r="BD14"/>
  <c r="BC137"/>
  <c r="BC121"/>
  <c r="BC107"/>
  <c r="BC96"/>
  <c r="BD74"/>
  <c r="BD57"/>
  <c r="BD49"/>
  <c r="BD41"/>
  <c r="BC38"/>
  <c r="BC34"/>
  <c r="BC28"/>
  <c r="BC24"/>
  <c r="BC20"/>
  <c r="BC14"/>
  <c r="BD101"/>
  <c r="BD85"/>
  <c r="BC61"/>
  <c r="BC53"/>
  <c r="BC45"/>
  <c r="BD37"/>
  <c r="BD33"/>
  <c r="BD29"/>
  <c r="BD25"/>
  <c r="BD19"/>
  <c r="BD17"/>
  <c r="BD15"/>
  <c r="F26" i="12"/>
  <c r="BD18" i="9" l="1"/>
  <c r="AX154"/>
  <c r="AX145"/>
  <c r="AK154"/>
  <c r="AK145"/>
  <c r="AR145"/>
  <c r="AR149" s="1"/>
  <c r="D28" i="14" s="1"/>
  <c r="BD13" i="9"/>
  <c r="AR154"/>
  <c r="F27" i="12"/>
  <c r="A32"/>
  <c r="AQ154" i="9"/>
  <c r="AQ145"/>
  <c r="BC13"/>
  <c r="AL154"/>
  <c r="AL145"/>
  <c r="AF154"/>
  <c r="AF145"/>
  <c r="AW154"/>
  <c r="BC18"/>
  <c r="AW145"/>
  <c r="AE145"/>
  <c r="AE154"/>
  <c r="AE146" l="1"/>
  <c r="AE191" s="1"/>
  <c r="D42" i="14"/>
  <c r="D25" s="1"/>
  <c r="AF146" i="9"/>
  <c r="AE194" s="1"/>
  <c r="D43" i="14"/>
  <c r="AK146" i="9"/>
  <c r="AE192" s="1"/>
  <c r="D44" i="14"/>
  <c r="AW146" i="9"/>
  <c r="AE197" s="1"/>
  <c r="D48" i="14"/>
  <c r="AQ146" i="9"/>
  <c r="AE193" s="1"/>
  <c r="D46" i="14"/>
  <c r="AL146" i="9"/>
  <c r="AE195" s="1"/>
  <c r="D45" i="14"/>
  <c r="AX146" i="9"/>
  <c r="AE198" s="1"/>
  <c r="D49" i="14"/>
  <c r="D29" s="1"/>
  <c r="D8" s="1"/>
  <c r="AR146" i="9"/>
  <c r="AE196" s="1"/>
  <c r="D47" i="14"/>
  <c r="AE171" i="9"/>
  <c r="AE155"/>
  <c r="AD191"/>
  <c r="AF191" s="1"/>
  <c r="AW155"/>
  <c r="AD197"/>
  <c r="AF197" s="1"/>
  <c r="AW171"/>
  <c r="AY154"/>
  <c r="AD195"/>
  <c r="AF195" s="1"/>
  <c r="AL155"/>
  <c r="AL171"/>
  <c r="AD198"/>
  <c r="AF198" s="1"/>
  <c r="AX155"/>
  <c r="AX171"/>
  <c r="AZ154"/>
  <c r="BC154"/>
  <c r="BC145"/>
  <c r="BC146" s="1"/>
  <c r="AE199" s="1"/>
  <c r="F28" i="12"/>
  <c r="A33"/>
  <c r="AF155" i="9"/>
  <c r="AD194"/>
  <c r="AF194" s="1"/>
  <c r="AF171"/>
  <c r="AR171"/>
  <c r="AR155"/>
  <c r="AT154"/>
  <c r="AD196"/>
  <c r="AF196" s="1"/>
  <c r="AD192"/>
  <c r="AF192" s="1"/>
  <c r="AK171"/>
  <c r="AK155"/>
  <c r="AS154"/>
  <c r="AQ171"/>
  <c r="AQ155"/>
  <c r="AD193"/>
  <c r="AF193" s="1"/>
  <c r="BD145"/>
  <c r="BD146" s="1"/>
  <c r="AE200" s="1"/>
  <c r="BD154"/>
  <c r="BI154" s="1"/>
  <c r="H8" i="14" l="1"/>
  <c r="C12" i="21" s="1"/>
  <c r="D26" i="14"/>
  <c r="D27" s="1"/>
  <c r="D7" s="1"/>
  <c r="AX156" i="9"/>
  <c r="AX157" s="1"/>
  <c r="AX158" s="1"/>
  <c r="AX159" s="1"/>
  <c r="AX160" s="1"/>
  <c r="AX161" s="1"/>
  <c r="AX162" s="1"/>
  <c r="AX163" s="1"/>
  <c r="AX164" s="1"/>
  <c r="AX165" s="1"/>
  <c r="AX166" s="1"/>
  <c r="AX167" s="1"/>
  <c r="AX168" s="1"/>
  <c r="AX169" s="1"/>
  <c r="AW156"/>
  <c r="AW157" s="1"/>
  <c r="AW158" s="1"/>
  <c r="AW159" s="1"/>
  <c r="AW160" s="1"/>
  <c r="AW161" s="1"/>
  <c r="AW162" s="1"/>
  <c r="AW163" s="1"/>
  <c r="AW164" s="1"/>
  <c r="AW165" s="1"/>
  <c r="AW166" s="1"/>
  <c r="AW167" s="1"/>
  <c r="AW168" s="1"/>
  <c r="AW169" s="1"/>
  <c r="AQ172"/>
  <c r="AR156"/>
  <c r="AF156"/>
  <c r="AF157" s="1"/>
  <c r="AF158" s="1"/>
  <c r="AF159" s="1"/>
  <c r="AF160" s="1"/>
  <c r="AF161" s="1"/>
  <c r="AF162" s="1"/>
  <c r="AF163" s="1"/>
  <c r="AF164" s="1"/>
  <c r="AF165" s="1"/>
  <c r="AF166" s="1"/>
  <c r="AF167" s="1"/>
  <c r="AF168" s="1"/>
  <c r="AF169" s="1"/>
  <c r="AD199"/>
  <c r="AF199" s="1"/>
  <c r="BC171"/>
  <c r="BC155"/>
  <c r="BH155" s="1"/>
  <c r="BE154"/>
  <c r="BF154"/>
  <c r="BD155"/>
  <c r="BI155" s="1"/>
  <c r="AD200"/>
  <c r="AF200" s="1"/>
  <c r="BD171"/>
  <c r="AQ156"/>
  <c r="AK172"/>
  <c r="AK173" s="1"/>
  <c r="AK174" s="1"/>
  <c r="AK175" s="1"/>
  <c r="AK176" s="1"/>
  <c r="AK177" s="1"/>
  <c r="AK178" s="1"/>
  <c r="AK179" s="1"/>
  <c r="AK180" s="1"/>
  <c r="AK181" s="1"/>
  <c r="AK182" s="1"/>
  <c r="AK183" s="1"/>
  <c r="AK184" s="1"/>
  <c r="AK185" s="1"/>
  <c r="BH154"/>
  <c r="AR172"/>
  <c r="AL172"/>
  <c r="AL173" s="1"/>
  <c r="AL174" s="1"/>
  <c r="AL175" s="1"/>
  <c r="AL176" s="1"/>
  <c r="AL177" s="1"/>
  <c r="AL178" s="1"/>
  <c r="AL179" s="1"/>
  <c r="AL180" s="1"/>
  <c r="AL181" s="1"/>
  <c r="AL182" s="1"/>
  <c r="AL183" s="1"/>
  <c r="AL184" s="1"/>
  <c r="AL185" s="1"/>
  <c r="AW172"/>
  <c r="AW173" s="1"/>
  <c r="AW174" s="1"/>
  <c r="AW175" s="1"/>
  <c r="AW176" s="1"/>
  <c r="AW177" s="1"/>
  <c r="AW178" s="1"/>
  <c r="AW179" s="1"/>
  <c r="AW180" s="1"/>
  <c r="AW181" s="1"/>
  <c r="AW182" s="1"/>
  <c r="AW183" s="1"/>
  <c r="AW184" s="1"/>
  <c r="AW185" s="1"/>
  <c r="AE156"/>
  <c r="AE157" s="1"/>
  <c r="AE158" s="1"/>
  <c r="AE159" s="1"/>
  <c r="AE160" s="1"/>
  <c r="AE161" s="1"/>
  <c r="AE162" s="1"/>
  <c r="AE163" s="1"/>
  <c r="AE164" s="1"/>
  <c r="AE165" s="1"/>
  <c r="AE166" s="1"/>
  <c r="AE167" s="1"/>
  <c r="AE168" s="1"/>
  <c r="AE169" s="1"/>
  <c r="AK156"/>
  <c r="AK157" s="1"/>
  <c r="AK158" s="1"/>
  <c r="AK159" s="1"/>
  <c r="AK160" s="1"/>
  <c r="AK161" s="1"/>
  <c r="AK162" s="1"/>
  <c r="AK163" s="1"/>
  <c r="AK164" s="1"/>
  <c r="AK165" s="1"/>
  <c r="AK166" s="1"/>
  <c r="AK167" s="1"/>
  <c r="AK168" s="1"/>
  <c r="AK169" s="1"/>
  <c r="AF172"/>
  <c r="AF173" s="1"/>
  <c r="AF174" s="1"/>
  <c r="AF175" s="1"/>
  <c r="AF176" s="1"/>
  <c r="AF177" s="1"/>
  <c r="AF178" s="1"/>
  <c r="AF179" s="1"/>
  <c r="AF180" s="1"/>
  <c r="AF181" s="1"/>
  <c r="AF182" s="1"/>
  <c r="AF183" s="1"/>
  <c r="AF184" s="1"/>
  <c r="AF185" s="1"/>
  <c r="AX172"/>
  <c r="AX173" s="1"/>
  <c r="AX174" s="1"/>
  <c r="AX175" s="1"/>
  <c r="AX176" s="1"/>
  <c r="AX177" s="1"/>
  <c r="AX178" s="1"/>
  <c r="AX179" s="1"/>
  <c r="AX180" s="1"/>
  <c r="AX181" s="1"/>
  <c r="AX182" s="1"/>
  <c r="AX183" s="1"/>
  <c r="AX184" s="1"/>
  <c r="AX185" s="1"/>
  <c r="AL156"/>
  <c r="AL157" s="1"/>
  <c r="AL158" s="1"/>
  <c r="AL159" s="1"/>
  <c r="AL160" s="1"/>
  <c r="AL161" s="1"/>
  <c r="AL162" s="1"/>
  <c r="AL163" s="1"/>
  <c r="AL164" s="1"/>
  <c r="AL165" s="1"/>
  <c r="AL166" s="1"/>
  <c r="AL167" s="1"/>
  <c r="AL168" s="1"/>
  <c r="AL169" s="1"/>
  <c r="AE172"/>
  <c r="AE173" s="1"/>
  <c r="AE174" s="1"/>
  <c r="AE175" s="1"/>
  <c r="AE176" s="1"/>
  <c r="AE177" s="1"/>
  <c r="AE178" s="1"/>
  <c r="AE179" s="1"/>
  <c r="AE180" s="1"/>
  <c r="AE181" s="1"/>
  <c r="AE182" s="1"/>
  <c r="AE183" s="1"/>
  <c r="AE184" s="1"/>
  <c r="AE185" s="1"/>
  <c r="H7" i="14" l="1"/>
  <c r="C11" i="21" s="1"/>
  <c r="D4" i="14"/>
  <c r="H24"/>
  <c r="D5"/>
  <c r="D6"/>
  <c r="AY152" i="9"/>
  <c r="AJ197" s="1"/>
  <c r="AM151"/>
  <c r="AI192" s="1"/>
  <c r="AZ152"/>
  <c r="AJ198" s="1"/>
  <c r="AG151"/>
  <c r="AI191" s="1"/>
  <c r="AN152"/>
  <c r="AJ195" s="1"/>
  <c r="AM152"/>
  <c r="AJ192" s="1"/>
  <c r="AH152"/>
  <c r="AJ194" s="1"/>
  <c r="AY151"/>
  <c r="AI197" s="1"/>
  <c r="BD172"/>
  <c r="BD173" s="1"/>
  <c r="BD174" s="1"/>
  <c r="BD175" s="1"/>
  <c r="BD176" s="1"/>
  <c r="BD177" s="1"/>
  <c r="BD178" s="1"/>
  <c r="BD179" s="1"/>
  <c r="BD180" s="1"/>
  <c r="BD181" s="1"/>
  <c r="BD182" s="1"/>
  <c r="BD183" s="1"/>
  <c r="BD184" s="1"/>
  <c r="BD185" s="1"/>
  <c r="AN151"/>
  <c r="AI195" s="1"/>
  <c r="BI171"/>
  <c r="BC156"/>
  <c r="BC157" s="1"/>
  <c r="BC158" s="1"/>
  <c r="BC159" s="1"/>
  <c r="BC160" s="1"/>
  <c r="BC161" s="1"/>
  <c r="BC162" s="1"/>
  <c r="BC163" s="1"/>
  <c r="BC164" s="1"/>
  <c r="BC165" s="1"/>
  <c r="BC166" s="1"/>
  <c r="BC167" s="1"/>
  <c r="BC168" s="1"/>
  <c r="BC169" s="1"/>
  <c r="AH151"/>
  <c r="AI194" s="1"/>
  <c r="BD156"/>
  <c r="BD157" s="1"/>
  <c r="BD158" s="1"/>
  <c r="BD159" s="1"/>
  <c r="BD160" s="1"/>
  <c r="BD161" s="1"/>
  <c r="BD162" s="1"/>
  <c r="BD163" s="1"/>
  <c r="BD164" s="1"/>
  <c r="BD165" s="1"/>
  <c r="BD166" s="1"/>
  <c r="BD167" s="1"/>
  <c r="BD168" s="1"/>
  <c r="BD169" s="1"/>
  <c r="BC172"/>
  <c r="BC173" s="1"/>
  <c r="BC174" s="1"/>
  <c r="BC175" s="1"/>
  <c r="BC176" s="1"/>
  <c r="BC177" s="1"/>
  <c r="BC178" s="1"/>
  <c r="BC179" s="1"/>
  <c r="BC180" s="1"/>
  <c r="BC181" s="1"/>
  <c r="BC182" s="1"/>
  <c r="BC183" s="1"/>
  <c r="BC184" s="1"/>
  <c r="BC185" s="1"/>
  <c r="AR157"/>
  <c r="AQ173"/>
  <c r="AG152"/>
  <c r="AJ191" s="1"/>
  <c r="AR173"/>
  <c r="AQ157"/>
  <c r="BH171"/>
  <c r="AZ151"/>
  <c r="AI198" s="1"/>
  <c r="H5" i="14" l="1"/>
  <c r="C9" i="21" s="1"/>
  <c r="H6" i="14"/>
  <c r="C10" i="21" s="1"/>
  <c r="H4" i="14"/>
  <c r="C8" i="21" s="1"/>
  <c r="D10" i="14"/>
  <c r="BH172" i="9"/>
  <c r="BH157"/>
  <c r="AQ158"/>
  <c r="BI156"/>
  <c r="BF151"/>
  <c r="AI200" s="1"/>
  <c r="BH156"/>
  <c r="BI172"/>
  <c r="AQ174"/>
  <c r="BH173"/>
  <c r="BE152"/>
  <c r="AJ199" s="1"/>
  <c r="BE151"/>
  <c r="AI199" s="1"/>
  <c r="BF152"/>
  <c r="AJ200" s="1"/>
  <c r="AR174"/>
  <c r="BI173"/>
  <c r="AR158"/>
  <c r="BI157"/>
  <c r="H10" i="14" l="1"/>
  <c r="BH158" i="9"/>
  <c r="AQ159"/>
  <c r="BI174"/>
  <c r="AR175"/>
  <c r="AR159"/>
  <c r="BI158"/>
  <c r="AQ175"/>
  <c r="BH174"/>
  <c r="AQ160" l="1"/>
  <c r="BH159"/>
  <c r="AR160"/>
  <c r="BI159"/>
  <c r="BH175"/>
  <c r="AQ176"/>
  <c r="BI175"/>
  <c r="AR176"/>
  <c r="BH160" l="1"/>
  <c r="AQ161"/>
  <c r="BI176"/>
  <c r="AR177"/>
  <c r="BH176"/>
  <c r="AQ177"/>
  <c r="AR161"/>
  <c r="BI160"/>
  <c r="BH177" l="1"/>
  <c r="AQ178"/>
  <c r="AQ162"/>
  <c r="BH161"/>
  <c r="BI161"/>
  <c r="AR162"/>
  <c r="BI177"/>
  <c r="AR178"/>
  <c r="AR163" l="1"/>
  <c r="BI162"/>
  <c r="BH162"/>
  <c r="AQ163"/>
  <c r="AR179"/>
  <c r="BI178"/>
  <c r="BH178"/>
  <c r="AQ179"/>
  <c r="AR180" l="1"/>
  <c r="BI179"/>
  <c r="AR164"/>
  <c r="BI163"/>
  <c r="BH179"/>
  <c r="AQ180"/>
  <c r="BH163"/>
  <c r="AQ164"/>
  <c r="BI164" l="1"/>
  <c r="AR165"/>
  <c r="BH180"/>
  <c r="AQ181"/>
  <c r="AR181"/>
  <c r="BI180"/>
  <c r="BH164"/>
  <c r="AQ165"/>
  <c r="AR166" l="1"/>
  <c r="BI165"/>
  <c r="BI181"/>
  <c r="AR182"/>
  <c r="AQ166"/>
  <c r="BH165"/>
  <c r="BH181"/>
  <c r="AQ182"/>
  <c r="AQ183" l="1"/>
  <c r="BH182"/>
  <c r="BI182"/>
  <c r="AR183"/>
  <c r="BH166"/>
  <c r="AQ167"/>
  <c r="AR167"/>
  <c r="BI166"/>
  <c r="BH167" l="1"/>
  <c r="AQ168"/>
  <c r="AR184"/>
  <c r="BI183"/>
  <c r="BI167"/>
  <c r="AR168"/>
  <c r="BH183"/>
  <c r="AQ184"/>
  <c r="BH168" l="1"/>
  <c r="AQ169"/>
  <c r="AQ185"/>
  <c r="BH184"/>
  <c r="AR185"/>
  <c r="BI184"/>
  <c r="BI168"/>
  <c r="AR169"/>
  <c r="BI185" l="1"/>
  <c r="AT152"/>
  <c r="AJ196" s="1"/>
  <c r="BI169"/>
  <c r="AT151"/>
  <c r="AI196" s="1"/>
  <c r="BH169"/>
  <c r="AS151"/>
  <c r="AI193" s="1"/>
  <c r="BH185"/>
  <c r="AS152"/>
  <c r="AJ193" s="1"/>
  <c r="AY4" i="19" l="1"/>
  <c r="AH4"/>
  <c r="AW4"/>
  <c r="F4"/>
  <c r="AP4"/>
  <c r="BB4"/>
  <c r="AN4"/>
  <c r="AI4"/>
  <c r="AV4"/>
  <c r="AG4"/>
  <c r="AT4"/>
  <c r="AM4"/>
  <c r="AJ4"/>
  <c r="AX4"/>
  <c r="BC4"/>
  <c r="AK4"/>
  <c r="AS4"/>
  <c r="AQ4"/>
  <c r="BD4"/>
  <c r="AF4"/>
  <c r="AL4"/>
  <c r="AU4"/>
  <c r="AO4"/>
  <c r="BA4"/>
  <c r="AZ4"/>
  <c r="AI3"/>
  <c r="AL3"/>
  <c r="AY3"/>
  <c r="AU3"/>
  <c r="F3"/>
  <c r="AF3"/>
  <c r="BC3"/>
  <c r="AV3"/>
  <c r="BD3"/>
  <c r="AS3"/>
  <c r="AN3"/>
  <c r="AP3"/>
  <c r="AM3"/>
  <c r="AQ3"/>
  <c r="AH3"/>
  <c r="AZ3"/>
  <c r="AW3"/>
  <c r="AG3"/>
  <c r="AO3"/>
  <c r="AX3"/>
  <c r="AK3"/>
  <c r="AT3"/>
  <c r="AJ3"/>
  <c r="BA3"/>
  <c r="BB3"/>
  <c r="AN5"/>
  <c r="BC5"/>
  <c r="AS5"/>
  <c r="AI5"/>
  <c r="AY5"/>
  <c r="AT5"/>
  <c r="AU5"/>
  <c r="AV5"/>
  <c r="AP5"/>
  <c r="AG5"/>
  <c r="AX5"/>
  <c r="AH5"/>
  <c r="BD5"/>
  <c r="AO5"/>
  <c r="BA5"/>
  <c r="BB5"/>
  <c r="AZ5"/>
  <c r="AJ5"/>
  <c r="AL5"/>
  <c r="F5"/>
  <c r="AM5"/>
  <c r="AF5"/>
  <c r="AW5"/>
  <c r="AQ5"/>
  <c r="AK5"/>
  <c r="AV6"/>
  <c r="AN6"/>
  <c r="AZ6"/>
  <c r="AI6"/>
  <c r="BB6"/>
  <c r="AH6"/>
  <c r="AO6"/>
  <c r="BA6"/>
  <c r="AQ6"/>
  <c r="AK6"/>
  <c r="AW6"/>
  <c r="AL6"/>
  <c r="AX6"/>
  <c r="AU6"/>
  <c r="BD6"/>
  <c r="AJ6"/>
  <c r="AP6"/>
  <c r="AY6"/>
  <c r="BC6"/>
  <c r="AS6"/>
  <c r="AG6"/>
  <c r="AF6"/>
  <c r="F6"/>
  <c r="AM6"/>
  <c r="AT6"/>
  <c r="BA7"/>
  <c r="AK7"/>
  <c r="AI7"/>
  <c r="AU7"/>
  <c r="BC7"/>
  <c r="BD7"/>
  <c r="AS7"/>
  <c r="AF7"/>
  <c r="AZ7"/>
  <c r="AP7"/>
  <c r="AX7"/>
  <c r="AN7"/>
  <c r="F7"/>
  <c r="BB7"/>
  <c r="AT7"/>
  <c r="AO7"/>
  <c r="AM7"/>
  <c r="AH7"/>
  <c r="AW7"/>
  <c r="AJ7"/>
  <c r="AQ7"/>
  <c r="AG7"/>
  <c r="AL7"/>
  <c r="AY7"/>
  <c r="AV7"/>
  <c r="E13" i="18" l="1"/>
  <c r="E14" s="1"/>
  <c r="E20" s="1"/>
  <c r="F13"/>
  <c r="F14" s="1"/>
  <c r="F20" s="1"/>
  <c r="G13"/>
  <c r="G14" s="1"/>
  <c r="G20" s="1"/>
  <c r="H13"/>
  <c r="H14" s="1"/>
  <c r="H20" s="1"/>
  <c r="I13"/>
  <c r="I14" s="1"/>
  <c r="I20" s="1"/>
  <c r="J13"/>
  <c r="J14" s="1"/>
  <c r="J20" s="1"/>
  <c r="K13"/>
  <c r="K14" s="1"/>
  <c r="K20" s="1"/>
  <c r="L13"/>
  <c r="L14" s="1"/>
  <c r="L20" s="1"/>
  <c r="M13"/>
  <c r="M14" s="1"/>
  <c r="M20" s="1"/>
  <c r="N13"/>
  <c r="N14" s="1"/>
  <c r="N20" s="1"/>
  <c r="O13"/>
  <c r="O14" s="1"/>
  <c r="O20" s="1"/>
  <c r="P13"/>
  <c r="P14" s="1"/>
  <c r="P20" s="1"/>
  <c r="Q13"/>
  <c r="Q14" s="1"/>
  <c r="Q20" s="1"/>
  <c r="R13"/>
  <c r="R14" s="1"/>
  <c r="R20" s="1"/>
  <c r="S13"/>
  <c r="S14" s="1"/>
  <c r="S20" s="1"/>
  <c r="T13"/>
  <c r="T14" s="1"/>
  <c r="T20" s="1"/>
  <c r="U13"/>
  <c r="U14" s="1"/>
  <c r="U20" s="1"/>
  <c r="V13"/>
  <c r="V14" s="1"/>
  <c r="V20" s="1"/>
  <c r="W13"/>
  <c r="W14" s="1"/>
  <c r="W20" s="1"/>
  <c r="X13"/>
  <c r="X14" s="1"/>
  <c r="X20" s="1"/>
  <c r="Q30" l="1"/>
  <c r="W7" i="19" s="1"/>
  <c r="Q29" i="18"/>
  <c r="W6" i="19" s="1"/>
  <c r="Q28" i="18"/>
  <c r="W5" i="19" s="1"/>
  <c r="Q26" i="18"/>
  <c r="Q27"/>
  <c r="W4" i="19" s="1"/>
  <c r="I26" i="18"/>
  <c r="I27"/>
  <c r="O4" i="19" s="1"/>
  <c r="I29" i="18"/>
  <c r="O6" i="19" s="1"/>
  <c r="I28" i="18"/>
  <c r="O5" i="19" s="1"/>
  <c r="I30" i="18"/>
  <c r="O7" i="19" s="1"/>
  <c r="V26" i="18"/>
  <c r="V27"/>
  <c r="AB4" i="19" s="1"/>
  <c r="V29" i="18"/>
  <c r="AB6" i="19" s="1"/>
  <c r="V30" i="18"/>
  <c r="AB7" i="19" s="1"/>
  <c r="V28" i="18"/>
  <c r="AB5" i="19" s="1"/>
  <c r="N26" i="18"/>
  <c r="N27"/>
  <c r="T4" i="19" s="1"/>
  <c r="N29" i="18"/>
  <c r="T6" i="19" s="1"/>
  <c r="N30" i="18"/>
  <c r="T7" i="19" s="1"/>
  <c r="N28" i="18"/>
  <c r="T5" i="19" s="1"/>
  <c r="F27" i="18"/>
  <c r="L4" i="19" s="1"/>
  <c r="F29" i="18"/>
  <c r="L6" i="19" s="1"/>
  <c r="F30" i="18"/>
  <c r="L7" i="19" s="1"/>
  <c r="F26" i="18"/>
  <c r="F28"/>
  <c r="L5" i="19" s="1"/>
  <c r="W28" i="18"/>
  <c r="AC5" i="19" s="1"/>
  <c r="W26" i="18"/>
  <c r="W27"/>
  <c r="AC4" i="19" s="1"/>
  <c r="W30" i="18"/>
  <c r="AC7" i="19" s="1"/>
  <c r="W29" i="18"/>
  <c r="AC6" i="19" s="1"/>
  <c r="S29" i="18"/>
  <c r="Y6" i="19" s="1"/>
  <c r="S30" i="18"/>
  <c r="Y7" i="19" s="1"/>
  <c r="S27" i="18"/>
  <c r="Y4" i="19" s="1"/>
  <c r="S28" i="18"/>
  <c r="Y5" i="19" s="1"/>
  <c r="S26" i="18"/>
  <c r="O28"/>
  <c r="U5" i="19" s="1"/>
  <c r="O26" i="18"/>
  <c r="O27"/>
  <c r="U4" i="19" s="1"/>
  <c r="O30" i="18"/>
  <c r="U7" i="19" s="1"/>
  <c r="O29" i="18"/>
  <c r="U6" i="19" s="1"/>
  <c r="K30" i="18"/>
  <c r="Q7" i="19" s="1"/>
  <c r="K29" i="18"/>
  <c r="Q6" i="19" s="1"/>
  <c r="K26" i="18"/>
  <c r="K27"/>
  <c r="Q4" i="19" s="1"/>
  <c r="K28" i="18"/>
  <c r="Q5" i="19" s="1"/>
  <c r="G27" i="18"/>
  <c r="M4" i="19" s="1"/>
  <c r="G30" i="18"/>
  <c r="M7" i="19" s="1"/>
  <c r="G29" i="18"/>
  <c r="M6" i="19" s="1"/>
  <c r="G26" i="18"/>
  <c r="G28"/>
  <c r="M5" i="19" s="1"/>
  <c r="U27" i="18"/>
  <c r="AA4" i="19" s="1"/>
  <c r="U30" i="18"/>
  <c r="AA7" i="19" s="1"/>
  <c r="U29" i="18"/>
  <c r="AA6" i="19" s="1"/>
  <c r="U26" i="18"/>
  <c r="U28"/>
  <c r="AA5" i="19" s="1"/>
  <c r="M28" i="18"/>
  <c r="S5" i="19" s="1"/>
  <c r="M26" i="18"/>
  <c r="M30"/>
  <c r="S7" i="19" s="1"/>
  <c r="M27" i="18"/>
  <c r="S4" i="19" s="1"/>
  <c r="M29" i="18"/>
  <c r="S6" i="19" s="1"/>
  <c r="E29" i="18"/>
  <c r="E27"/>
  <c r="E30"/>
  <c r="E28"/>
  <c r="E26"/>
  <c r="R28"/>
  <c r="X5" i="19" s="1"/>
  <c r="R30" i="18"/>
  <c r="X7" i="19" s="1"/>
  <c r="R29" i="18"/>
  <c r="X6" i="19" s="1"/>
  <c r="R27" i="18"/>
  <c r="X4" i="19" s="1"/>
  <c r="R26" i="18"/>
  <c r="J26"/>
  <c r="J30"/>
  <c r="P7" i="19" s="1"/>
  <c r="J28" i="18"/>
  <c r="P5" i="19" s="1"/>
  <c r="J29" i="18"/>
  <c r="P6" i="19" s="1"/>
  <c r="J27" i="18"/>
  <c r="P4" i="19" s="1"/>
  <c r="X29" i="18"/>
  <c r="AD6" i="19" s="1"/>
  <c r="X27" i="18"/>
  <c r="AD4" i="19" s="1"/>
  <c r="X26" i="18"/>
  <c r="X28"/>
  <c r="AD5" i="19" s="1"/>
  <c r="X30" i="18"/>
  <c r="AD7" i="19" s="1"/>
  <c r="T28" i="18"/>
  <c r="Z5" i="19" s="1"/>
  <c r="T27" i="18"/>
  <c r="Z4" i="19" s="1"/>
  <c r="T30" i="18"/>
  <c r="Z7" i="19" s="1"/>
  <c r="T26" i="18"/>
  <c r="T29"/>
  <c r="Z6" i="19" s="1"/>
  <c r="P30" i="18"/>
  <c r="V7" i="19" s="1"/>
  <c r="P28" i="18"/>
  <c r="V5" i="19" s="1"/>
  <c r="P29" i="18"/>
  <c r="V6" i="19" s="1"/>
  <c r="P26" i="18"/>
  <c r="P27"/>
  <c r="V4" i="19" s="1"/>
  <c r="L30" i="18"/>
  <c r="R7" i="19" s="1"/>
  <c r="L29" i="18"/>
  <c r="R6" i="19" s="1"/>
  <c r="L26" i="18"/>
  <c r="L28"/>
  <c r="R5" i="19" s="1"/>
  <c r="L27" i="18"/>
  <c r="R4" i="19" s="1"/>
  <c r="H26" i="18"/>
  <c r="H29"/>
  <c r="N6" i="19" s="1"/>
  <c r="H28" i="18"/>
  <c r="N5" i="19" s="1"/>
  <c r="H30" i="18"/>
  <c r="N7" i="19" s="1"/>
  <c r="H27" i="18"/>
  <c r="N4" i="19" s="1"/>
  <c r="L32" i="18" l="1"/>
  <c r="L43"/>
  <c r="L64"/>
  <c r="L67"/>
  <c r="L65"/>
  <c r="L45"/>
  <c r="L55"/>
  <c r="L62"/>
  <c r="L53"/>
  <c r="L39"/>
  <c r="L38"/>
  <c r="L75" s="1"/>
  <c r="L46"/>
  <c r="L59"/>
  <c r="L66"/>
  <c r="L44"/>
  <c r="L40"/>
  <c r="L68"/>
  <c r="L105" s="1"/>
  <c r="L51"/>
  <c r="L69"/>
  <c r="L50"/>
  <c r="L47"/>
  <c r="L84" s="1"/>
  <c r="L48"/>
  <c r="L52"/>
  <c r="L54"/>
  <c r="L58"/>
  <c r="L42"/>
  <c r="L63"/>
  <c r="L100" s="1"/>
  <c r="L61"/>
  <c r="L49"/>
  <c r="L60"/>
  <c r="L56"/>
  <c r="L93" s="1"/>
  <c r="L41"/>
  <c r="L78" s="1"/>
  <c r="L57"/>
  <c r="R3" i="19"/>
  <c r="P32" i="18"/>
  <c r="P38"/>
  <c r="P75" s="1"/>
  <c r="P50"/>
  <c r="P47"/>
  <c r="P46"/>
  <c r="P54"/>
  <c r="P57"/>
  <c r="P61"/>
  <c r="P59"/>
  <c r="P64"/>
  <c r="P44"/>
  <c r="P42"/>
  <c r="P55"/>
  <c r="P48"/>
  <c r="P60"/>
  <c r="P68"/>
  <c r="P63"/>
  <c r="P51"/>
  <c r="P66"/>
  <c r="P43"/>
  <c r="P80" s="1"/>
  <c r="P49"/>
  <c r="P53"/>
  <c r="P39"/>
  <c r="P76" s="1"/>
  <c r="P45"/>
  <c r="P67"/>
  <c r="P62"/>
  <c r="P69"/>
  <c r="P58"/>
  <c r="P40"/>
  <c r="P65"/>
  <c r="P102" s="1"/>
  <c r="P56"/>
  <c r="P41"/>
  <c r="P52"/>
  <c r="V3" i="19"/>
  <c r="G63" i="18"/>
  <c r="G42"/>
  <c r="G56"/>
  <c r="G62"/>
  <c r="G60"/>
  <c r="G57"/>
  <c r="G40"/>
  <c r="G66"/>
  <c r="G38"/>
  <c r="G75" s="1"/>
  <c r="G44"/>
  <c r="G61"/>
  <c r="G53"/>
  <c r="G32"/>
  <c r="G41"/>
  <c r="G68"/>
  <c r="G67"/>
  <c r="G104" s="1"/>
  <c r="G48"/>
  <c r="G43"/>
  <c r="G80" s="1"/>
  <c r="G52"/>
  <c r="G54"/>
  <c r="G91" s="1"/>
  <c r="G45"/>
  <c r="G50"/>
  <c r="G51"/>
  <c r="G47"/>
  <c r="G58"/>
  <c r="G65"/>
  <c r="G69"/>
  <c r="G64"/>
  <c r="G46"/>
  <c r="G83" s="1"/>
  <c r="G39"/>
  <c r="G55"/>
  <c r="G59"/>
  <c r="G49"/>
  <c r="G86" s="1"/>
  <c r="M3" i="19"/>
  <c r="O40" i="18"/>
  <c r="O38"/>
  <c r="O75" s="1"/>
  <c r="O69"/>
  <c r="O44"/>
  <c r="O59"/>
  <c r="O53"/>
  <c r="O50"/>
  <c r="O60"/>
  <c r="O49"/>
  <c r="O39"/>
  <c r="O76" s="1"/>
  <c r="O63"/>
  <c r="O32"/>
  <c r="O64"/>
  <c r="O68"/>
  <c r="O61"/>
  <c r="O46"/>
  <c r="O43"/>
  <c r="O41"/>
  <c r="O51"/>
  <c r="O88" s="1"/>
  <c r="O67"/>
  <c r="O45"/>
  <c r="O42"/>
  <c r="O79" s="1"/>
  <c r="O57"/>
  <c r="O48"/>
  <c r="O52"/>
  <c r="O65"/>
  <c r="O62"/>
  <c r="O99" s="1"/>
  <c r="O55"/>
  <c r="O66"/>
  <c r="O58"/>
  <c r="O54"/>
  <c r="O91" s="1"/>
  <c r="O47"/>
  <c r="O84" s="1"/>
  <c r="O56"/>
  <c r="U3" i="19"/>
  <c r="X47" i="18"/>
  <c r="X54"/>
  <c r="X43"/>
  <c r="X66"/>
  <c r="X64"/>
  <c r="X44"/>
  <c r="X63"/>
  <c r="X50"/>
  <c r="X38"/>
  <c r="X75" s="1"/>
  <c r="X68"/>
  <c r="X52"/>
  <c r="X67"/>
  <c r="X104" s="1"/>
  <c r="X48"/>
  <c r="X85" s="1"/>
  <c r="X42"/>
  <c r="X58"/>
  <c r="X61"/>
  <c r="X51"/>
  <c r="X88" s="1"/>
  <c r="X49"/>
  <c r="X62"/>
  <c r="X57"/>
  <c r="X59"/>
  <c r="X40"/>
  <c r="X60"/>
  <c r="X55"/>
  <c r="X41"/>
  <c r="X45"/>
  <c r="X82" s="1"/>
  <c r="X69"/>
  <c r="X39"/>
  <c r="X32"/>
  <c r="X65"/>
  <c r="X56"/>
  <c r="X53"/>
  <c r="X46"/>
  <c r="AD3" i="19"/>
  <c r="Y27" i="18"/>
  <c r="AE4" i="19" s="1"/>
  <c r="K4"/>
  <c r="I62" i="18"/>
  <c r="I66"/>
  <c r="I51"/>
  <c r="I63"/>
  <c r="I54"/>
  <c r="I52"/>
  <c r="I41"/>
  <c r="I44"/>
  <c r="I39"/>
  <c r="I64"/>
  <c r="I53"/>
  <c r="I65"/>
  <c r="I69"/>
  <c r="I32"/>
  <c r="I38"/>
  <c r="I75" s="1"/>
  <c r="I67"/>
  <c r="I45"/>
  <c r="I60"/>
  <c r="I59"/>
  <c r="I49"/>
  <c r="I46"/>
  <c r="I83" s="1"/>
  <c r="I50"/>
  <c r="I61"/>
  <c r="I55"/>
  <c r="I58"/>
  <c r="I42"/>
  <c r="I48"/>
  <c r="I68"/>
  <c r="I105" s="1"/>
  <c r="I43"/>
  <c r="I47"/>
  <c r="I40"/>
  <c r="I57"/>
  <c r="I56"/>
  <c r="O3" i="19"/>
  <c r="J44" i="18"/>
  <c r="J46"/>
  <c r="J58"/>
  <c r="J57"/>
  <c r="J60"/>
  <c r="J47"/>
  <c r="J84" s="1"/>
  <c r="J63"/>
  <c r="J62"/>
  <c r="J64"/>
  <c r="J49"/>
  <c r="J48"/>
  <c r="J56"/>
  <c r="J65"/>
  <c r="J43"/>
  <c r="J42"/>
  <c r="J50"/>
  <c r="J55"/>
  <c r="J54"/>
  <c r="J52"/>
  <c r="J32"/>
  <c r="J41"/>
  <c r="J66"/>
  <c r="J40"/>
  <c r="J51"/>
  <c r="J53"/>
  <c r="J68"/>
  <c r="J45"/>
  <c r="J39"/>
  <c r="J67"/>
  <c r="J61"/>
  <c r="J38"/>
  <c r="J75" s="1"/>
  <c r="J69"/>
  <c r="J59"/>
  <c r="P3" i="19"/>
  <c r="Y30" i="18"/>
  <c r="AE7" i="19" s="1"/>
  <c r="K7"/>
  <c r="K68" i="18"/>
  <c r="K44"/>
  <c r="K69"/>
  <c r="K53"/>
  <c r="K56"/>
  <c r="K52"/>
  <c r="K66"/>
  <c r="K67"/>
  <c r="K65"/>
  <c r="K57"/>
  <c r="K54"/>
  <c r="K50"/>
  <c r="K46"/>
  <c r="K48"/>
  <c r="K49"/>
  <c r="K61"/>
  <c r="K47"/>
  <c r="K41"/>
  <c r="K42"/>
  <c r="K64"/>
  <c r="K32"/>
  <c r="K63"/>
  <c r="K45"/>
  <c r="K60"/>
  <c r="K40"/>
  <c r="K55"/>
  <c r="K39"/>
  <c r="K38"/>
  <c r="K75" s="1"/>
  <c r="K62"/>
  <c r="K43"/>
  <c r="K59"/>
  <c r="K51"/>
  <c r="K88" s="1"/>
  <c r="K58"/>
  <c r="Q3" i="19"/>
  <c r="S65" i="18"/>
  <c r="S54"/>
  <c r="S56"/>
  <c r="S53"/>
  <c r="S46"/>
  <c r="S57"/>
  <c r="S58"/>
  <c r="S69"/>
  <c r="S40"/>
  <c r="S68"/>
  <c r="S67"/>
  <c r="S66"/>
  <c r="S44"/>
  <c r="S62"/>
  <c r="S60"/>
  <c r="S47"/>
  <c r="S50"/>
  <c r="S52"/>
  <c r="S32"/>
  <c r="S43"/>
  <c r="S38"/>
  <c r="S75" s="1"/>
  <c r="S39"/>
  <c r="S61"/>
  <c r="S98" s="1"/>
  <c r="S64"/>
  <c r="S51"/>
  <c r="S88" s="1"/>
  <c r="S41"/>
  <c r="S48"/>
  <c r="S45"/>
  <c r="S49"/>
  <c r="S59"/>
  <c r="S55"/>
  <c r="S42"/>
  <c r="S63"/>
  <c r="Y3" i="19"/>
  <c r="W66" i="18"/>
  <c r="W65"/>
  <c r="W43"/>
  <c r="W56"/>
  <c r="W68"/>
  <c r="W54"/>
  <c r="W63"/>
  <c r="W67"/>
  <c r="W45"/>
  <c r="W52"/>
  <c r="W53"/>
  <c r="W58"/>
  <c r="W32"/>
  <c r="W38"/>
  <c r="W75" s="1"/>
  <c r="W39"/>
  <c r="W49"/>
  <c r="W69"/>
  <c r="W60"/>
  <c r="W48"/>
  <c r="W55"/>
  <c r="W47"/>
  <c r="W41"/>
  <c r="W44"/>
  <c r="W81" s="1"/>
  <c r="W61"/>
  <c r="W64"/>
  <c r="W62"/>
  <c r="W59"/>
  <c r="W50"/>
  <c r="W87" s="1"/>
  <c r="W42"/>
  <c r="W46"/>
  <c r="W51"/>
  <c r="W40"/>
  <c r="W57"/>
  <c r="AC3" i="19"/>
  <c r="V63" i="18"/>
  <c r="V60"/>
  <c r="V58"/>
  <c r="V49"/>
  <c r="V68"/>
  <c r="V54"/>
  <c r="V59"/>
  <c r="V43"/>
  <c r="V38"/>
  <c r="V75" s="1"/>
  <c r="V61"/>
  <c r="V98" s="1"/>
  <c r="V44"/>
  <c r="V67"/>
  <c r="V32"/>
  <c r="V62"/>
  <c r="V99" s="1"/>
  <c r="V39"/>
  <c r="V65"/>
  <c r="V47"/>
  <c r="V64"/>
  <c r="V45"/>
  <c r="V82" s="1"/>
  <c r="V57"/>
  <c r="V51"/>
  <c r="V69"/>
  <c r="V46"/>
  <c r="V55"/>
  <c r="V42"/>
  <c r="V53"/>
  <c r="V66"/>
  <c r="V41"/>
  <c r="V52"/>
  <c r="V89" s="1"/>
  <c r="V50"/>
  <c r="V56"/>
  <c r="V40"/>
  <c r="V48"/>
  <c r="V85" s="1"/>
  <c r="AB3" i="19"/>
  <c r="E43" i="18"/>
  <c r="E56"/>
  <c r="E59"/>
  <c r="E63"/>
  <c r="E45"/>
  <c r="E40"/>
  <c r="E46"/>
  <c r="E50"/>
  <c r="E44"/>
  <c r="E81" s="1"/>
  <c r="E52"/>
  <c r="E67"/>
  <c r="E69"/>
  <c r="Y26"/>
  <c r="E38"/>
  <c r="E75" s="1"/>
  <c r="E41"/>
  <c r="E65"/>
  <c r="E64"/>
  <c r="E47"/>
  <c r="E51"/>
  <c r="E66"/>
  <c r="E103" s="1"/>
  <c r="E55"/>
  <c r="E57"/>
  <c r="E94" s="1"/>
  <c r="E49"/>
  <c r="E62"/>
  <c r="E39"/>
  <c r="E32"/>
  <c r="E68"/>
  <c r="E105" s="1"/>
  <c r="E61"/>
  <c r="E48"/>
  <c r="E58"/>
  <c r="E95" s="1"/>
  <c r="E53"/>
  <c r="E42"/>
  <c r="E60"/>
  <c r="E54"/>
  <c r="K3" i="19"/>
  <c r="Y29" i="18"/>
  <c r="AE6" i="19" s="1"/>
  <c r="K6"/>
  <c r="M43" i="18"/>
  <c r="M42"/>
  <c r="M44"/>
  <c r="M51"/>
  <c r="M39"/>
  <c r="M68"/>
  <c r="M65"/>
  <c r="M47"/>
  <c r="M58"/>
  <c r="M62"/>
  <c r="M56"/>
  <c r="M38"/>
  <c r="M75" s="1"/>
  <c r="M66"/>
  <c r="M53"/>
  <c r="M45"/>
  <c r="M82" s="1"/>
  <c r="M69"/>
  <c r="M55"/>
  <c r="M49"/>
  <c r="M57"/>
  <c r="M94" s="1"/>
  <c r="M32"/>
  <c r="M64"/>
  <c r="M46"/>
  <c r="M59"/>
  <c r="M50"/>
  <c r="M54"/>
  <c r="M40"/>
  <c r="M52"/>
  <c r="M63"/>
  <c r="M41"/>
  <c r="M48"/>
  <c r="M61"/>
  <c r="M60"/>
  <c r="M67"/>
  <c r="M104" s="1"/>
  <c r="S3" i="19"/>
  <c r="R40" i="18"/>
  <c r="R62"/>
  <c r="R59"/>
  <c r="R68"/>
  <c r="R43"/>
  <c r="R47"/>
  <c r="R42"/>
  <c r="R67"/>
  <c r="R56"/>
  <c r="R52"/>
  <c r="R60"/>
  <c r="R65"/>
  <c r="R32"/>
  <c r="R63"/>
  <c r="R100" s="1"/>
  <c r="R38"/>
  <c r="R75" s="1"/>
  <c r="R50"/>
  <c r="R48"/>
  <c r="R58"/>
  <c r="R41"/>
  <c r="R64"/>
  <c r="R45"/>
  <c r="R61"/>
  <c r="R53"/>
  <c r="R49"/>
  <c r="R54"/>
  <c r="R69"/>
  <c r="R51"/>
  <c r="R46"/>
  <c r="R39"/>
  <c r="R44"/>
  <c r="R57"/>
  <c r="R66"/>
  <c r="R103" s="1"/>
  <c r="R55"/>
  <c r="R92" s="1"/>
  <c r="X3" i="19"/>
  <c r="U60" i="18"/>
  <c r="U49"/>
  <c r="U38"/>
  <c r="U75" s="1"/>
  <c r="U40"/>
  <c r="U43"/>
  <c r="U48"/>
  <c r="U59"/>
  <c r="U57"/>
  <c r="U61"/>
  <c r="U98" s="1"/>
  <c r="U69"/>
  <c r="U45"/>
  <c r="U32"/>
  <c r="U44"/>
  <c r="U81" s="1"/>
  <c r="U42"/>
  <c r="U41"/>
  <c r="U65"/>
  <c r="U51"/>
  <c r="U68"/>
  <c r="U54"/>
  <c r="U53"/>
  <c r="U67"/>
  <c r="U50"/>
  <c r="U87" s="1"/>
  <c r="U39"/>
  <c r="U76" s="1"/>
  <c r="U62"/>
  <c r="U46"/>
  <c r="U64"/>
  <c r="U63"/>
  <c r="U47"/>
  <c r="U58"/>
  <c r="U66"/>
  <c r="U56"/>
  <c r="U55"/>
  <c r="U52"/>
  <c r="U89" s="1"/>
  <c r="AA3" i="19"/>
  <c r="H41" i="18"/>
  <c r="H47"/>
  <c r="H51"/>
  <c r="H44"/>
  <c r="H57"/>
  <c r="H61"/>
  <c r="H55"/>
  <c r="H56"/>
  <c r="H62"/>
  <c r="H46"/>
  <c r="H65"/>
  <c r="H39"/>
  <c r="H59"/>
  <c r="H64"/>
  <c r="H43"/>
  <c r="H42"/>
  <c r="H60"/>
  <c r="H97" s="1"/>
  <c r="H40"/>
  <c r="H66"/>
  <c r="H50"/>
  <c r="H67"/>
  <c r="H32"/>
  <c r="H69"/>
  <c r="H68"/>
  <c r="H54"/>
  <c r="H52"/>
  <c r="H58"/>
  <c r="H45"/>
  <c r="H82" s="1"/>
  <c r="H48"/>
  <c r="H63"/>
  <c r="H49"/>
  <c r="H38"/>
  <c r="H75" s="1"/>
  <c r="H53"/>
  <c r="N3" i="19"/>
  <c r="T38" i="18"/>
  <c r="T75" s="1"/>
  <c r="T58"/>
  <c r="T53"/>
  <c r="T57"/>
  <c r="T52"/>
  <c r="T56"/>
  <c r="T54"/>
  <c r="T91" s="1"/>
  <c r="T49"/>
  <c r="T32"/>
  <c r="T66"/>
  <c r="T43"/>
  <c r="T61"/>
  <c r="T64"/>
  <c r="T62"/>
  <c r="T41"/>
  <c r="T59"/>
  <c r="T69"/>
  <c r="T68"/>
  <c r="T46"/>
  <c r="T44"/>
  <c r="T47"/>
  <c r="T42"/>
  <c r="T48"/>
  <c r="T63"/>
  <c r="T39"/>
  <c r="T76" s="1"/>
  <c r="T40"/>
  <c r="T55"/>
  <c r="T92" s="1"/>
  <c r="T51"/>
  <c r="T60"/>
  <c r="T65"/>
  <c r="T45"/>
  <c r="T67"/>
  <c r="T50"/>
  <c r="Z3" i="19"/>
  <c r="Y28" i="18"/>
  <c r="AE5" i="19" s="1"/>
  <c r="K5"/>
  <c r="F32" i="18"/>
  <c r="F41"/>
  <c r="F49"/>
  <c r="F58"/>
  <c r="F67"/>
  <c r="F52"/>
  <c r="F39"/>
  <c r="F51"/>
  <c r="F66"/>
  <c r="F40"/>
  <c r="F63"/>
  <c r="F47"/>
  <c r="F48"/>
  <c r="F55"/>
  <c r="F61"/>
  <c r="F65"/>
  <c r="F59"/>
  <c r="F45"/>
  <c r="F68"/>
  <c r="F54"/>
  <c r="F46"/>
  <c r="F60"/>
  <c r="F44"/>
  <c r="F53"/>
  <c r="F57"/>
  <c r="F56"/>
  <c r="F93" s="1"/>
  <c r="F43"/>
  <c r="F38"/>
  <c r="F75" s="1"/>
  <c r="F50"/>
  <c r="F62"/>
  <c r="F69"/>
  <c r="F42"/>
  <c r="F64"/>
  <c r="L3" i="19"/>
  <c r="N32" i="18"/>
  <c r="N44"/>
  <c r="N68"/>
  <c r="N39"/>
  <c r="N54"/>
  <c r="N65"/>
  <c r="N59"/>
  <c r="N52"/>
  <c r="N64"/>
  <c r="N40"/>
  <c r="N43"/>
  <c r="N46"/>
  <c r="N57"/>
  <c r="N51"/>
  <c r="N63"/>
  <c r="N61"/>
  <c r="N62"/>
  <c r="N55"/>
  <c r="N47"/>
  <c r="N50"/>
  <c r="N49"/>
  <c r="N53"/>
  <c r="N67"/>
  <c r="N56"/>
  <c r="N69"/>
  <c r="N58"/>
  <c r="N41"/>
  <c r="N66"/>
  <c r="N60"/>
  <c r="N45"/>
  <c r="N82" s="1"/>
  <c r="N48"/>
  <c r="N85" s="1"/>
  <c r="N38"/>
  <c r="N75" s="1"/>
  <c r="N42"/>
  <c r="T3" i="19"/>
  <c r="Q46" i="18"/>
  <c r="Q64"/>
  <c r="Q43"/>
  <c r="Q69"/>
  <c r="Q68"/>
  <c r="Q66"/>
  <c r="Q54"/>
  <c r="Q50"/>
  <c r="Q67"/>
  <c r="Q42"/>
  <c r="Q62"/>
  <c r="Q41"/>
  <c r="Q32"/>
  <c r="Q40"/>
  <c r="Q38"/>
  <c r="Q75" s="1"/>
  <c r="Q60"/>
  <c r="Q61"/>
  <c r="Q59"/>
  <c r="Q65"/>
  <c r="Q51"/>
  <c r="Q88" s="1"/>
  <c r="Q52"/>
  <c r="Q56"/>
  <c r="Q48"/>
  <c r="Q39"/>
  <c r="Q57"/>
  <c r="Q45"/>
  <c r="Q53"/>
  <c r="Q55"/>
  <c r="Q49"/>
  <c r="Q58"/>
  <c r="Q44"/>
  <c r="Q81" s="1"/>
  <c r="Q47"/>
  <c r="Q63"/>
  <c r="W3" i="19"/>
  <c r="L103" i="18" l="1"/>
  <c r="L91"/>
  <c r="Q84"/>
  <c r="T88"/>
  <c r="H89"/>
  <c r="U84"/>
  <c r="U99"/>
  <c r="R98"/>
  <c r="R95"/>
  <c r="E97"/>
  <c r="E85"/>
  <c r="E76"/>
  <c r="E92"/>
  <c r="V93"/>
  <c r="V103"/>
  <c r="V76"/>
  <c r="W101"/>
  <c r="J96"/>
  <c r="J104"/>
  <c r="I77"/>
  <c r="X93"/>
  <c r="X99"/>
  <c r="O103"/>
  <c r="G92"/>
  <c r="P89"/>
  <c r="P86"/>
  <c r="P92"/>
  <c r="I82"/>
  <c r="G100"/>
  <c r="H103"/>
  <c r="Q82"/>
  <c r="Q103"/>
  <c r="N87"/>
  <c r="N98"/>
  <c r="F99"/>
  <c r="F82"/>
  <c r="F77"/>
  <c r="T79"/>
  <c r="K84"/>
  <c r="J102"/>
  <c r="R97"/>
  <c r="P95"/>
  <c r="L97"/>
  <c r="N103"/>
  <c r="N93"/>
  <c r="F97"/>
  <c r="T102"/>
  <c r="T77"/>
  <c r="T99"/>
  <c r="T95"/>
  <c r="H93"/>
  <c r="H81"/>
  <c r="U103"/>
  <c r="U105"/>
  <c r="R101"/>
  <c r="M85"/>
  <c r="M77"/>
  <c r="K82"/>
  <c r="I93"/>
  <c r="M89"/>
  <c r="M96"/>
  <c r="V87"/>
  <c r="V81"/>
  <c r="W79"/>
  <c r="W84"/>
  <c r="W103"/>
  <c r="S85"/>
  <c r="S104"/>
  <c r="K95"/>
  <c r="J92"/>
  <c r="O80"/>
  <c r="G105"/>
  <c r="Q95"/>
  <c r="Q93"/>
  <c r="Q101"/>
  <c r="N83"/>
  <c r="N89"/>
  <c r="F92"/>
  <c r="F89"/>
  <c r="T105"/>
  <c r="H87"/>
  <c r="U85"/>
  <c r="M105"/>
  <c r="M79"/>
  <c r="Q77"/>
  <c r="Q79"/>
  <c r="Q90"/>
  <c r="Q85"/>
  <c r="Q99"/>
  <c r="N79"/>
  <c r="N97"/>
  <c r="N86"/>
  <c r="N101"/>
  <c r="N91"/>
  <c r="F80"/>
  <c r="F105"/>
  <c r="F76"/>
  <c r="F86"/>
  <c r="T82"/>
  <c r="T85"/>
  <c r="T90"/>
  <c r="H90"/>
  <c r="H85"/>
  <c r="H104"/>
  <c r="H96"/>
  <c r="H99"/>
  <c r="H78"/>
  <c r="U93"/>
  <c r="U100"/>
  <c r="U91"/>
  <c r="U78"/>
  <c r="U82"/>
  <c r="U96"/>
  <c r="R76"/>
  <c r="R91"/>
  <c r="R82"/>
  <c r="R85"/>
  <c r="R80"/>
  <c r="M98"/>
  <c r="M93"/>
  <c r="M102"/>
  <c r="M81"/>
  <c r="E79"/>
  <c r="E98"/>
  <c r="E102"/>
  <c r="E87"/>
  <c r="V90"/>
  <c r="V101"/>
  <c r="V97"/>
  <c r="W77"/>
  <c r="W98"/>
  <c r="W92"/>
  <c r="W86"/>
  <c r="W95"/>
  <c r="W104"/>
  <c r="S96"/>
  <c r="S78"/>
  <c r="S76"/>
  <c r="S89"/>
  <c r="S99"/>
  <c r="S105"/>
  <c r="S94"/>
  <c r="S91"/>
  <c r="K97"/>
  <c r="K101"/>
  <c r="K87"/>
  <c r="K104"/>
  <c r="K90"/>
  <c r="J76"/>
  <c r="J87"/>
  <c r="J93"/>
  <c r="J99"/>
  <c r="I84"/>
  <c r="I79"/>
  <c r="I87"/>
  <c r="I97"/>
  <c r="I101"/>
  <c r="I89"/>
  <c r="I103"/>
  <c r="X102"/>
  <c r="X77"/>
  <c r="X86"/>
  <c r="X79"/>
  <c r="X105"/>
  <c r="X81"/>
  <c r="X91"/>
  <c r="O92"/>
  <c r="O104"/>
  <c r="O83"/>
  <c r="O97"/>
  <c r="O81"/>
  <c r="G76"/>
  <c r="G102"/>
  <c r="G87"/>
  <c r="G78"/>
  <c r="G94"/>
  <c r="P78"/>
  <c r="P82"/>
  <c r="P105"/>
  <c r="P98"/>
  <c r="P84"/>
  <c r="L79"/>
  <c r="L85"/>
  <c r="L88"/>
  <c r="L76"/>
  <c r="L82"/>
  <c r="V95"/>
  <c r="W82"/>
  <c r="K77"/>
  <c r="K83"/>
  <c r="K93"/>
  <c r="J90"/>
  <c r="J78"/>
  <c r="J101"/>
  <c r="J81"/>
  <c r="I96"/>
  <c r="X97"/>
  <c r="X95"/>
  <c r="O89"/>
  <c r="O101"/>
  <c r="O96"/>
  <c r="O77"/>
  <c r="P77"/>
  <c r="P104"/>
  <c r="P100"/>
  <c r="T93"/>
  <c r="H105"/>
  <c r="H79"/>
  <c r="U101"/>
  <c r="U79"/>
  <c r="R83"/>
  <c r="R86"/>
  <c r="M83"/>
  <c r="M90"/>
  <c r="M99"/>
  <c r="J88"/>
  <c r="X89"/>
  <c r="G98"/>
  <c r="L92"/>
  <c r="V83"/>
  <c r="V96"/>
  <c r="Q89"/>
  <c r="Q98"/>
  <c r="N78"/>
  <c r="F96"/>
  <c r="T87"/>
  <c r="T97"/>
  <c r="U95"/>
  <c r="E91"/>
  <c r="E84"/>
  <c r="E89"/>
  <c r="V80"/>
  <c r="W97"/>
  <c r="W89"/>
  <c r="W91"/>
  <c r="S82"/>
  <c r="S101"/>
  <c r="S84"/>
  <c r="S103"/>
  <c r="K80"/>
  <c r="K92"/>
  <c r="J80"/>
  <c r="J86"/>
  <c r="I94"/>
  <c r="I92"/>
  <c r="I100"/>
  <c r="X76"/>
  <c r="O95"/>
  <c r="G96"/>
  <c r="G101"/>
  <c r="P88"/>
  <c r="U106"/>
  <c r="U71"/>
  <c r="J106"/>
  <c r="J71"/>
  <c r="N71"/>
  <c r="N106"/>
  <c r="F106"/>
  <c r="F71"/>
  <c r="Y64"/>
  <c r="Y59"/>
  <c r="Y58"/>
  <c r="Y52"/>
  <c r="Y49"/>
  <c r="Y54"/>
  <c r="Y67"/>
  <c r="Y32"/>
  <c r="Y61"/>
  <c r="Y38"/>
  <c r="Y75" s="1"/>
  <c r="Y46"/>
  <c r="Y62"/>
  <c r="Y60"/>
  <c r="Y63"/>
  <c r="Y44"/>
  <c r="Y51"/>
  <c r="Y45"/>
  <c r="Y39"/>
  <c r="Y76" s="1"/>
  <c r="Y40"/>
  <c r="Y69"/>
  <c r="Y53"/>
  <c r="Y57"/>
  <c r="Y66"/>
  <c r="Y47"/>
  <c r="Y50"/>
  <c r="Y87" s="1"/>
  <c r="Y68"/>
  <c r="Y55"/>
  <c r="Y65"/>
  <c r="Y41"/>
  <c r="AE3" i="19"/>
  <c r="Y56" i="18"/>
  <c r="Y93" s="1"/>
  <c r="Y48"/>
  <c r="Y85" s="1"/>
  <c r="Y43"/>
  <c r="Y42"/>
  <c r="W106"/>
  <c r="W71"/>
  <c r="X71"/>
  <c r="X106"/>
  <c r="G106"/>
  <c r="G71"/>
  <c r="L71"/>
  <c r="L106"/>
  <c r="T71"/>
  <c r="T106"/>
  <c r="H71"/>
  <c r="H106"/>
  <c r="K71"/>
  <c r="K106"/>
  <c r="I71"/>
  <c r="I106"/>
  <c r="O106"/>
  <c r="O71"/>
  <c r="P106"/>
  <c r="P71"/>
  <c r="N76"/>
  <c r="T103"/>
  <c r="H76"/>
  <c r="R87"/>
  <c r="R104"/>
  <c r="E99"/>
  <c r="E100"/>
  <c r="K98"/>
  <c r="O85"/>
  <c r="G79"/>
  <c r="Q102"/>
  <c r="Q91"/>
  <c r="N94"/>
  <c r="F81"/>
  <c r="F98"/>
  <c r="T83"/>
  <c r="T80"/>
  <c r="H94"/>
  <c r="R77"/>
  <c r="E101"/>
  <c r="E82"/>
  <c r="W94"/>
  <c r="S97"/>
  <c r="S95"/>
  <c r="K102"/>
  <c r="I85"/>
  <c r="I88"/>
  <c r="X100"/>
  <c r="O93"/>
  <c r="O86"/>
  <c r="G89"/>
  <c r="G77"/>
  <c r="P96"/>
  <c r="Q100"/>
  <c r="Q86"/>
  <c r="Q94"/>
  <c r="Q104"/>
  <c r="Q105"/>
  <c r="Q83"/>
  <c r="N104"/>
  <c r="N84"/>
  <c r="N100"/>
  <c r="N80"/>
  <c r="N96"/>
  <c r="N105"/>
  <c r="F101"/>
  <c r="F87"/>
  <c r="F94"/>
  <c r="F83"/>
  <c r="F85"/>
  <c r="F103"/>
  <c r="F104"/>
  <c r="T84"/>
  <c r="T101"/>
  <c r="T89"/>
  <c r="H86"/>
  <c r="H95"/>
  <c r="H80"/>
  <c r="H102"/>
  <c r="H92"/>
  <c r="H88"/>
  <c r="U83"/>
  <c r="U104"/>
  <c r="U88"/>
  <c r="U80"/>
  <c r="U97"/>
  <c r="R94"/>
  <c r="R88"/>
  <c r="R90"/>
  <c r="R78"/>
  <c r="R79"/>
  <c r="R96"/>
  <c r="M78"/>
  <c r="M91"/>
  <c r="M101"/>
  <c r="M92"/>
  <c r="M103"/>
  <c r="M95"/>
  <c r="M76"/>
  <c r="M80"/>
  <c r="C10"/>
  <c r="E90"/>
  <c r="E86"/>
  <c r="E88"/>
  <c r="E78"/>
  <c r="E104"/>
  <c r="E83"/>
  <c r="E96"/>
  <c r="V79"/>
  <c r="V88"/>
  <c r="V84"/>
  <c r="V105"/>
  <c r="V100"/>
  <c r="W88"/>
  <c r="W96"/>
  <c r="W85"/>
  <c r="W76"/>
  <c r="W90"/>
  <c r="W100"/>
  <c r="W80"/>
  <c r="S100"/>
  <c r="S86"/>
  <c r="S87"/>
  <c r="S81"/>
  <c r="S77"/>
  <c r="S83"/>
  <c r="S102"/>
  <c r="K96"/>
  <c r="K76"/>
  <c r="K79"/>
  <c r="K86"/>
  <c r="K91"/>
  <c r="K103"/>
  <c r="J82"/>
  <c r="J77"/>
  <c r="J89"/>
  <c r="J79"/>
  <c r="J85"/>
  <c r="J100"/>
  <c r="J95"/>
  <c r="I80"/>
  <c r="I95"/>
  <c r="I76"/>
  <c r="I91"/>
  <c r="I99"/>
  <c r="X83"/>
  <c r="X78"/>
  <c r="X96"/>
  <c r="X101"/>
  <c r="X84"/>
  <c r="O94"/>
  <c r="O98"/>
  <c r="O100"/>
  <c r="O87"/>
  <c r="G95"/>
  <c r="G82"/>
  <c r="G85"/>
  <c r="G97"/>
  <c r="P93"/>
  <c r="P103"/>
  <c r="P97"/>
  <c r="P81"/>
  <c r="P94"/>
  <c r="P87"/>
  <c r="L94"/>
  <c r="L86"/>
  <c r="L95"/>
  <c r="L96"/>
  <c r="L90"/>
  <c r="L102"/>
  <c r="E71"/>
  <c r="E106"/>
  <c r="V71"/>
  <c r="V106"/>
  <c r="Q106"/>
  <c r="Q71"/>
  <c r="R106"/>
  <c r="R71"/>
  <c r="M71"/>
  <c r="M106"/>
  <c r="S71"/>
  <c r="S106"/>
  <c r="Q96"/>
  <c r="F78"/>
  <c r="U86"/>
  <c r="R102"/>
  <c r="R105"/>
  <c r="M86"/>
  <c r="V91"/>
  <c r="W93"/>
  <c r="J94"/>
  <c r="G81"/>
  <c r="P79"/>
  <c r="L80"/>
  <c r="Q80"/>
  <c r="N99"/>
  <c r="F100"/>
  <c r="T78"/>
  <c r="H91"/>
  <c r="R93"/>
  <c r="E80"/>
  <c r="W105"/>
  <c r="S92"/>
  <c r="S93"/>
  <c r="K99"/>
  <c r="K105"/>
  <c r="J97"/>
  <c r="I98"/>
  <c r="I90"/>
  <c r="I78"/>
  <c r="X80"/>
  <c r="O82"/>
  <c r="G88"/>
  <c r="G93"/>
  <c r="P83"/>
  <c r="L89"/>
  <c r="L81"/>
  <c r="L101"/>
  <c r="Q92"/>
  <c r="Q76"/>
  <c r="Q97"/>
  <c r="Q78"/>
  <c r="Q87"/>
  <c r="N95"/>
  <c r="N90"/>
  <c r="N92"/>
  <c r="N88"/>
  <c r="N77"/>
  <c r="N102"/>
  <c r="N81"/>
  <c r="F79"/>
  <c r="F90"/>
  <c r="F91"/>
  <c r="F102"/>
  <c r="F84"/>
  <c r="F88"/>
  <c r="F95"/>
  <c r="T104"/>
  <c r="T100"/>
  <c r="T81"/>
  <c r="T96"/>
  <c r="T98"/>
  <c r="T86"/>
  <c r="T94"/>
  <c r="H100"/>
  <c r="H77"/>
  <c r="H101"/>
  <c r="H83"/>
  <c r="H98"/>
  <c r="H84"/>
  <c r="U92"/>
  <c r="U90"/>
  <c r="U102"/>
  <c r="U94"/>
  <c r="U77"/>
  <c r="R81"/>
  <c r="R89"/>
  <c r="R84"/>
  <c r="R99"/>
  <c r="M97"/>
  <c r="M100"/>
  <c r="M87"/>
  <c r="M84"/>
  <c r="M88"/>
  <c r="E77"/>
  <c r="E93"/>
  <c r="V77"/>
  <c r="V78"/>
  <c r="V92"/>
  <c r="V94"/>
  <c r="V102"/>
  <c r="V104"/>
  <c r="V86"/>
  <c r="W83"/>
  <c r="W99"/>
  <c r="W78"/>
  <c r="W102"/>
  <c r="S79"/>
  <c r="S80"/>
  <c r="S90"/>
  <c r="K100"/>
  <c r="K78"/>
  <c r="K85"/>
  <c r="K94"/>
  <c r="K89"/>
  <c r="K81"/>
  <c r="J98"/>
  <c r="J105"/>
  <c r="J103"/>
  <c r="J91"/>
  <c r="J83"/>
  <c r="I86"/>
  <c r="I104"/>
  <c r="I102"/>
  <c r="I81"/>
  <c r="X90"/>
  <c r="X92"/>
  <c r="X94"/>
  <c r="X98"/>
  <c r="X87"/>
  <c r="X103"/>
  <c r="O102"/>
  <c r="O78"/>
  <c r="O105"/>
  <c r="O90"/>
  <c r="G84"/>
  <c r="G90"/>
  <c r="G103"/>
  <c r="G99"/>
  <c r="P99"/>
  <c r="P90"/>
  <c r="P85"/>
  <c r="P101"/>
  <c r="P91"/>
  <c r="L98"/>
  <c r="L87"/>
  <c r="L77"/>
  <c r="L83"/>
  <c r="L99"/>
  <c r="L104"/>
  <c r="Y105" l="1"/>
  <c r="Y102"/>
  <c r="O108"/>
  <c r="L108"/>
  <c r="G108"/>
  <c r="U108"/>
  <c r="Q108"/>
  <c r="R108"/>
  <c r="T108"/>
  <c r="K108"/>
  <c r="S108"/>
  <c r="W108"/>
  <c r="N108"/>
  <c r="Y103"/>
  <c r="Y81"/>
  <c r="Y83"/>
  <c r="P108"/>
  <c r="E108"/>
  <c r="V108"/>
  <c r="X108"/>
  <c r="I108"/>
  <c r="J108"/>
  <c r="M108"/>
  <c r="H108"/>
  <c r="Y90"/>
  <c r="F108"/>
  <c r="Y79"/>
  <c r="Y94"/>
  <c r="Y100"/>
  <c r="Y91"/>
  <c r="Y96"/>
  <c r="Y92"/>
  <c r="Y104"/>
  <c r="Y80"/>
  <c r="Y78"/>
  <c r="Y82"/>
  <c r="Y97"/>
  <c r="Y98"/>
  <c r="Y86"/>
  <c r="Y101"/>
  <c r="Y71"/>
  <c r="Y106"/>
  <c r="Y77"/>
  <c r="Y95"/>
  <c r="Y84"/>
  <c r="Y88"/>
  <c r="Y99"/>
  <c r="Y89"/>
  <c r="Y109" l="1"/>
  <c r="E109" s="1"/>
  <c r="F109" s="1"/>
  <c r="G109" s="1"/>
  <c r="H109" s="1"/>
  <c r="I109" s="1"/>
  <c r="J109" s="1"/>
  <c r="K109" s="1"/>
  <c r="L109" s="1"/>
  <c r="M109" s="1"/>
  <c r="N109" s="1"/>
  <c r="O109" s="1"/>
  <c r="P109" s="1"/>
  <c r="Q109" s="1"/>
  <c r="R109" s="1"/>
  <c r="S109" s="1"/>
  <c r="T109" s="1"/>
  <c r="U109" s="1"/>
  <c r="V109" s="1"/>
  <c r="W109" s="1"/>
  <c r="X109" s="1"/>
</calcChain>
</file>

<file path=xl/comments1.xml><?xml version="1.0" encoding="utf-8"?>
<comments xmlns="http://schemas.openxmlformats.org/spreadsheetml/2006/main">
  <authors>
    <author>Charlie Grist</author>
  </authors>
  <commentList>
    <comment ref="A1" authorId="0">
      <text>
        <r>
          <rPr>
            <b/>
            <sz val="9"/>
            <color indexed="81"/>
            <rFont val="Tahoma"/>
            <family val="2"/>
          </rPr>
          <t>Charlie Grist:</t>
        </r>
        <r>
          <rPr>
            <sz val="9"/>
            <color indexed="81"/>
            <rFont val="Tahoma"/>
            <family val="2"/>
          </rPr>
          <t xml:space="preserve">
Lookup in ComMaster</t>
        </r>
      </text>
    </comment>
    <comment ref="B1" authorId="0">
      <text>
        <r>
          <rPr>
            <b/>
            <sz val="9"/>
            <color indexed="81"/>
            <rFont val="Tahoma"/>
            <family val="2"/>
          </rPr>
          <t>Charlie Grist:</t>
        </r>
        <r>
          <rPr>
            <sz val="9"/>
            <color indexed="81"/>
            <rFont val="Tahoma"/>
            <family val="2"/>
          </rPr>
          <t xml:space="preserve">
New, NR, Retro</t>
        </r>
      </text>
    </comment>
    <comment ref="C1" authorId="0">
      <text>
        <r>
          <rPr>
            <b/>
            <sz val="9"/>
            <color indexed="81"/>
            <rFont val="Tahoma"/>
            <family val="2"/>
          </rPr>
          <t>Charlie Grist:</t>
        </r>
        <r>
          <rPr>
            <sz val="9"/>
            <color indexed="81"/>
            <rFont val="Tahoma"/>
            <family val="2"/>
          </rPr>
          <t xml:space="preserve">
Measure Index Name</t>
        </r>
      </text>
    </comment>
    <comment ref="E1" authorId="0">
      <text>
        <r>
          <rPr>
            <b/>
            <sz val="9"/>
            <color indexed="81"/>
            <rFont val="Tahoma"/>
            <family val="2"/>
          </rPr>
          <t>Charlie Grist:</t>
        </r>
        <r>
          <rPr>
            <sz val="9"/>
            <color indexed="81"/>
            <rFont val="Tahoma"/>
            <family val="2"/>
          </rPr>
          <t xml:space="preserve">
Use Massoud's Names</t>
        </r>
      </text>
    </comment>
    <comment ref="F1" authorId="0">
      <text>
        <r>
          <rPr>
            <b/>
            <sz val="9"/>
            <color indexed="81"/>
            <rFont val="Tahoma"/>
            <family val="2"/>
          </rPr>
          <t>Charlie Grist:</t>
        </r>
        <r>
          <rPr>
            <sz val="9"/>
            <color indexed="81"/>
            <rFont val="Tahoma"/>
            <family val="2"/>
          </rPr>
          <t xml:space="preserve">
From Shaped Savings column 14</t>
        </r>
      </text>
    </comment>
    <comment ref="G1" authorId="0">
      <text>
        <r>
          <rPr>
            <b/>
            <sz val="9"/>
            <color indexed="81"/>
            <rFont val="Tahoma"/>
            <family val="2"/>
          </rPr>
          <t>Charlie Grist:</t>
        </r>
        <r>
          <rPr>
            <sz val="9"/>
            <color indexed="81"/>
            <rFont val="Tahoma"/>
            <family val="2"/>
          </rPr>
          <t xml:space="preserve">
From SC or from Shaped Savings column 3.
</t>
        </r>
      </text>
    </comment>
    <comment ref="H1" authorId="0">
      <text>
        <r>
          <rPr>
            <b/>
            <sz val="9"/>
            <color indexed="81"/>
            <rFont val="Tahoma"/>
            <family val="2"/>
          </rPr>
          <t>Charlie Grist:</t>
        </r>
        <r>
          <rPr>
            <sz val="9"/>
            <color indexed="81"/>
            <rFont val="Tahoma"/>
            <family val="2"/>
          </rPr>
          <t xml:space="preserve">
From SC or from Shaped Savings column K (column 11)</t>
        </r>
      </text>
    </comment>
    <comment ref="I1" authorId="0">
      <text>
        <r>
          <rPr>
            <b/>
            <sz val="9"/>
            <color indexed="81"/>
            <rFont val="Tahoma"/>
            <family val="2"/>
          </rPr>
          <t>Charlie Grist:</t>
        </r>
        <r>
          <rPr>
            <sz val="9"/>
            <color indexed="81"/>
            <rFont val="Tahoma"/>
            <family val="2"/>
          </rPr>
          <t xml:space="preserve">
From SC</t>
        </r>
      </text>
    </comment>
    <comment ref="J1" authorId="0">
      <text>
        <r>
          <rPr>
            <b/>
            <sz val="9"/>
            <color indexed="81"/>
            <rFont val="Tahoma"/>
            <family val="2"/>
          </rPr>
          <t>Charlie Grist:</t>
        </r>
        <r>
          <rPr>
            <sz val="9"/>
            <color indexed="81"/>
            <rFont val="Tahoma"/>
            <family val="2"/>
          </rPr>
          <t xml:space="preserve">
From SC</t>
        </r>
      </text>
    </comment>
    <comment ref="K1" authorId="0">
      <text>
        <r>
          <rPr>
            <b/>
            <sz val="9"/>
            <color indexed="81"/>
            <rFont val="Tahoma"/>
            <family val="2"/>
          </rPr>
          <t>Charlie Grist:</t>
        </r>
        <r>
          <rPr>
            <sz val="9"/>
            <color indexed="81"/>
            <rFont val="Tahoma"/>
            <family val="2"/>
          </rPr>
          <t xml:space="preserve">
From SC</t>
        </r>
      </text>
    </comment>
    <comment ref="AF1" authorId="0">
      <text>
        <r>
          <rPr>
            <b/>
            <sz val="9"/>
            <color indexed="81"/>
            <rFont val="Tahoma"/>
            <family val="2"/>
          </rPr>
          <t>Charlie Grist:</t>
        </r>
        <r>
          <rPr>
            <sz val="9"/>
            <color indexed="81"/>
            <rFont val="Tahoma"/>
            <family val="2"/>
          </rPr>
          <t xml:space="preserve">
From Shaped Savings.  Copy whole row down since column increment is hardwired into formula.</t>
        </r>
      </text>
    </comment>
  </commentList>
</comments>
</file>

<file path=xl/comments2.xml><?xml version="1.0" encoding="utf-8"?>
<comments xmlns="http://schemas.openxmlformats.org/spreadsheetml/2006/main">
  <authors>
    <author xml:space="preserve"> </author>
    <author>Charlie Grist</author>
  </authors>
  <commentList>
    <comment ref="I6" authorId="0">
      <text>
        <r>
          <rPr>
            <b/>
            <sz val="8"/>
            <color indexed="81"/>
            <rFont val="Tahoma"/>
            <family val="2"/>
          </rPr>
          <t xml:space="preserve"> :ProCost</t>
        </r>
        <r>
          <rPr>
            <sz val="8"/>
            <color indexed="81"/>
            <rFont val="Tahoma"/>
            <family val="2"/>
          </rPr>
          <t xml:space="preserve">
Perioodic replacement costs and savinsg of the measure.
These are costs and savings that occur periodicially, but at different periods than annually.  
Can be positive or negative.  Periodic replacement costs for both the measure and the baseline measure should be included if applicable. 
ProCost can analysze these costs in two ways dependent on the 'Repeat Periodic Replacemetn' switch in the ProData page.  When set to 'On',  ProCost repeats  replacement costs for multiple times over the life of a measure depending on the  input period and measure life.  For example fluorescent lamps may have a 4-year replacement cycle that repeats 3 times in a 15-year measure life.  When set to 'Off', ProCost reads the period as the year after installation that the replacement cost occurs and does not subsequently  reinstall or repeat the replacement costs.  For example a compressor may be replaced only once in the life of a heat-pump system.
Example:  A new fluorescent lighting systems may have a measure life of 15 years, and a  lamp life of five years. Two lamps lamps per fixture must be replaced at years 6 and 11.  Lamp and labor costs, expressed as positive costs, are entered as a cost and the period would be enetered as 5.   The baseline measure may have a four year lamp life and would have required a three-lamp replacement at years 5, 9 and 13.  Lamp and labor replacement costs would be entered as annual savings in dollars with a 4-year period.  ProCost determines the net present value of the two cost streams.   </t>
        </r>
      </text>
    </comment>
    <comment ref="O6" authorId="0">
      <text>
        <r>
          <rPr>
            <b/>
            <sz val="8"/>
            <color indexed="81"/>
            <rFont val="Tahoma"/>
            <family val="2"/>
          </rPr>
          <t xml:space="preserve"> :ProCost</t>
        </r>
        <r>
          <rPr>
            <sz val="8"/>
            <color indexed="81"/>
            <rFont val="Tahoma"/>
            <family val="2"/>
          </rPr>
          <t xml:space="preserve">
If the measure has gas savings for incfreases, enter the annual savings and shape of the savings here.
Example:  Clothes washer saves electric motor and dryer energy and gas water heat.  </t>
        </r>
      </text>
    </comment>
    <comment ref="A7" authorId="0">
      <text>
        <r>
          <rPr>
            <b/>
            <sz val="8"/>
            <color indexed="81"/>
            <rFont val="Tahoma"/>
            <family val="2"/>
          </rPr>
          <t xml:space="preserve"> :Procost</t>
        </r>
        <r>
          <rPr>
            <sz val="8"/>
            <color indexed="81"/>
            <rFont val="Tahoma"/>
            <family val="2"/>
          </rPr>
          <t xml:space="preserve">
Category for the measure.  
Individual measures can be grouped into categories.  Procost output is reported by measure and by category.  
All measures must belong to at least one category.  Category name can be the same as measure name.  
Example:  Measures can be combined into one category if they have components with different load shapes or measure lives.  On wash machines there may be one load shape for the electric motor savings component, a second load shape for the electric water heat savings component and a third shape for electric dryer savings component.</t>
        </r>
      </text>
    </comment>
    <comment ref="B7" authorId="0">
      <text>
        <r>
          <rPr>
            <b/>
            <sz val="8"/>
            <color indexed="81"/>
            <rFont val="Tahoma"/>
            <family val="2"/>
          </rPr>
          <t xml:space="preserve"> :ProCost
</t>
        </r>
        <r>
          <rPr>
            <sz val="8"/>
            <color indexed="81"/>
            <rFont val="Tahoma"/>
            <family val="2"/>
          </rPr>
          <t>Name of Measure.  User-defined.  
For PTR measures, defined naming conventions apply.</t>
        </r>
        <r>
          <rPr>
            <sz val="8"/>
            <color indexed="81"/>
            <rFont val="Tahoma"/>
            <family val="2"/>
          </rPr>
          <t xml:space="preserve">
</t>
        </r>
      </text>
    </comment>
    <comment ref="C7" authorId="0">
      <text>
        <r>
          <rPr>
            <b/>
            <sz val="8"/>
            <color indexed="81"/>
            <rFont val="Tahoma"/>
            <family val="2"/>
          </rPr>
          <t xml:space="preserve"> :ProCost</t>
        </r>
        <r>
          <rPr>
            <sz val="8"/>
            <color indexed="81"/>
            <rFont val="Tahoma"/>
            <family val="2"/>
          </rPr>
          <t xml:space="preserve">
Annual electric savings for the measure in kWh at the site.  May be positive, negative or zero.
Savings are incremental to the baseline alternative.</t>
        </r>
      </text>
    </comment>
    <comment ref="D7" authorId="0">
      <text>
        <r>
          <rPr>
            <b/>
            <sz val="8"/>
            <color indexed="81"/>
            <rFont val="Tahoma"/>
            <family val="2"/>
          </rPr>
          <t xml:space="preserve"> :ProCost</t>
        </r>
        <r>
          <rPr>
            <sz val="8"/>
            <color indexed="81"/>
            <rFont val="Tahoma"/>
            <family val="2"/>
          </rPr>
          <t xml:space="preserve">
Physical life of the measure in years.  Must be &gt;=1.</t>
        </r>
      </text>
    </comment>
    <comment ref="E7" authorId="0">
      <text>
        <r>
          <rPr>
            <b/>
            <sz val="8"/>
            <color indexed="81"/>
            <rFont val="Tahoma"/>
            <family val="2"/>
          </rPr>
          <t xml:space="preserve"> :ProCost</t>
        </r>
        <r>
          <rPr>
            <sz val="8"/>
            <color indexed="81"/>
            <rFont val="Tahoma"/>
            <family val="2"/>
          </rPr>
          <t xml:space="preserve">
Initial cost to install the measure in dollars.  Costs are incremental to the baseline alternative.
Dollars must be denominated in the same year as 'Input Cost Reference Year' input on the ProData page.</t>
        </r>
      </text>
    </comment>
    <comment ref="F7" authorId="0">
      <text>
        <r>
          <rPr>
            <b/>
            <sz val="8"/>
            <color indexed="81"/>
            <rFont val="Tahoma"/>
            <family val="2"/>
          </rPr>
          <t xml:space="preserve"> :ProCost</t>
        </r>
        <r>
          <rPr>
            <sz val="8"/>
            <color indexed="81"/>
            <rFont val="Tahoma"/>
            <family val="2"/>
          </rPr>
          <t xml:space="preserve">
Annaul opperations and maintenace cost for the measure in dollars.  Must be incremental cost over the baseline alternative.  May be positive, negative or zero.  
Dollars must be denominated in the same year as 'Input Cost Reference Year' input on the ProData page. 
O&amp;M costs are enetered as positive values.    Negative values represent O&amp;M savings compared to the baseline alternative. 
Example:  Annualized maintenace cost for a heat pump heating system compared to a baseline electric resistance  heating system.
</t>
        </r>
      </text>
    </comment>
    <comment ref="G7"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shaps are in the MC_AND_Loadshape file.   
</t>
        </r>
      </text>
    </comment>
    <comment ref="H7" authorId="0">
      <text>
        <r>
          <rPr>
            <b/>
            <sz val="8"/>
            <color indexed="81"/>
            <rFont val="Tahoma"/>
            <family val="2"/>
          </rPr>
          <t xml:space="preserve"> :ProCost</t>
        </r>
        <r>
          <rPr>
            <sz val="8"/>
            <color indexed="81"/>
            <rFont val="Tahoma"/>
            <family val="2"/>
          </rPr>
          <t xml:space="preserve">
Annual value of any non-energy benefits of the measure, relative to the baseline alternative.  
Expressed in dollars per year and denominated in dollars of the 'Cost Reference Year'.
Positive value represents dollar savings.  Negative value represents dollar cost.
Example:  Water, detergent and sewer savings from efficient clothes washer.</t>
        </r>
      </text>
    </comment>
    <comment ref="I7" authorId="0">
      <text>
        <r>
          <rPr>
            <b/>
            <sz val="8"/>
            <color indexed="81"/>
            <rFont val="Tahoma"/>
            <family val="2"/>
          </rPr>
          <t xml:space="preserve"> :</t>
        </r>
        <r>
          <rPr>
            <sz val="8"/>
            <color indexed="81"/>
            <rFont val="Tahoma"/>
            <family val="2"/>
          </rPr>
          <t xml:space="preserve">
Cost in dollars that is incurred  for Period 1.  Positive value if cost.  Negative value if savings.
Dollars must be denominated in the same year as 'Input Cost Reference Year' input on the ProData page.</t>
        </r>
      </text>
    </comment>
    <comment ref="J7" authorId="0">
      <text>
        <r>
          <rPr>
            <b/>
            <sz val="8"/>
            <color indexed="81"/>
            <rFont val="Tahoma"/>
            <family val="2"/>
          </rPr>
          <t xml:space="preserve"> :ProCost</t>
        </r>
        <r>
          <rPr>
            <sz val="8"/>
            <color indexed="81"/>
            <rFont val="Tahoma"/>
            <family val="2"/>
          </rPr>
          <t xml:space="preserve">
Duration of Period1.  The time at which  Period 1 costs, or savings, occur.  
In years.</t>
        </r>
      </text>
    </comment>
    <comment ref="K7" authorId="0">
      <text>
        <r>
          <rPr>
            <b/>
            <sz val="8"/>
            <color indexed="81"/>
            <rFont val="Tahoma"/>
            <family val="2"/>
          </rPr>
          <t xml:space="preserve"> :</t>
        </r>
        <r>
          <rPr>
            <sz val="8"/>
            <color indexed="81"/>
            <rFont val="Tahoma"/>
            <family val="2"/>
          </rPr>
          <t xml:space="preserve">
Cost in dollars that is incurred  for Period 2  Positive value if cost.  Negative value if savings.
Dollars must be denominated in the same year as 'Input Cost Reference Year' input on the ProData page.</t>
        </r>
      </text>
    </comment>
    <comment ref="L7" authorId="0">
      <text>
        <r>
          <rPr>
            <b/>
            <sz val="8"/>
            <color indexed="81"/>
            <rFont val="Tahoma"/>
            <family val="2"/>
          </rPr>
          <t xml:space="preserve"> :ProCost</t>
        </r>
        <r>
          <rPr>
            <sz val="8"/>
            <color indexed="81"/>
            <rFont val="Tahoma"/>
            <family val="2"/>
          </rPr>
          <t xml:space="preserve">
Duration of Period 2.  The time at which  Period 2 costs, or savings, occur.  
In years.</t>
        </r>
      </text>
    </comment>
    <comment ref="M7" authorId="0">
      <text>
        <r>
          <rPr>
            <b/>
            <sz val="8"/>
            <color indexed="81"/>
            <rFont val="Tahoma"/>
            <family val="2"/>
          </rPr>
          <t xml:space="preserve"> :</t>
        </r>
        <r>
          <rPr>
            <sz val="8"/>
            <color indexed="81"/>
            <rFont val="Tahoma"/>
            <family val="2"/>
          </rPr>
          <t xml:space="preserve">
Cost in dollars that is incurred  for Period 3.  Positive value if cost.  Negative value if savings.
Dollars must be denominated in the same year as 'Input Cost Reference Year' input on the ProData page.</t>
        </r>
      </text>
    </comment>
    <comment ref="N7" authorId="0">
      <text>
        <r>
          <rPr>
            <b/>
            <sz val="8"/>
            <color indexed="81"/>
            <rFont val="Tahoma"/>
            <family val="2"/>
          </rPr>
          <t xml:space="preserve"> :ProCost</t>
        </r>
        <r>
          <rPr>
            <sz val="8"/>
            <color indexed="81"/>
            <rFont val="Tahoma"/>
            <family val="2"/>
          </rPr>
          <t xml:space="preserve">
Duration of Period 3.  The time at which  Period 3 costs, or savings, occur.  
In years.</t>
        </r>
      </text>
    </comment>
    <comment ref="O7" authorId="0">
      <text>
        <r>
          <rPr>
            <b/>
            <sz val="8"/>
            <color indexed="81"/>
            <rFont val="Tahoma"/>
            <family val="2"/>
          </rPr>
          <t xml:space="preserve"> :</t>
        </r>
        <r>
          <rPr>
            <sz val="8"/>
            <color indexed="81"/>
            <rFont val="Tahoma"/>
            <family val="2"/>
          </rPr>
          <t xml:space="preserve">
Annual gas savings, or increases, in therms.</t>
        </r>
      </text>
    </comment>
    <comment ref="P7" authorId="0">
      <text>
        <r>
          <rPr>
            <b/>
            <sz val="8"/>
            <color indexed="81"/>
            <rFont val="Tahoma"/>
            <family val="2"/>
          </rPr>
          <t xml:space="preserve"> :ProCost</t>
        </r>
        <r>
          <rPr>
            <sz val="8"/>
            <color indexed="81"/>
            <rFont val="Tahoma"/>
            <family val="2"/>
          </rPr>
          <t xml:space="preserve">
Name of the pointer to the shape of the savings.  
The shapes represent the daily and monthly shape of the savings in four time segments for each month of the year.  Shape of the savings is relative to the baseline alternative.
These shaps are in the MC_AND_Loadshape file.   
</t>
        </r>
      </text>
    </comment>
    <comment ref="BH39" authorId="1">
      <text>
        <r>
          <rPr>
            <sz val="9"/>
            <color indexed="81"/>
            <rFont val="Tahoma"/>
            <family val="2"/>
          </rPr>
          <t>Direct and program administrative costs incurred by the utility system minus benefits that accrue to the utility system.There are separate Utility System Net Levelized Costs for the electric and the gas system.  
Utility system benefits include deferred transmission and distribution system capacity, risk-mitigation and Regional Act credit all of which are user-determined inputs.Utility System benefits do not include any  non-energy benefits  such as, other-fuel benefits, O&amp;M benefits or periodic replacement benefits which generally accrue to the customer or to non-utility sponsors.
Utility System Net Levelized Costs correspond to Utility System B/C ratio with regard to the costs and benefits included.  Benefits are subtracted from costs, then levelized over the life of the measure
The Risk-Mitigation credit is used to determine program cost-effectiveness and impacts both the Utility System B/C ratio and the Utility System Net Levelized Cost.  If the Risk-Mitigation credit is non-zero, the Utility System Net Levelized Cost will be reduced by the Risk-Mitigation benefit.
When using ProCost to build conservation supply curves, the user should set the Risk-Mitigation Credit to zero so the credit is not reflected in the supply curves.</t>
        </r>
      </text>
    </comment>
    <comment ref="BM39" authorId="1">
      <text>
        <r>
          <rPr>
            <sz val="9"/>
            <color indexed="81"/>
            <rFont val="Tahoma"/>
            <family val="2"/>
          </rPr>
          <t>Direct and program administrative costs of the measure to sponsor.  Separate costs for each sponsor.
Depends on share of costs incurred by sponsor, sponsor cost of capital, and financing term which are user-defined inputs.  Includes applicable Capital, O&amp;M, Periodic Replacement and Program Administrative costs.  Sponsor costs are levelized over program life.
Does not include any adjustments for benefit.
NOTE:  Units are per kWh for 'Electric' runs and per therm for 'Gas' runs for all sponsors.</t>
        </r>
      </text>
    </comment>
    <comment ref="CE39" authorId="1">
      <text>
        <r>
          <rPr>
            <sz val="9"/>
            <color indexed="81"/>
            <rFont val="Tahoma"/>
            <family val="2"/>
          </rPr>
          <t xml:space="preserve">All costs minus all benefits regardless of which sponsor incurs the cost or accrues the benefits.
TRC Net Levelized Cost includes all applicable costs and all benefits.  In addition to energy system costs and benefits, TRC Net Levelized Cost includes non-energy, other-fuel, O&amp;M, periodic-replacement and risk-mitigation benefits and costs.
TRC Net Levelized Cost corresponds to TRC B/C ratios with regard to the costs and benefits included.  Benefits are subtracted from costs, then levelized over the life of the measure.
The Risk-Mitigation credit is used to determine program cost-effectiveness and impacts both the TRC B/C ratio and the TRC Net Levelized Cost.  If Risk-Mitigation credit is non-zero, TRC Levelized Cost will be reduced by the risk-mitigation benefit.
When using ProCost to build conservation supply curves, the user should set the Risk-Mitigation Credit to zero so the credit is not reflected in the supply curves. </t>
        </r>
      </text>
    </comment>
    <comment ref="CW39" authorId="1">
      <text>
        <r>
          <rPr>
            <sz val="9"/>
            <color indexed="81"/>
            <rFont val="Tahoma"/>
            <family val="2"/>
          </rPr>
          <t>Direct and program administrative costs incurred by the utility system minus benefits that accrue to the utility system.There are separate Utility System Net Levelized Costs for the electric and the gas system.  
Utility system benefits include deferred transmission and distribution system capacity, risk-mitigation and Regional Act credit all of which are user-determined inputs.Utility System benefits do not include any  non-energy benefits  such as, other-fuel benefits, O&amp;M benefits or periodic replacement benefits which generally accrue to the customer or to non-utility sponsors.
Utility System Net Levelized Costs correspond to Utility System B/C ratio with regard to the costs and benefits included.  Benefits are subtracted from costs, then levelized over the life of the measure
The Risk-Mitigation credit is used to determine program cost-effectiveness and impacts both the Utility System B/C ratio and the Utility System Net Levelized Cost.  If the Risk-Mitigation credit is non-zero, the Utility System Net Levelized Cost will be reduced by the Risk-Mitigation benefit.
When using ProCost to build conservation supply curves, the user should set the Risk-Mitigation Credit to zero so the credit is not reflected in the supply curves.</t>
        </r>
      </text>
    </comment>
    <comment ref="BH49" authorId="1">
      <text>
        <r>
          <rPr>
            <sz val="9"/>
            <color indexed="81"/>
            <rFont val="Tahoma"/>
            <family val="2"/>
          </rPr>
          <t>Direct and program administrative costs incurred by the utility system minus benefits that accrue to the utility system.There are separate Utility System Net Levelized Costs for the electric and the gas system.  
Utility system benefits include deferred transmission and distribution system capacity, risk-mitigation and Regional Act credit all of which are user-determined inputs.Utility System benefits do not include any  non-energy benefits  such as, other-fuel benefits, O&amp;M benefits or periodic replacement benefits which generally accrue to the customer or to non-utility sponsors.
Utility System Net Levelized Costs correspond to Utility System B/C ratio with regard to the costs and benefits included.  Benefits are subtracted from costs, then levelized over the life of the measure
The Risk-Mitigation credit is used to determine program cost-effectiveness and impacts both the Utility System B/C ratio and the Utility System Net Levelized Cost.  If the Risk-Mitigation credit is non-zero, the Utility System Net Levelized Cost will be reduced by the Risk-Mitigation benefit.
When using ProCost to build conservation supply curves, the user should set the Risk-Mitigation Credit to zero so the credit is not reflected in the supply curves.</t>
        </r>
      </text>
    </comment>
    <comment ref="BM49" authorId="1">
      <text>
        <r>
          <rPr>
            <sz val="9"/>
            <color indexed="81"/>
            <rFont val="Tahoma"/>
            <family val="2"/>
          </rPr>
          <t>Direct and program administrative costs of the measure to sponsor.  Separate costs for each sponsor.
Depends on share of costs incurred by sponsor, sponsor cost of capital, and financing term which are user-defined inputs.  Includes applicable Capital, O&amp;M, Periodic Replacement and Program Administrative costs.  Sponsor costs are levelized over program life.
Does not include any adjustments for benefit.
NOTE:  Units are per kWh for 'Electric' runs and per therm for 'Gas' runs for all sponsors.</t>
        </r>
      </text>
    </comment>
    <comment ref="CE49" authorId="1">
      <text>
        <r>
          <rPr>
            <sz val="9"/>
            <color indexed="81"/>
            <rFont val="Tahoma"/>
            <family val="2"/>
          </rPr>
          <t xml:space="preserve">All costs minus all benefits regardless of which sponsor incurs the cost or accrues the benefits.
TRC Net Levelized Cost includes all applicable costs and all benefits.  In addition to energy system costs and benefits, TRC Net Levelized Cost includes non-energy, other-fuel, O&amp;M, periodic-replacement and risk-mitigation benefits and costs.
TRC Net Levelized Cost corresponds to TRC B/C ratios with regard to the costs and benefits included.  Benefits are subtracted from costs, then levelized over the life of the measure.
The Risk-Mitigation credit is used to determine program cost-effectiveness and impacts both the TRC B/C ratio and the TRC Net Levelized Cost.  If Risk-Mitigation credit is non-zero, TRC Levelized Cost will be reduced by the risk-mitigation benefit.
When using ProCost to build conservation supply curves, the user should set the Risk-Mitigation Credit to zero so the credit is not reflected in the supply curves. </t>
        </r>
      </text>
    </comment>
    <comment ref="CW49" authorId="1">
      <text>
        <r>
          <rPr>
            <sz val="9"/>
            <color indexed="81"/>
            <rFont val="Tahoma"/>
            <family val="2"/>
          </rPr>
          <t>Direct and program administrative costs incurred by the utility system minus benefits that accrue to the utility system.There are separate Utility System Net Levelized Costs for the electric and the gas system.  
Utility system benefits include deferred transmission and distribution system capacity, risk-mitigation and Regional Act credit all of which are user-determined inputs.Utility System benefits do not include any  non-energy benefits  such as, other-fuel benefits, O&amp;M benefits or periodic replacement benefits which generally accrue to the customer or to non-utility sponsors.
Utility System Net Levelized Costs correspond to Utility System B/C ratio with regard to the costs and benefits included.  Benefits are subtracted from costs, then levelized over the life of the measure
The Risk-Mitigation credit is used to determine program cost-effectiveness and impacts both the Utility System B/C ratio and the Utility System Net Levelized Cost.  If the Risk-Mitigation credit is non-zero, the Utility System Net Levelized Cost will be reduced by the Risk-Mitigation benefit.
When using ProCost to build conservation supply curves, the user should set the Risk-Mitigation Credit to zero so the credit is not reflected in the supply curves.</t>
        </r>
      </text>
    </comment>
  </commentList>
</comments>
</file>

<file path=xl/comments3.xml><?xml version="1.0" encoding="utf-8"?>
<comments xmlns="http://schemas.openxmlformats.org/spreadsheetml/2006/main">
  <authors>
    <author>Hadley</author>
  </authors>
  <commentList>
    <comment ref="AE6" authorId="0">
      <text>
        <r>
          <rPr>
            <b/>
            <sz val="9"/>
            <color indexed="81"/>
            <rFont val="Tahoma"/>
            <family val="2"/>
          </rPr>
          <t>Hadley:</t>
        </r>
        <r>
          <rPr>
            <sz val="9"/>
            <color indexed="81"/>
            <rFont val="Tahoma"/>
            <family val="2"/>
          </rPr>
          <t xml:space="preserve">
Page 4-4 of Report: 
"Table 4-1, Percent of Energy by Customer Class, shows the percent of energy by
customer type that was included in determining the potential energy savings for each
utility. Percent of Energy by Customer Class increased as more system improvements
were accounted for in the options."</t>
        </r>
      </text>
    </comment>
    <comment ref="AG6" authorId="0">
      <text>
        <r>
          <rPr>
            <b/>
            <sz val="9"/>
            <color indexed="81"/>
            <rFont val="Tahoma"/>
            <family val="2"/>
          </rPr>
          <t>Hadley:</t>
        </r>
        <r>
          <rPr>
            <sz val="9"/>
            <color indexed="81"/>
            <rFont val="Tahoma"/>
            <family val="2"/>
          </rPr>
          <t xml:space="preserve">
Page 4-4 of report: "It was
assumed that larger substations would have a higher implementation cost than smaller
substations (less than 40,000 MWhr/year for LDC and 60,000 MWHr/year for EOL
systems)"</t>
        </r>
      </text>
    </comment>
    <comment ref="AH6" authorId="0">
      <text>
        <r>
          <rPr>
            <b/>
            <sz val="9"/>
            <color indexed="81"/>
            <rFont val="Tahoma"/>
            <family val="2"/>
          </rPr>
          <t>Hadley:</t>
        </r>
        <r>
          <rPr>
            <sz val="9"/>
            <color indexed="81"/>
            <rFont val="Tahoma"/>
            <family val="2"/>
          </rPr>
          <t xml:space="preserve">
Page 4-4 of report: "It was
assumed that larger substations would have a higher implementation cost than smaller
substations (less than 40,000 MWhr/year for LDC and 60,000 MWHr/year for EOL
systems)"</t>
        </r>
      </text>
    </comment>
    <comment ref="AK6" authorId="0">
      <text>
        <r>
          <rPr>
            <b/>
            <sz val="9"/>
            <color indexed="81"/>
            <rFont val="Tahoma"/>
            <family val="2"/>
          </rPr>
          <t>Hadley:</t>
        </r>
        <r>
          <rPr>
            <sz val="9"/>
            <color indexed="81"/>
            <rFont val="Tahoma"/>
            <family val="2"/>
          </rPr>
          <t xml:space="preserve">
Page 4-4 of Report: 
"Table 4-1, Percent of Energy by Customer Class, shows the percent of energy by
customer type that was included in determining the potential energy savings for each
utility. Percent of Energy by Customer Class increased as more system improvements
were accounted for in the options."</t>
        </r>
      </text>
    </comment>
    <comment ref="AM6" authorId="0">
      <text>
        <r>
          <rPr>
            <b/>
            <sz val="9"/>
            <color indexed="81"/>
            <rFont val="Tahoma"/>
            <family val="2"/>
          </rPr>
          <t>Hadley:</t>
        </r>
        <r>
          <rPr>
            <sz val="9"/>
            <color indexed="81"/>
            <rFont val="Tahoma"/>
            <family val="2"/>
          </rPr>
          <t xml:space="preserve">
Page 4-4 of report: "It was
assumed that larger substations would have a higher implementation cost than smaller
substations (less than 40,000 MWhr/year for LDC and 60,000 MWHr/year for EOL
systems)"</t>
        </r>
      </text>
    </comment>
    <comment ref="AN6" authorId="0">
      <text>
        <r>
          <rPr>
            <b/>
            <sz val="9"/>
            <color indexed="81"/>
            <rFont val="Tahoma"/>
            <family val="2"/>
          </rPr>
          <t>Hadley:</t>
        </r>
        <r>
          <rPr>
            <sz val="9"/>
            <color indexed="81"/>
            <rFont val="Tahoma"/>
            <family val="2"/>
          </rPr>
          <t xml:space="preserve">
Page 4-4 of report: "It was
assumed that larger substations would have a higher implementation cost than smaller
substations (less than 40,000 MWhr/year for LDC and 60,000 MWHr/year for EOL
systems)"</t>
        </r>
      </text>
    </comment>
    <comment ref="AQ6" authorId="0">
      <text>
        <r>
          <rPr>
            <b/>
            <sz val="9"/>
            <color indexed="81"/>
            <rFont val="Tahoma"/>
            <family val="2"/>
          </rPr>
          <t>Hadley:</t>
        </r>
        <r>
          <rPr>
            <sz val="9"/>
            <color indexed="81"/>
            <rFont val="Tahoma"/>
            <family val="2"/>
          </rPr>
          <t xml:space="preserve">
Page 4-4 of Report: 
"Table 4-1, Percent of Energy by Customer Class, shows the percent of energy by
customer type that was included in determining the potential energy savings for each
utility. Percent of Energy by Customer Class increased as more system improvements
were accounted for in the options."</t>
        </r>
      </text>
    </comment>
    <comment ref="AS6" authorId="0">
      <text>
        <r>
          <rPr>
            <b/>
            <sz val="9"/>
            <color indexed="81"/>
            <rFont val="Tahoma"/>
            <family val="2"/>
          </rPr>
          <t>Hadley:</t>
        </r>
        <r>
          <rPr>
            <sz val="9"/>
            <color indexed="81"/>
            <rFont val="Tahoma"/>
            <family val="2"/>
          </rPr>
          <t xml:space="preserve">
Page 4-4 of report: "It was
assumed that larger substations would have a higher implementation cost than smaller
substations (less than 40,000 MWhr/year for LDC and 60,000 MWHr/year for EOL
systems)"</t>
        </r>
      </text>
    </comment>
    <comment ref="AT6" authorId="0">
      <text>
        <r>
          <rPr>
            <b/>
            <sz val="9"/>
            <color indexed="81"/>
            <rFont val="Tahoma"/>
            <family val="2"/>
          </rPr>
          <t>Hadley:</t>
        </r>
        <r>
          <rPr>
            <sz val="9"/>
            <color indexed="81"/>
            <rFont val="Tahoma"/>
            <family val="2"/>
          </rPr>
          <t xml:space="preserve">
Page 4-4 of report: "It was
assumed that larger substations would have a higher implementation cost than smaller
substations (less than 40,000 MWhr/year for LDC and 60,000 MWHr/year for EOL
systems)"</t>
        </r>
      </text>
    </comment>
    <comment ref="AW6" authorId="0">
      <text>
        <r>
          <rPr>
            <b/>
            <sz val="9"/>
            <color indexed="81"/>
            <rFont val="Tahoma"/>
            <family val="2"/>
          </rPr>
          <t>Hadley:</t>
        </r>
        <r>
          <rPr>
            <sz val="9"/>
            <color indexed="81"/>
            <rFont val="Tahoma"/>
            <family val="2"/>
          </rPr>
          <t xml:space="preserve">
Page 4-4 of Report: 
"Table 4-1, Percent of Energy by Customer Class, shows the percent of energy by
customer type that was included in determining the potential energy savings for each
utility. Percent of Energy by Customer Class increased as more system improvements
were accounted for in the options."</t>
        </r>
      </text>
    </comment>
    <comment ref="AE7" authorId="0">
      <text>
        <r>
          <rPr>
            <b/>
            <sz val="9"/>
            <color indexed="81"/>
            <rFont val="Tahoma"/>
            <family val="2"/>
          </rPr>
          <t>Hadley:</t>
        </r>
        <r>
          <rPr>
            <sz val="9"/>
            <color indexed="81"/>
            <rFont val="Tahoma"/>
            <family val="2"/>
          </rPr>
          <t xml:space="preserve">
Page 4-4 of Report: 
"Table 4-1, Percent of Energy by Customer Class, shows the percent of energy by
customer type that was included in determining the potential energy savings for each
utility. Percent of Energy by Customer Class increased as more system improvements
were accounted for in the options."</t>
        </r>
      </text>
    </comment>
    <comment ref="AG7" authorId="0">
      <text>
        <r>
          <rPr>
            <b/>
            <sz val="9"/>
            <color indexed="81"/>
            <rFont val="Tahoma"/>
            <family val="2"/>
          </rPr>
          <t>Hadley:</t>
        </r>
        <r>
          <rPr>
            <sz val="9"/>
            <color indexed="81"/>
            <rFont val="Tahoma"/>
            <family val="2"/>
          </rPr>
          <t xml:space="preserve">
Source: Table 4-2 (page 4-5) of Report.</t>
        </r>
      </text>
    </comment>
    <comment ref="AH7" authorId="0">
      <text>
        <r>
          <rPr>
            <b/>
            <sz val="9"/>
            <color indexed="81"/>
            <rFont val="Tahoma"/>
            <family val="2"/>
          </rPr>
          <t>Hadley:</t>
        </r>
        <r>
          <rPr>
            <sz val="9"/>
            <color indexed="81"/>
            <rFont val="Tahoma"/>
            <family val="2"/>
          </rPr>
          <t xml:space="preserve">
Source: Table 4-2 (page 4-5) of Report.</t>
        </r>
      </text>
    </comment>
    <comment ref="AK7" authorId="0">
      <text>
        <r>
          <rPr>
            <b/>
            <sz val="9"/>
            <color indexed="81"/>
            <rFont val="Tahoma"/>
            <family val="2"/>
          </rPr>
          <t>Hadley:</t>
        </r>
        <r>
          <rPr>
            <sz val="9"/>
            <color indexed="81"/>
            <rFont val="Tahoma"/>
            <family val="2"/>
          </rPr>
          <t xml:space="preserve">
Page 4-4 of Report: 
"Table 4-1, Percent of Energy by Customer Class, shows the percent of energy by
customer type that was included in determining the potential energy savings for each
utility. Percent of Energy by Customer Class increased as more system improvements
were accounted for in the options."</t>
        </r>
      </text>
    </comment>
    <comment ref="AM7" authorId="0">
      <text>
        <r>
          <rPr>
            <b/>
            <sz val="9"/>
            <color indexed="81"/>
            <rFont val="Tahoma"/>
            <family val="2"/>
          </rPr>
          <t>Hadley:</t>
        </r>
        <r>
          <rPr>
            <sz val="9"/>
            <color indexed="81"/>
            <rFont val="Tahoma"/>
            <family val="2"/>
          </rPr>
          <t xml:space="preserve">
Source: Table 4-2 (page 4-5) of Report.</t>
        </r>
      </text>
    </comment>
    <comment ref="AN7" authorId="0">
      <text>
        <r>
          <rPr>
            <b/>
            <sz val="9"/>
            <color indexed="81"/>
            <rFont val="Tahoma"/>
            <family val="2"/>
          </rPr>
          <t>Hadley:</t>
        </r>
        <r>
          <rPr>
            <sz val="9"/>
            <color indexed="81"/>
            <rFont val="Tahoma"/>
            <family val="2"/>
          </rPr>
          <t xml:space="preserve">
Source: Table 4-2 (page 4-5) of Report.</t>
        </r>
      </text>
    </comment>
    <comment ref="AQ7" authorId="0">
      <text>
        <r>
          <rPr>
            <b/>
            <sz val="9"/>
            <color indexed="81"/>
            <rFont val="Tahoma"/>
            <family val="2"/>
          </rPr>
          <t>Hadley:</t>
        </r>
        <r>
          <rPr>
            <sz val="9"/>
            <color indexed="81"/>
            <rFont val="Tahoma"/>
            <family val="2"/>
          </rPr>
          <t xml:space="preserve">
Page 4-4 of Report: 
"Table 4-1, Percent of Energy by Customer Class, shows the percent of energy by
customer type that was included in determining the potential energy savings for each
utility. Percent of Energy by Customer Class increased as more system improvements
were accounted for in the options."</t>
        </r>
      </text>
    </comment>
    <comment ref="AS7" authorId="0">
      <text>
        <r>
          <rPr>
            <b/>
            <sz val="9"/>
            <color indexed="81"/>
            <rFont val="Tahoma"/>
            <family val="2"/>
          </rPr>
          <t>Hadley:</t>
        </r>
        <r>
          <rPr>
            <sz val="9"/>
            <color indexed="81"/>
            <rFont val="Tahoma"/>
            <family val="2"/>
          </rPr>
          <t xml:space="preserve">
Source: Table 4-2 (page 4-5) of Report.</t>
        </r>
      </text>
    </comment>
    <comment ref="AT7" authorId="0">
      <text>
        <r>
          <rPr>
            <b/>
            <sz val="9"/>
            <color indexed="81"/>
            <rFont val="Tahoma"/>
            <family val="2"/>
          </rPr>
          <t>Hadley:</t>
        </r>
        <r>
          <rPr>
            <sz val="9"/>
            <color indexed="81"/>
            <rFont val="Tahoma"/>
            <family val="2"/>
          </rPr>
          <t xml:space="preserve">
Source: Table 4-2 (page 4-5) of Report.</t>
        </r>
      </text>
    </comment>
    <comment ref="AW7" authorId="0">
      <text>
        <r>
          <rPr>
            <b/>
            <sz val="9"/>
            <color indexed="81"/>
            <rFont val="Tahoma"/>
            <family val="2"/>
          </rPr>
          <t>Hadley:</t>
        </r>
        <r>
          <rPr>
            <sz val="9"/>
            <color indexed="81"/>
            <rFont val="Tahoma"/>
            <family val="2"/>
          </rPr>
          <t xml:space="preserve">
Page 4-4 of Report: 
"Table 4-1, Percent of Energy by Customer Class, shows the percent of energy by
customer type that was included in determining the potential energy savings for each
utility. Percent of Energy by Customer Class increased as more system improvements
were accounted for in the options."</t>
        </r>
      </text>
    </comment>
    <comment ref="AE8" authorId="0">
      <text>
        <r>
          <rPr>
            <b/>
            <sz val="9"/>
            <color indexed="81"/>
            <rFont val="Tahoma"/>
            <family val="2"/>
          </rPr>
          <t>Hadley:</t>
        </r>
        <r>
          <rPr>
            <sz val="9"/>
            <color indexed="81"/>
            <rFont val="Tahoma"/>
            <family val="2"/>
          </rPr>
          <t xml:space="preserve">
Page 4-4 of Report: 
"Table 4-1, Percent of Energy by Customer Class, shows the percent of energy by
customer type that was included in determining the potential energy savings for each
utility. Percent of Energy by Customer Class increased as more system improvements
were accounted for in the options."</t>
        </r>
      </text>
    </comment>
    <comment ref="AG8" authorId="0">
      <text>
        <r>
          <rPr>
            <b/>
            <sz val="9"/>
            <color indexed="81"/>
            <rFont val="Tahoma"/>
            <family val="2"/>
          </rPr>
          <t>Hadley:</t>
        </r>
        <r>
          <rPr>
            <sz val="9"/>
            <color indexed="81"/>
            <rFont val="Tahoma"/>
            <family val="2"/>
          </rPr>
          <t xml:space="preserve">
Source: Table 4-2 (page 4-5) of Report.</t>
        </r>
      </text>
    </comment>
    <comment ref="AH8" authorId="0">
      <text>
        <r>
          <rPr>
            <b/>
            <sz val="9"/>
            <color indexed="81"/>
            <rFont val="Tahoma"/>
            <family val="2"/>
          </rPr>
          <t>Hadley:</t>
        </r>
        <r>
          <rPr>
            <sz val="9"/>
            <color indexed="81"/>
            <rFont val="Tahoma"/>
            <family val="2"/>
          </rPr>
          <t xml:space="preserve">
Source: Table 4-2 (page 4-5) of Report.</t>
        </r>
      </text>
    </comment>
    <comment ref="AK8" authorId="0">
      <text>
        <r>
          <rPr>
            <b/>
            <sz val="9"/>
            <color indexed="81"/>
            <rFont val="Tahoma"/>
            <family val="2"/>
          </rPr>
          <t>Hadley:</t>
        </r>
        <r>
          <rPr>
            <sz val="9"/>
            <color indexed="81"/>
            <rFont val="Tahoma"/>
            <family val="2"/>
          </rPr>
          <t xml:space="preserve">
Page 4-4 of Report: 
"Table 4-1, Percent of Energy by Customer Class, shows the percent of energy by
customer type that was included in determining the potential energy savings for each
utility. Percent of Energy by Customer Class increased as more system improvements
were accounted for in the options."</t>
        </r>
      </text>
    </comment>
    <comment ref="AM8" authorId="0">
      <text>
        <r>
          <rPr>
            <b/>
            <sz val="9"/>
            <color indexed="81"/>
            <rFont val="Tahoma"/>
            <family val="2"/>
          </rPr>
          <t>Hadley:</t>
        </r>
        <r>
          <rPr>
            <sz val="9"/>
            <color indexed="81"/>
            <rFont val="Tahoma"/>
            <family val="2"/>
          </rPr>
          <t xml:space="preserve">
Source: Table 4-2 (page 4-5) of Report.</t>
        </r>
      </text>
    </comment>
    <comment ref="AN8" authorId="0">
      <text>
        <r>
          <rPr>
            <b/>
            <sz val="9"/>
            <color indexed="81"/>
            <rFont val="Tahoma"/>
            <family val="2"/>
          </rPr>
          <t>Hadley:</t>
        </r>
        <r>
          <rPr>
            <sz val="9"/>
            <color indexed="81"/>
            <rFont val="Tahoma"/>
            <family val="2"/>
          </rPr>
          <t xml:space="preserve">
Source: Table 4-2 (page 4-5) of Report.</t>
        </r>
      </text>
    </comment>
    <comment ref="AQ8" authorId="0">
      <text>
        <r>
          <rPr>
            <b/>
            <sz val="9"/>
            <color indexed="81"/>
            <rFont val="Tahoma"/>
            <family val="2"/>
          </rPr>
          <t>Hadley:</t>
        </r>
        <r>
          <rPr>
            <sz val="9"/>
            <color indexed="81"/>
            <rFont val="Tahoma"/>
            <family val="2"/>
          </rPr>
          <t xml:space="preserve">
Page 4-4 of Report: 
"Table 4-1, Percent of Energy by Customer Class, shows the percent of energy by
customer type that was included in determining the potential energy savings for each
utility. Percent of Energy by Customer Class increased as more system improvements
were accounted for in the options."</t>
        </r>
      </text>
    </comment>
    <comment ref="AS8" authorId="0">
      <text>
        <r>
          <rPr>
            <b/>
            <sz val="9"/>
            <color indexed="81"/>
            <rFont val="Tahoma"/>
            <family val="2"/>
          </rPr>
          <t>Hadley:</t>
        </r>
        <r>
          <rPr>
            <sz val="9"/>
            <color indexed="81"/>
            <rFont val="Tahoma"/>
            <family val="2"/>
          </rPr>
          <t xml:space="preserve">
Source: Table 4-2 (page 4-5) of Report.</t>
        </r>
      </text>
    </comment>
    <comment ref="AT8" authorId="0">
      <text>
        <r>
          <rPr>
            <b/>
            <sz val="9"/>
            <color indexed="81"/>
            <rFont val="Tahoma"/>
            <family val="2"/>
          </rPr>
          <t>Hadley:</t>
        </r>
        <r>
          <rPr>
            <sz val="9"/>
            <color indexed="81"/>
            <rFont val="Tahoma"/>
            <family val="2"/>
          </rPr>
          <t xml:space="preserve">
Source: Table 4-2 (page 4-5) of Report.</t>
        </r>
      </text>
    </comment>
    <comment ref="AW8" authorId="0">
      <text>
        <r>
          <rPr>
            <b/>
            <sz val="9"/>
            <color indexed="81"/>
            <rFont val="Tahoma"/>
            <family val="2"/>
          </rPr>
          <t>Hadley:</t>
        </r>
        <r>
          <rPr>
            <sz val="9"/>
            <color indexed="81"/>
            <rFont val="Tahoma"/>
            <family val="2"/>
          </rPr>
          <t xml:space="preserve">
Page 4-4 of Report: 
"Table 4-1, Percent of Energy by Customer Class, shows the percent of energy by
customer type that was included in determining the potential energy savings for each
utility. Percent of Energy by Customer Class increased as more system improvements
were accounted for in the options."</t>
        </r>
      </text>
    </comment>
    <comment ref="AH9" authorId="0">
      <text>
        <r>
          <rPr>
            <b/>
            <sz val="9"/>
            <color indexed="81"/>
            <rFont val="Tahoma"/>
            <family val="2"/>
          </rPr>
          <t>Hadley:</t>
        </r>
        <r>
          <rPr>
            <sz val="9"/>
            <color indexed="81"/>
            <rFont val="Tahoma"/>
            <family val="2"/>
          </rPr>
          <t xml:space="preserve">
Page 4-4 of Report: "It was assumed…that the EOL system would not be implemented on sustations that delivered less than 40,000 MHhr/yr."</t>
        </r>
      </text>
    </comment>
    <comment ref="AN9" authorId="0">
      <text>
        <r>
          <rPr>
            <b/>
            <sz val="9"/>
            <color indexed="81"/>
            <rFont val="Tahoma"/>
            <family val="2"/>
          </rPr>
          <t>Hadley:</t>
        </r>
        <r>
          <rPr>
            <sz val="9"/>
            <color indexed="81"/>
            <rFont val="Tahoma"/>
            <family val="2"/>
          </rPr>
          <t xml:space="preserve">
Page 4-4 of Report: "It was assumed…that the EOL system would not be implemented on sustations that delivered less than 40,000 MHhr/yr."</t>
        </r>
      </text>
    </comment>
    <comment ref="AT9" authorId="0">
      <text>
        <r>
          <rPr>
            <b/>
            <sz val="9"/>
            <color indexed="81"/>
            <rFont val="Tahoma"/>
            <family val="2"/>
          </rPr>
          <t>Hadley:</t>
        </r>
        <r>
          <rPr>
            <sz val="9"/>
            <color indexed="81"/>
            <rFont val="Tahoma"/>
            <family val="2"/>
          </rPr>
          <t xml:space="preserve">
Page 4-4 of Report: "It was assumed…that the EOL system would not be implemented on sustations that delivered less than 40,000 MHhr/yr."</t>
        </r>
      </text>
    </comment>
    <comment ref="AA12" authorId="0">
      <text>
        <r>
          <rPr>
            <b/>
            <sz val="9"/>
            <color indexed="81"/>
            <rFont val="Tahoma"/>
            <family val="2"/>
          </rPr>
          <t>Hadley:</t>
        </r>
        <r>
          <rPr>
            <sz val="9"/>
            <color indexed="81"/>
            <rFont val="Tahoma"/>
            <family val="2"/>
          </rPr>
          <t xml:space="preserve">
If there's load growth, we assume half of the load growth causes new substations to be built, and half is absorbed within existing substations.  We don't know how this would really play out, so the 50/50 is a placeholder until we get better data.
There's also a check to make sure we don't add an additional substation where loads are less than the average load per substation (176,962); in these cases - small utilities - the number of substations is forced to one.</t>
        </r>
      </text>
    </comment>
    <comment ref="AF12" authorId="0">
      <text>
        <r>
          <rPr>
            <b/>
            <sz val="9"/>
            <color indexed="81"/>
            <rFont val="Tahoma"/>
            <family val="2"/>
          </rPr>
          <t>Hadley:</t>
        </r>
        <r>
          <rPr>
            <sz val="9"/>
            <color indexed="81"/>
            <rFont val="Tahoma"/>
            <family val="2"/>
          </rPr>
          <t xml:space="preserve">
Page 4-4 of Report: "It was assumed…that the EOL system would not be implemented on sustations that delivered less than 40,000 MHhr/yr."</t>
        </r>
      </text>
    </comment>
    <comment ref="AH12" authorId="0">
      <text>
        <r>
          <rPr>
            <b/>
            <sz val="9"/>
            <color indexed="81"/>
            <rFont val="Tahoma"/>
            <family val="2"/>
          </rPr>
          <t>Hadley:</t>
        </r>
        <r>
          <rPr>
            <sz val="9"/>
            <color indexed="81"/>
            <rFont val="Tahoma"/>
            <family val="2"/>
          </rPr>
          <t xml:space="preserve">
Page 4-4 of Report: "It was assumed…that the EOL system would not be implemented on sustations that delivered less than 40,000 MHhr/yr."</t>
        </r>
      </text>
    </comment>
    <comment ref="AL12" authorId="0">
      <text>
        <r>
          <rPr>
            <b/>
            <sz val="9"/>
            <color indexed="81"/>
            <rFont val="Tahoma"/>
            <family val="2"/>
          </rPr>
          <t>Hadley:</t>
        </r>
        <r>
          <rPr>
            <sz val="9"/>
            <color indexed="81"/>
            <rFont val="Tahoma"/>
            <family val="2"/>
          </rPr>
          <t xml:space="preserve">
Page 4-4 of Report: "It was assumed…that the EOL system would not be implemented on sustations that delivered less than 40,000 MHhr/yr."</t>
        </r>
      </text>
    </comment>
    <comment ref="AN12" authorId="0">
      <text>
        <r>
          <rPr>
            <b/>
            <sz val="9"/>
            <color indexed="81"/>
            <rFont val="Tahoma"/>
            <family val="2"/>
          </rPr>
          <t>Hadley:</t>
        </r>
        <r>
          <rPr>
            <sz val="9"/>
            <color indexed="81"/>
            <rFont val="Tahoma"/>
            <family val="2"/>
          </rPr>
          <t xml:space="preserve">
Page 4-4 of Report: "It was assumed…that the EOL system would not be implemented on sustations that delivered less than 40,000 MHhr/yr."</t>
        </r>
      </text>
    </comment>
    <comment ref="AR12" authorId="0">
      <text>
        <r>
          <rPr>
            <b/>
            <sz val="9"/>
            <color indexed="81"/>
            <rFont val="Tahoma"/>
            <family val="2"/>
          </rPr>
          <t>Hadley:</t>
        </r>
        <r>
          <rPr>
            <sz val="9"/>
            <color indexed="81"/>
            <rFont val="Tahoma"/>
            <family val="2"/>
          </rPr>
          <t xml:space="preserve">
Page 4-4 of Report: "It was assumed…that the EOL system would not be implemented on sustations that delivered less than 40,000 MHhr/yr."</t>
        </r>
      </text>
    </comment>
    <comment ref="AT12" authorId="0">
      <text>
        <r>
          <rPr>
            <b/>
            <sz val="9"/>
            <color indexed="81"/>
            <rFont val="Tahoma"/>
            <family val="2"/>
          </rPr>
          <t>Hadley:</t>
        </r>
        <r>
          <rPr>
            <sz val="9"/>
            <color indexed="81"/>
            <rFont val="Tahoma"/>
            <family val="2"/>
          </rPr>
          <t xml:space="preserve">
Page 4-4 of Report: "It was assumed…that the EOL system would not be implemented on sustations that delivered less than 40,000 MHhr/yr."</t>
        </r>
      </text>
    </comment>
    <comment ref="AC15" authorId="0">
      <text>
        <r>
          <rPr>
            <b/>
            <sz val="9"/>
            <color indexed="81"/>
            <rFont val="Tahoma"/>
            <family val="2"/>
          </rPr>
          <t>Hadley:</t>
        </r>
        <r>
          <rPr>
            <sz val="9"/>
            <color indexed="81"/>
            <rFont val="Tahoma"/>
            <family val="2"/>
          </rPr>
          <t xml:space="preserve">
Previously assumed at 2.50.  Changed to 0 based on conversation with Wyatt Pierce (1/30/2015) that PacifiCorp already runs its systems with a base voltage of 121 and with LDC, so there's nothing more to do here.</t>
        </r>
      </text>
    </comment>
    <comment ref="AD15" authorId="0">
      <text>
        <r>
          <rPr>
            <b/>
            <sz val="9"/>
            <color indexed="81"/>
            <rFont val="Tahoma"/>
            <family val="2"/>
          </rPr>
          <t>Hadley:</t>
        </r>
        <r>
          <rPr>
            <sz val="9"/>
            <color indexed="81"/>
            <rFont val="Tahoma"/>
            <family val="2"/>
          </rPr>
          <t xml:space="preserve">
Previoulsy assumed as 0.77.  Based on conversations with Wyatt Pierce on 1/30/2015 that through its "Tier 1" and "Tier 2" studies, the circuits that were expected to be the best candidates for CVR delivered a measured CVRf of 0.48.</t>
        </r>
      </text>
    </comment>
    <comment ref="AG15" authorId="0">
      <text>
        <r>
          <rPr>
            <b/>
            <sz val="9"/>
            <color indexed="81"/>
            <rFont val="Tahoma"/>
            <family val="2"/>
          </rPr>
          <t>Hadley:</t>
        </r>
        <r>
          <rPr>
            <sz val="9"/>
            <color indexed="81"/>
            <rFont val="Tahoma"/>
            <family val="2"/>
          </rPr>
          <t xml:space="preserve">
No measure, no cost.</t>
        </r>
      </text>
    </comment>
    <comment ref="AH15" authorId="0">
      <text>
        <r>
          <rPr>
            <b/>
            <sz val="9"/>
            <color indexed="81"/>
            <rFont val="Tahoma"/>
            <family val="2"/>
          </rPr>
          <t>Hadley:</t>
        </r>
        <r>
          <rPr>
            <sz val="9"/>
            <color indexed="81"/>
            <rFont val="Tahoma"/>
            <family val="2"/>
          </rPr>
          <t xml:space="preserve">
Costs are cumulative, so need to remove the cost of the measure no longer included.</t>
        </r>
      </text>
    </comment>
    <comment ref="AM15" authorId="0">
      <text>
        <r>
          <rPr>
            <b/>
            <sz val="9"/>
            <color indexed="81"/>
            <rFont val="Tahoma"/>
            <family val="2"/>
          </rPr>
          <t>Hadley:</t>
        </r>
        <r>
          <rPr>
            <sz val="9"/>
            <color indexed="81"/>
            <rFont val="Tahoma"/>
            <family val="2"/>
          </rPr>
          <t xml:space="preserve">
Costs are cumulative, so need to remove the cost of the measure no longer included.</t>
        </r>
      </text>
    </comment>
    <comment ref="AN15" authorId="0">
      <text>
        <r>
          <rPr>
            <b/>
            <sz val="9"/>
            <color indexed="81"/>
            <rFont val="Tahoma"/>
            <family val="2"/>
          </rPr>
          <t>Hadley:</t>
        </r>
        <r>
          <rPr>
            <sz val="9"/>
            <color indexed="81"/>
            <rFont val="Tahoma"/>
            <family val="2"/>
          </rPr>
          <t xml:space="preserve">
Costs are cumulative, so need to remove the cost of the measure no longer included.</t>
        </r>
      </text>
    </comment>
    <comment ref="AS15" authorId="0">
      <text>
        <r>
          <rPr>
            <b/>
            <sz val="9"/>
            <color indexed="81"/>
            <rFont val="Tahoma"/>
            <family val="2"/>
          </rPr>
          <t>Hadley:</t>
        </r>
        <r>
          <rPr>
            <sz val="9"/>
            <color indexed="81"/>
            <rFont val="Tahoma"/>
            <family val="2"/>
          </rPr>
          <t xml:space="preserve">
Costs are cumulative, so need to remove the cost of the measure no longer included.</t>
        </r>
      </text>
    </comment>
    <comment ref="AT15" authorId="0">
      <text>
        <r>
          <rPr>
            <b/>
            <sz val="9"/>
            <color indexed="81"/>
            <rFont val="Tahoma"/>
            <family val="2"/>
          </rPr>
          <t>Hadley:</t>
        </r>
        <r>
          <rPr>
            <sz val="9"/>
            <color indexed="81"/>
            <rFont val="Tahoma"/>
            <family val="2"/>
          </rPr>
          <t xml:space="preserve">
Costs are cumulative, so need to remove the cost of the measure no longer included.</t>
        </r>
      </text>
    </comment>
    <comment ref="AD17" authorId="0">
      <text>
        <r>
          <rPr>
            <b/>
            <sz val="9"/>
            <color indexed="81"/>
            <rFont val="Tahoma"/>
            <family val="2"/>
          </rPr>
          <t>Hadley:</t>
        </r>
        <r>
          <rPr>
            <sz val="9"/>
            <color indexed="81"/>
            <rFont val="Tahoma"/>
            <family val="2"/>
          </rPr>
          <t xml:space="preserve">
Page 4-3 of report: "Adjustments were made to utilities that already practice forms of
distribution efficiency and voltage reduction techniques, such as Grant County PUD,
Snohomish PUD, Clark, and Idaho Power."</t>
        </r>
      </text>
    </comment>
    <comment ref="C18" authorId="0">
      <text>
        <r>
          <rPr>
            <b/>
            <sz val="9"/>
            <color indexed="81"/>
            <rFont val="Tahoma"/>
            <family val="2"/>
          </rPr>
          <t>Hadley:</t>
        </r>
        <r>
          <rPr>
            <sz val="9"/>
            <color indexed="81"/>
            <rFont val="Tahoma"/>
            <family val="2"/>
          </rPr>
          <t xml:space="preserve">
"the larger utilities that do not have voltage regulation on the low side of
the power transformers were analyzed separately because of the higher capital
investment required to install voltage regulation."  Page 4-4 of Report.</t>
        </r>
      </text>
    </comment>
    <comment ref="AU18" authorId="0">
      <text>
        <r>
          <rPr>
            <b/>
            <sz val="9"/>
            <color indexed="81"/>
            <rFont val="Tahoma"/>
            <family val="2"/>
          </rPr>
          <t>Hadley:</t>
        </r>
        <r>
          <rPr>
            <sz val="9"/>
            <color indexed="81"/>
            <rFont val="Tahoma"/>
            <family val="2"/>
          </rPr>
          <t xml:space="preserve">
Based on 1/30/2015 conversation with KC Fagen that after metering its system, SCL found it's already running its system at the ideal (low) voltage.</t>
        </r>
      </text>
    </comment>
    <comment ref="BE18" authorId="0">
      <text>
        <r>
          <rPr>
            <b/>
            <sz val="9"/>
            <color indexed="81"/>
            <rFont val="Tahoma"/>
            <family val="2"/>
          </rPr>
          <t>Hadley:</t>
        </r>
        <r>
          <rPr>
            <sz val="9"/>
            <color indexed="81"/>
            <rFont val="Tahoma"/>
            <family val="2"/>
          </rPr>
          <t xml:space="preserve">
Costs zeroed to match savings.</t>
        </r>
      </text>
    </comment>
    <comment ref="BF18" authorId="0">
      <text>
        <r>
          <rPr>
            <b/>
            <sz val="9"/>
            <color indexed="81"/>
            <rFont val="Tahoma"/>
            <family val="2"/>
          </rPr>
          <t>Hadley:</t>
        </r>
        <r>
          <rPr>
            <sz val="9"/>
            <color indexed="81"/>
            <rFont val="Tahoma"/>
            <family val="2"/>
          </rPr>
          <t xml:space="preserve">
Now only measure available at SCL is this one.</t>
        </r>
      </text>
    </comment>
    <comment ref="AC20" authorId="0">
      <text>
        <r>
          <rPr>
            <b/>
            <sz val="9"/>
            <color indexed="81"/>
            <rFont val="Tahoma"/>
            <family val="2"/>
          </rPr>
          <t>Hadley:</t>
        </r>
        <r>
          <rPr>
            <sz val="9"/>
            <color indexed="81"/>
            <rFont val="Tahoma"/>
            <family val="2"/>
          </rPr>
          <t xml:space="preserve">
Page 4-3 of report: "Adjustments were made to utilities that already practice forms of
distribution efficiency and voltage reduction techniques, such as Grant County PUD,
Snohomish PUD, Clark, and Idaho Power."</t>
        </r>
      </text>
    </comment>
    <comment ref="AC22" authorId="0">
      <text>
        <r>
          <rPr>
            <b/>
            <sz val="9"/>
            <color indexed="81"/>
            <rFont val="Tahoma"/>
            <family val="2"/>
          </rPr>
          <t>Hadley:</t>
        </r>
        <r>
          <rPr>
            <sz val="9"/>
            <color indexed="81"/>
            <rFont val="Tahoma"/>
            <family val="2"/>
          </rPr>
          <t xml:space="preserve">
Changed to 0 based on conversation with Wyatt Pierce (1/30/2015) that PacifiCorp already runs its systems with a base voltage of 121 and with LDC, so there's nothing more to do here.</t>
        </r>
      </text>
    </comment>
    <comment ref="AD22" authorId="0">
      <text>
        <r>
          <rPr>
            <b/>
            <sz val="9"/>
            <color indexed="81"/>
            <rFont val="Tahoma"/>
            <family val="2"/>
          </rPr>
          <t>Hadley:</t>
        </r>
        <r>
          <rPr>
            <sz val="9"/>
            <color indexed="81"/>
            <rFont val="Tahoma"/>
            <family val="2"/>
          </rPr>
          <t xml:space="preserve">
Previoulsy assumed as 0.77.  Based on conversations with Wyatt Pierce on 1/30/2015 that through its "Tier 1" and "Tier 2" studies, the circuits that were expected to be the best candidates for CVR delivered a measured CVRf of 0.48.</t>
        </r>
      </text>
    </comment>
    <comment ref="AG22" authorId="0">
      <text>
        <r>
          <rPr>
            <b/>
            <sz val="9"/>
            <color indexed="81"/>
            <rFont val="Tahoma"/>
            <family val="2"/>
          </rPr>
          <t>Hadley:</t>
        </r>
        <r>
          <rPr>
            <sz val="9"/>
            <color indexed="81"/>
            <rFont val="Tahoma"/>
            <family val="2"/>
          </rPr>
          <t xml:space="preserve">
No measure, no cost.</t>
        </r>
      </text>
    </comment>
    <comment ref="AH22" authorId="0">
      <text>
        <r>
          <rPr>
            <b/>
            <sz val="9"/>
            <color indexed="81"/>
            <rFont val="Tahoma"/>
            <family val="2"/>
          </rPr>
          <t>Hadley:</t>
        </r>
        <r>
          <rPr>
            <sz val="9"/>
            <color indexed="81"/>
            <rFont val="Tahoma"/>
            <family val="2"/>
          </rPr>
          <t xml:space="preserve">
Costs are cumulative, so need to remove the cost of the measure no longer included.</t>
        </r>
      </text>
    </comment>
    <comment ref="AM22" authorId="0">
      <text>
        <r>
          <rPr>
            <b/>
            <sz val="9"/>
            <color indexed="81"/>
            <rFont val="Tahoma"/>
            <family val="2"/>
          </rPr>
          <t>Hadley:</t>
        </r>
        <r>
          <rPr>
            <sz val="9"/>
            <color indexed="81"/>
            <rFont val="Tahoma"/>
            <family val="2"/>
          </rPr>
          <t xml:space="preserve">
Costs are cumulative, so need to remove the cost of the measure no longer included.</t>
        </r>
      </text>
    </comment>
    <comment ref="AN22" authorId="0">
      <text>
        <r>
          <rPr>
            <b/>
            <sz val="9"/>
            <color indexed="81"/>
            <rFont val="Tahoma"/>
            <family val="2"/>
          </rPr>
          <t>Hadley:</t>
        </r>
        <r>
          <rPr>
            <sz val="9"/>
            <color indexed="81"/>
            <rFont val="Tahoma"/>
            <family val="2"/>
          </rPr>
          <t xml:space="preserve">
Costs are cumulative, so need to remove the cost of the measure no longer included.</t>
        </r>
      </text>
    </comment>
    <comment ref="AS22" authorId="0">
      <text>
        <r>
          <rPr>
            <b/>
            <sz val="9"/>
            <color indexed="81"/>
            <rFont val="Tahoma"/>
            <family val="2"/>
          </rPr>
          <t>Hadley:</t>
        </r>
        <r>
          <rPr>
            <sz val="9"/>
            <color indexed="81"/>
            <rFont val="Tahoma"/>
            <family val="2"/>
          </rPr>
          <t xml:space="preserve">
Costs are cumulative, so need to remove the cost of the measure no longer included.</t>
        </r>
      </text>
    </comment>
    <comment ref="AT22" authorId="0">
      <text>
        <r>
          <rPr>
            <b/>
            <sz val="9"/>
            <color indexed="81"/>
            <rFont val="Tahoma"/>
            <family val="2"/>
          </rPr>
          <t>Hadley:</t>
        </r>
        <r>
          <rPr>
            <sz val="9"/>
            <color indexed="81"/>
            <rFont val="Tahoma"/>
            <family val="2"/>
          </rPr>
          <t xml:space="preserve">
Costs are cumulative, so need to remove the cost of the measure no longer included.</t>
        </r>
      </text>
    </comment>
    <comment ref="AC24" authorId="0">
      <text>
        <r>
          <rPr>
            <b/>
            <sz val="9"/>
            <color indexed="81"/>
            <rFont val="Tahoma"/>
            <family val="2"/>
          </rPr>
          <t>Hadley:</t>
        </r>
        <r>
          <rPr>
            <sz val="9"/>
            <color indexed="81"/>
            <rFont val="Tahoma"/>
            <family val="2"/>
          </rPr>
          <t xml:space="preserve">
Page 4-3 of report: "Adjustments were made to utilities that already practice forms of
distribution efficiency and voltage reduction techniques, such as Grant County PUD,
Snohomish PUD, Clark, and Idaho Power."</t>
        </r>
      </text>
    </comment>
    <comment ref="AD24" authorId="0">
      <text>
        <r>
          <rPr>
            <b/>
            <sz val="9"/>
            <color indexed="81"/>
            <rFont val="Tahoma"/>
            <family val="2"/>
          </rPr>
          <t>Hadley:</t>
        </r>
        <r>
          <rPr>
            <sz val="9"/>
            <color indexed="81"/>
            <rFont val="Tahoma"/>
            <family val="2"/>
          </rPr>
          <t xml:space="preserve">
Page 4-3 of report: "Adjustments were made to utilities that already practice forms of
distribution efficiency and voltage reduction techniques, such as Grant County PUD,
Snohomish PUD, Clark, and Idaho Power."</t>
        </r>
      </text>
    </comment>
    <comment ref="AC25" authorId="0">
      <text>
        <r>
          <rPr>
            <b/>
            <sz val="9"/>
            <color indexed="81"/>
            <rFont val="Tahoma"/>
            <family val="2"/>
          </rPr>
          <t>Hadley:</t>
        </r>
        <r>
          <rPr>
            <sz val="9"/>
            <color indexed="81"/>
            <rFont val="Tahoma"/>
            <family val="2"/>
          </rPr>
          <t xml:space="preserve">
Page 4-3 of report: "Adjustments were made to utilities that already practice forms of
distribution efficiency and voltage reduction techniques, such as Grant County PUD,
Snohomish PUD, Clark, and Idaho Power."</t>
        </r>
      </text>
    </comment>
    <comment ref="AR148" authorId="0">
      <text>
        <r>
          <rPr>
            <b/>
            <sz val="9"/>
            <color indexed="81"/>
            <rFont val="Tahoma"/>
            <family val="2"/>
          </rPr>
          <t>Hadley:</t>
        </r>
        <r>
          <rPr>
            <sz val="9"/>
            <color indexed="81"/>
            <rFont val="Tahoma"/>
            <family val="2"/>
          </rPr>
          <t xml:space="preserve">
Since all utilities aren't assumed to use EOL, we need to calculate the incremental savings for EOL as the difference between Manual and EOL for only the utilities assumed to be able to apply EOL.</t>
        </r>
      </text>
    </comment>
  </commentList>
</comments>
</file>

<file path=xl/comments4.xml><?xml version="1.0" encoding="utf-8"?>
<comments xmlns="http://schemas.openxmlformats.org/spreadsheetml/2006/main">
  <authors>
    <author>Hadley</author>
  </authors>
  <commentList>
    <comment ref="C4" authorId="0">
      <text>
        <r>
          <rPr>
            <b/>
            <sz val="9"/>
            <color indexed="81"/>
            <rFont val="Tahoma"/>
            <family val="2"/>
          </rPr>
          <t>Hadley:</t>
        </r>
        <r>
          <rPr>
            <sz val="9"/>
            <color indexed="81"/>
            <rFont val="Tahoma"/>
            <family val="2"/>
          </rPr>
          <t xml:space="preserve">
prior to adjusting for rooftop generation, which is about 225-250 MWA</t>
        </r>
      </text>
    </comment>
  </commentList>
</comments>
</file>

<file path=xl/comments5.xml><?xml version="1.0" encoding="utf-8"?>
<comments xmlns="http://schemas.openxmlformats.org/spreadsheetml/2006/main">
  <authors>
    <author>Kevin Smit</author>
  </authors>
  <commentList>
    <comment ref="A30" authorId="0">
      <text>
        <r>
          <rPr>
            <b/>
            <sz val="9"/>
            <color indexed="81"/>
            <rFont val="Tahoma"/>
            <family val="2"/>
          </rPr>
          <t>Kevin Smit:</t>
        </r>
        <r>
          <rPr>
            <sz val="9"/>
            <color indexed="81"/>
            <rFont val="Tahoma"/>
            <family val="2"/>
          </rPr>
          <t xml:space="preserve">
Red are typed in numbers, gray cells are offset.</t>
        </r>
      </text>
    </comment>
  </commentList>
</comments>
</file>

<file path=xl/sharedStrings.xml><?xml version="1.0" encoding="utf-8"?>
<sst xmlns="http://schemas.openxmlformats.org/spreadsheetml/2006/main" count="3290" uniqueCount="932">
  <si>
    <t>State</t>
  </si>
  <si>
    <t>WA</t>
  </si>
  <si>
    <t>Francis and Cedar</t>
  </si>
  <si>
    <t>ID</t>
  </si>
  <si>
    <t>MT</t>
  </si>
  <si>
    <t>OR</t>
  </si>
  <si>
    <t>Canby Utility Board</t>
  </si>
  <si>
    <t>Surprise Valley Electrification Corp.</t>
  </si>
  <si>
    <t>RANK - Residential Customers</t>
  </si>
  <si>
    <t>UTILITY_ID</t>
  </si>
  <si>
    <t>UTILITY_NAME</t>
  </si>
  <si>
    <t>Owner Type</t>
  </si>
  <si>
    <t>Residential Revenue (000)</t>
  </si>
  <si>
    <t>Residential Sales (MWh)</t>
  </si>
  <si>
    <t>Residential Consumers (n)</t>
  </si>
  <si>
    <t>Average Use/Customer</t>
  </si>
  <si>
    <t>Heating Zone</t>
  </si>
  <si>
    <t>Cooling Zone</t>
  </si>
  <si>
    <t>Solar Zone</t>
  </si>
  <si>
    <t>Puget Sound Energy Inc</t>
  </si>
  <si>
    <t>I</t>
  </si>
  <si>
    <t>Portland General Electric Company</t>
  </si>
  <si>
    <t>PacifiCorp</t>
  </si>
  <si>
    <t>Idaho Power Co</t>
  </si>
  <si>
    <t>ID,OR</t>
  </si>
  <si>
    <t>Avista Corp</t>
  </si>
  <si>
    <t>WA, ID</t>
  </si>
  <si>
    <t>WA,CA,ID</t>
  </si>
  <si>
    <t>WMT</t>
  </si>
  <si>
    <t>M</t>
  </si>
  <si>
    <t>City of Springfield</t>
  </si>
  <si>
    <t>City of Richland</t>
  </si>
  <si>
    <t>City of Ashland</t>
  </si>
  <si>
    <t>City of Centralia</t>
  </si>
  <si>
    <t>City of Forest Grove</t>
  </si>
  <si>
    <t>City of Ellensburg</t>
  </si>
  <si>
    <t>City of Hermiston</t>
  </si>
  <si>
    <t>City of Cheney</t>
  </si>
  <si>
    <t>City of Burley</t>
  </si>
  <si>
    <t>City of Milton-Freewater</t>
  </si>
  <si>
    <t>City of Monmouth</t>
  </si>
  <si>
    <t>City of Milton</t>
  </si>
  <si>
    <t>City of Bandon</t>
  </si>
  <si>
    <t>Town of Steilacoom</t>
  </si>
  <si>
    <t>City of Weiser</t>
  </si>
  <si>
    <t>City of Blaine</t>
  </si>
  <si>
    <t>City of Bonners Ferry</t>
  </si>
  <si>
    <t>Town of Eatonville</t>
  </si>
  <si>
    <t>City of Soda Springs</t>
  </si>
  <si>
    <t>City of Chewelah</t>
  </si>
  <si>
    <t>City of McCleary</t>
  </si>
  <si>
    <t>City of Cashmere</t>
  </si>
  <si>
    <t>City of Troy</t>
  </si>
  <si>
    <t>City of Plummer</t>
  </si>
  <si>
    <t>City of Coulee Dam</t>
  </si>
  <si>
    <t>City of Drain</t>
  </si>
  <si>
    <t>City of Cascade Locks</t>
  </si>
  <si>
    <t>City of Sumas</t>
  </si>
  <si>
    <t>Town of Ruston</t>
  </si>
  <si>
    <t>City of Albion</t>
  </si>
  <si>
    <t>City of Declo</t>
  </si>
  <si>
    <t>City of Minidoka</t>
  </si>
  <si>
    <t>P</t>
  </si>
  <si>
    <t>PUD No 1 of Clark County</t>
  </si>
  <si>
    <t>PUD No 1 of Cowlitz County</t>
  </si>
  <si>
    <t>PUD No 1 of Benton County</t>
  </si>
  <si>
    <t>PUD No 1 of Grays Harbor Cnty</t>
  </si>
  <si>
    <t>PUD No 1 of Chelan County</t>
  </si>
  <si>
    <t>PUD No 2 of Grant County</t>
  </si>
  <si>
    <t>Central Lincoln People's Ut Dt</t>
  </si>
  <si>
    <t>PUD No 3 of Mason County</t>
  </si>
  <si>
    <t>PUD No 1 of Clallam County</t>
  </si>
  <si>
    <t>PUD No 1 of Lewis County</t>
  </si>
  <si>
    <t>PUD No 1 of Franklin County</t>
  </si>
  <si>
    <t>Tillamook Peoples Utility Dist</t>
  </si>
  <si>
    <t>Emerald People's Utility Dist</t>
  </si>
  <si>
    <t>PUD No 1 of Okanogan County</t>
  </si>
  <si>
    <t>Columbia River Peoples Ut Dist</t>
  </si>
  <si>
    <t>PUD No 1 of Douglas County</t>
  </si>
  <si>
    <t>PUD No 1 of Klickitat County</t>
  </si>
  <si>
    <t>Northern Wasco County PUD</t>
  </si>
  <si>
    <t>Vera Irrigation District #15</t>
  </si>
  <si>
    <t>PUD No 1 of Pend Oreille Cnty</t>
  </si>
  <si>
    <t>PUD No 1 of Mason County</t>
  </si>
  <si>
    <t>Clatskanie Peoples Util Dist</t>
  </si>
  <si>
    <t>PUD No 1 of Kittitas County</t>
  </si>
  <si>
    <t>PUD No 1 of Ferry County</t>
  </si>
  <si>
    <t>PUD No 1 Wahkiakum County</t>
  </si>
  <si>
    <t>PUD No 1 of Whatcom County</t>
  </si>
  <si>
    <t>NA</t>
  </si>
  <si>
    <t>Flathead Electric Coop Inc</t>
  </si>
  <si>
    <t>C</t>
  </si>
  <si>
    <t>Inland Power &amp; Light Company</t>
  </si>
  <si>
    <t>WA,ID</t>
  </si>
  <si>
    <t>Peninsula Light Company</t>
  </si>
  <si>
    <t>Central Electric Coop Inc</t>
  </si>
  <si>
    <t>Oregon Trail El Cons Coop, Inc</t>
  </si>
  <si>
    <t>Kootenai Electric Coop Inc</t>
  </si>
  <si>
    <t>ID,WA</t>
  </si>
  <si>
    <t>Consumers Power, Inc</t>
  </si>
  <si>
    <t>Lower Valley Energy Inc</t>
  </si>
  <si>
    <t>WY,ID</t>
  </si>
  <si>
    <t>Northern Lights, Inc</t>
  </si>
  <si>
    <t>ID,MT,WA</t>
  </si>
  <si>
    <t>Midstate Electric Coop, Inc</t>
  </si>
  <si>
    <t>Coos-Curry Electric Coop, Inc</t>
  </si>
  <si>
    <t>Elmhurst Mutual Power &amp; Light Co</t>
  </si>
  <si>
    <t>Missoula Electric Coop, Inc</t>
  </si>
  <si>
    <t>ID,MT</t>
  </si>
  <si>
    <t>Lane Electric Coop Inc</t>
  </si>
  <si>
    <t>Benton Rural Electric Assn</t>
  </si>
  <si>
    <t>Orcas Power &amp; Light Coop</t>
  </si>
  <si>
    <t>Fall River Rural Elec Coop Inc</t>
  </si>
  <si>
    <t>ID,MT,WY</t>
  </si>
  <si>
    <t>Umatilla Electric Coop Assn</t>
  </si>
  <si>
    <t>Clearwater Power Company</t>
  </si>
  <si>
    <t>ID,OR,WA</t>
  </si>
  <si>
    <t>Ravalli County Elec Coop, Inc</t>
  </si>
  <si>
    <t>Douglas Electric Coop, Inc</t>
  </si>
  <si>
    <t>Modern Electric Water Company</t>
  </si>
  <si>
    <t>Lakeview Light &amp; Power</t>
  </si>
  <si>
    <t>Vigilante Electric Coop, Inc</t>
  </si>
  <si>
    <t>MT,ID</t>
  </si>
  <si>
    <t>Glacier Electric Coop, Inc</t>
  </si>
  <si>
    <t>Big Bend Electric Coop, Inc</t>
  </si>
  <si>
    <t>Wells Rural Electric Co</t>
  </si>
  <si>
    <t>NV</t>
  </si>
  <si>
    <t>Lincoln Electric Coop, Inc</t>
  </si>
  <si>
    <t>Tanner Electric Coop</t>
  </si>
  <si>
    <t>West Oregon Electric Coop Inc</t>
  </si>
  <si>
    <t>United Electric Co-op, Inc</t>
  </si>
  <si>
    <t>Parkland Light &amp; Water Company</t>
  </si>
  <si>
    <t>Ohop Mutual Light Company, Inc</t>
  </si>
  <si>
    <t>CA,NV,OR</t>
  </si>
  <si>
    <t>Wasco Electric Coop, Inc</t>
  </si>
  <si>
    <t>Blachly-Lane Cnty Coop El Assn</t>
  </si>
  <si>
    <t>Hood River Electric Coop</t>
  </si>
  <si>
    <t>Idaho Cnty L&amp;P Coop Assn, Inc</t>
  </si>
  <si>
    <t>Columbia Basin Elec Cooperative, Inc</t>
  </si>
  <si>
    <t>Raft River Rural Elec Coop Inc</t>
  </si>
  <si>
    <t>ID,NV</t>
  </si>
  <si>
    <t>Okanogan County Elec Coop, Inc</t>
  </si>
  <si>
    <t>Columbia Rural Elec Assn, Inc</t>
  </si>
  <si>
    <t>OR,WA</t>
  </si>
  <si>
    <t>Salmon River Electric Coop Inc</t>
  </si>
  <si>
    <t>Lost River Electric Coop Inc</t>
  </si>
  <si>
    <t>Harney Electric Coop, Inc</t>
  </si>
  <si>
    <t>OR,NV</t>
  </si>
  <si>
    <t>Nespelem Valley Elec Coop, Inc</t>
  </si>
  <si>
    <t>Columbia Power Coop Assn Inc</t>
  </si>
  <si>
    <t>South Side Electric, Inc</t>
  </si>
  <si>
    <t>East End Mutual Elec Co Ltd</t>
  </si>
  <si>
    <t>Alder Mutual Light Co, Inc</t>
  </si>
  <si>
    <t>Farmers Electric Company, Ltd</t>
  </si>
  <si>
    <t>F</t>
  </si>
  <si>
    <t>Commercial
Consumers</t>
  </si>
  <si>
    <t>Industrial/Other
Consumers</t>
  </si>
  <si>
    <t>2005 Retail Sales, Revenues, Customer Counts by Class and Climate Zone Assignments</t>
  </si>
  <si>
    <t>Annual Energy MWh</t>
  </si>
  <si>
    <t>=     Estimated</t>
  </si>
  <si>
    <t>Number of Substations</t>
  </si>
  <si>
    <t>MWhr</t>
  </si>
  <si>
    <t>aMW</t>
  </si>
  <si>
    <t>Commercial
Energy MWh</t>
  </si>
  <si>
    <t>Industrial/Other
MWh</t>
  </si>
  <si>
    <t>Regional</t>
  </si>
  <si>
    <t>Region MWhr</t>
  </si>
  <si>
    <t>Region aMW</t>
  </si>
  <si>
    <t>From NWC</t>
  </si>
  <si>
    <t>% Sub Res/Comm</t>
  </si>
  <si>
    <t>No. Subs Res/Comm</t>
  </si>
  <si>
    <t>Industrial Subs</t>
  </si>
  <si>
    <t>Mils</t>
  </si>
  <si>
    <t>% Res Load</t>
  </si>
  <si>
    <t>% Commercial</t>
  </si>
  <si>
    <t>% Industrial/other</t>
  </si>
  <si>
    <t xml:space="preserve">ECM1 %dV </t>
  </si>
  <si>
    <t>Adjustment Factors</t>
  </si>
  <si>
    <t>ECM1
CVRf</t>
  </si>
  <si>
    <t>ECM2
CVRf</t>
  </si>
  <si>
    <t>ECM1  EOL MWHr Saved</t>
  </si>
  <si>
    <t>ECM2  EOL MWHr Saved</t>
  </si>
  <si>
    <t>Cost/Customer</t>
  </si>
  <si>
    <t>ECM1 Manual LDC MWHr Saved</t>
  </si>
  <si>
    <t>ECM1 Cost Manual LDC</t>
  </si>
  <si>
    <t xml:space="preserve">ECM2 %dV </t>
  </si>
  <si>
    <t xml:space="preserve">ECM3 %dV </t>
  </si>
  <si>
    <t>ECM3
CVRf</t>
  </si>
  <si>
    <t>Inflation</t>
  </si>
  <si>
    <t>Discount</t>
  </si>
  <si>
    <t>Energey Growth</t>
  </si>
  <si>
    <t>Load Growth</t>
  </si>
  <si>
    <t>Energy Cost $/MW</t>
  </si>
  <si>
    <t>Benefit/Cost Factor</t>
  </si>
  <si>
    <t>ECM2 Cost Manual LDC</t>
  </si>
  <si>
    <t>ECM3  EOL MWHr Saved</t>
  </si>
  <si>
    <t>ECM3 Cost Manual LDC</t>
  </si>
  <si>
    <t>ECM1 Cost EOL</t>
  </si>
  <si>
    <t>ECM3 Cost EOL</t>
  </si>
  <si>
    <t>ECM3 Manual LDC MWHr Saved</t>
  </si>
  <si>
    <t>ECM2 Manual LDC MWHr Saved</t>
  </si>
  <si>
    <t>Includes Secondary</t>
  </si>
  <si>
    <t>% Residental Customer Secondary Work</t>
  </si>
  <si>
    <t>adjustment factor</t>
  </si>
  <si>
    <t>Option</t>
  </si>
  <si>
    <t>Total</t>
  </si>
  <si>
    <t>Average dV</t>
  </si>
  <si>
    <t>Average CVRf</t>
  </si>
  <si>
    <t>1 LDC</t>
  </si>
  <si>
    <t>2 LDC</t>
  </si>
  <si>
    <t>3 LDC</t>
  </si>
  <si>
    <t>Saved</t>
  </si>
  <si>
    <t>% Saving</t>
  </si>
  <si>
    <t>SCL LDC</t>
  </si>
  <si>
    <t>aMW Saved</t>
  </si>
  <si>
    <t>3 LDC + SCL</t>
  </si>
  <si>
    <t>Ben/Cost</t>
  </si>
  <si>
    <t>Pilots</t>
  </si>
  <si>
    <t>Annual Peak kW Savings 1</t>
  </si>
  <si>
    <t>Annual kWhr Savings 2</t>
  </si>
  <si>
    <t>15 Year Peak kW Savings 3</t>
  </si>
  <si>
    <t>15 Year kWhr Savings 3</t>
  </si>
  <si>
    <t>Benefit/</t>
  </si>
  <si>
    <t>Cost Ratio 3</t>
  </si>
  <si>
    <t>Cost per MWh (Mils) 3</t>
  </si>
  <si>
    <t>Union Ridge</t>
  </si>
  <si>
    <t xml:space="preserve">Waterville </t>
  </si>
  <si>
    <t>Boise Bank T133</t>
  </si>
  <si>
    <t>Boise Bank T134</t>
  </si>
  <si>
    <t>Boise Bank T135</t>
  </si>
  <si>
    <t>Union Hill</t>
  </si>
  <si>
    <t>Hazelwood</t>
  </si>
  <si>
    <t>Murphy's Corner</t>
  </si>
  <si>
    <t>Notes:</t>
  </si>
  <si>
    <t>1. Average daily hourly peak kW during OFF mode - average daily hourly peak kW during ON mode multiplied by 365.</t>
  </si>
  <si>
    <t>2. Average daily kWhr during OFF mode - average daily kWhr during ON mode multiplied by 8759.</t>
  </si>
  <si>
    <t>3. 15 year Net Present Value</t>
  </si>
  <si>
    <t>Weighted Averages dV &amp; CVRf</t>
  </si>
  <si>
    <t>1 EOL</t>
  </si>
  <si>
    <t>2 EOL</t>
  </si>
  <si>
    <t>3 EOL</t>
  </si>
  <si>
    <t>3 EOL + SCL</t>
  </si>
  <si>
    <t>SCL EOL</t>
  </si>
  <si>
    <t>ECM2 Cost EOL</t>
  </si>
  <si>
    <t>Table 4-4</t>
  </si>
  <si>
    <t>Table 4-5</t>
  </si>
  <si>
    <t>Table 4-6</t>
  </si>
  <si>
    <t>ECM1: Lowers the distribution voltage level only using either LDC or EOL voltage control methods. Distribution Efficiency Categories A and E.</t>
  </si>
  <si>
    <t xml:space="preserve">  A. Lower the system voltage using LDC without system improvements.</t>
  </si>
  <si>
    <t xml:space="preserve">  E. Lower the system voltage using a voltage feed back from the voltage meters out on the distribution feeders.</t>
  </si>
  <si>
    <t>ECM2: Includes Option 1 and adds system improvements including var management, phase load balancing, and feeder load balancing using either LDC or EOL voltage control methods. Distribution Efficiency Categories B, D, and F.</t>
  </si>
  <si>
    <t xml:space="preserve">  B. Lower the system voltage using LDC with system improvements.
  D. Lower the system voltage using SCADA control.
</t>
  </si>
  <si>
    <t xml:space="preserve">  F. Lower the system voltage using a voltage feed back from the voltage meters out on the distribution feeders with system improvements.</t>
  </si>
  <si>
    <t>ECM3: Includes Option 2 and also adds voltage regulators on 1 of every
4 substations and select reconductoring on 1 of every 2 substations.
Distribution Efficiency Categories B, C, D, and F.</t>
  </si>
  <si>
    <t xml:space="preserve">  C. Lower the system voltage using LDC and mid-line voltage regulators.</t>
  </si>
  <si>
    <t>aMW (busbar)</t>
  </si>
  <si>
    <t>Utility System Efficiency Achievements 2010 through 2013</t>
  </si>
  <si>
    <t>Source: Navigant. "Long-Term Monitoring and Tracking Distribution Efficiency." For NEEA. Report #E14-289. June 12, 2014.</t>
  </si>
  <si>
    <t>Page 2</t>
  </si>
  <si>
    <t>The tools and techniques that are available to utilities to assess real or potential savings from implementing DE have evolved considerably since the conclusion of the DEI, and continue to improve as more utilities deploy advanced metering infrastructure (AMI) and elements of distribution automation.</t>
  </si>
  <si>
    <t>Note: Evaluation of Avista's implementation of CVR is included in this report.</t>
  </si>
  <si>
    <t>Page 42</t>
  </si>
  <si>
    <t>MWh energy savings estimate for Avista's 70 feeders that received CVR via IVVC.</t>
  </si>
  <si>
    <t>Page D8</t>
  </si>
  <si>
    <t>Weighted average voltage reduction of 2%.</t>
  </si>
  <si>
    <t>Page D14</t>
  </si>
  <si>
    <t>CVRf = 0.705-0.942, depending on season and day of the week.  Average annual CVRf=0.881.</t>
  </si>
  <si>
    <t>Avista's DE Project, Impact Evaluation</t>
  </si>
  <si>
    <t>Substations</t>
  </si>
  <si>
    <t>MWh energy savings</t>
  </si>
  <si>
    <t>CVRf</t>
  </si>
  <si>
    <t>voltage reduction</t>
  </si>
  <si>
    <t>MWh of total usage</t>
  </si>
  <si>
    <t>MWh energy savings per Substation</t>
  </si>
  <si>
    <t>6th Plan Estimates</t>
  </si>
  <si>
    <t>CVRf (ECM3 EOL)</t>
  </si>
  <si>
    <t>MWh of energy savings potential</t>
  </si>
  <si>
    <t>MWh energy savings per substation</t>
  </si>
  <si>
    <t>of Avista's System (by substation count)</t>
  </si>
  <si>
    <t>of Avista's System (by 2007 total energy use impacted by CVR)</t>
  </si>
  <si>
    <t>of Avista's 2007 energy savings potential</t>
  </si>
  <si>
    <t>Avista Savings compared to 6th Plan (roughly)</t>
  </si>
  <si>
    <t>MWh of total usage (impacted by CVR)</t>
  </si>
  <si>
    <t>2012 Regional Sales Numbers</t>
  </si>
  <si>
    <t xml:space="preserve">Source: Massoud Jourabchi, January 23, 2015.  </t>
  </si>
  <si>
    <t>YEAR</t>
  </si>
  <si>
    <t>Service Type</t>
  </si>
  <si>
    <t>Public/IOU</t>
  </si>
  <si>
    <t>region</t>
  </si>
  <si>
    <t>Res Revenue (000)</t>
  </si>
  <si>
    <t>Res Sales (MWh)</t>
  </si>
  <si>
    <t>Res Consumers (n)</t>
  </si>
  <si>
    <t>Com Revenue (000)</t>
  </si>
  <si>
    <t>Com Sales (MWh)</t>
  </si>
  <si>
    <t>Com Consumers (n)</t>
  </si>
  <si>
    <t>Ind Revenue (000)</t>
  </si>
  <si>
    <t>Ind Sales (MWh)</t>
  </si>
  <si>
    <t>Ind Consumers (n)</t>
  </si>
  <si>
    <t>Trans Rev (000)</t>
  </si>
  <si>
    <t>Trans Sales (MWh)</t>
  </si>
  <si>
    <t>Trans Consumers (n)</t>
  </si>
  <si>
    <t>Total Revenue (000)</t>
  </si>
  <si>
    <t>Total Sales (MWh)</t>
  </si>
  <si>
    <t>Total Consumers (n)</t>
  </si>
  <si>
    <t>Public urban/non-urban</t>
  </si>
  <si>
    <t>Bundle</t>
  </si>
  <si>
    <t>Public</t>
  </si>
  <si>
    <t>Municipal</t>
  </si>
  <si>
    <t>Rural</t>
  </si>
  <si>
    <t>Cooperative</t>
  </si>
  <si>
    <t>BP Energy Company</t>
  </si>
  <si>
    <t>Energy</t>
  </si>
  <si>
    <t>Unreg</t>
  </si>
  <si>
    <t>Power Marketer</t>
  </si>
  <si>
    <t>.</t>
  </si>
  <si>
    <t>Beartooth Electric Coop, Inc</t>
  </si>
  <si>
    <t>EMT</t>
  </si>
  <si>
    <t>Political Subdivision</t>
  </si>
  <si>
    <t>Urban</t>
  </si>
  <si>
    <t>Big Flat Electric Coop Inc</t>
  </si>
  <si>
    <t>Big Horn Rural Electric Co</t>
  </si>
  <si>
    <t>Big Horn County Elec Coop, Inc</t>
  </si>
  <si>
    <t>Bonneville Power Admin</t>
  </si>
  <si>
    <t>Federal</t>
  </si>
  <si>
    <t>Delivery</t>
  </si>
  <si>
    <t>Clear Lake Cogeneration LP</t>
  </si>
  <si>
    <t>Shell Energy North America (US), L.P.</t>
  </si>
  <si>
    <t>ConocoPhillips Company</t>
  </si>
  <si>
    <t>Eugene City of</t>
  </si>
  <si>
    <t>Goldenwest Electric Coop, Inc</t>
  </si>
  <si>
    <t>Grand Electric Coop, Inc</t>
  </si>
  <si>
    <t>Heyburn City of</t>
  </si>
  <si>
    <t>Hill County Electric Coop, Inc</t>
  </si>
  <si>
    <t>Hinson Power Company LLC</t>
  </si>
  <si>
    <t>Idaho Falls City of</t>
  </si>
  <si>
    <t>Private</t>
  </si>
  <si>
    <t>Investor Owned</t>
  </si>
  <si>
    <t>Lower Yellowstone R E A, Inc</t>
  </si>
  <si>
    <t>Marias River Electric Coop Inc</t>
  </si>
  <si>
    <t>McCone Electric Coop Inc</t>
  </si>
  <si>
    <t>McKenzie Electric Coop Inc</t>
  </si>
  <si>
    <t>McMinnville City of</t>
  </si>
  <si>
    <t>Montana-Dakota Utilities Co</t>
  </si>
  <si>
    <t>Mid-Yellowstone Elec Coop, Inc</t>
  </si>
  <si>
    <t>NorthWestern Corporation</t>
  </si>
  <si>
    <t>Constellation NewEnergy, Inc</t>
  </si>
  <si>
    <t>NorVal Electric Cooperative, Inc</t>
  </si>
  <si>
    <t>Pacific Public Utility District No 2</t>
  </si>
  <si>
    <t>Park Electric Coop Inc</t>
  </si>
  <si>
    <t>PUD No 1 of Asotin County</t>
  </si>
  <si>
    <t>Port Angeles City of</t>
  </si>
  <si>
    <t>Public Utility District No 1</t>
  </si>
  <si>
    <t>Rupert City of</t>
  </si>
  <si>
    <t>Salem Electric</t>
  </si>
  <si>
    <t>Sheridan Electric Coop, Inc</t>
  </si>
  <si>
    <t>Noble Americas Energy Solutions LLC</t>
  </si>
  <si>
    <t>Seattle City of</t>
  </si>
  <si>
    <t>Sierra Pacific Industries Inc</t>
  </si>
  <si>
    <t>PUD No 1 of Skamania Co</t>
  </si>
  <si>
    <t>Snohomish County PUD No 1</t>
  </si>
  <si>
    <t>Southeast Electric Coop, Inc</t>
  </si>
  <si>
    <t>Sun River Electric Coop, Inc</t>
  </si>
  <si>
    <t>Tacoma City of</t>
  </si>
  <si>
    <t>Tongue River Electric Coop Inc</t>
  </si>
  <si>
    <t>Powder River Energy Corporation</t>
  </si>
  <si>
    <t>Black Hills Power Inc</t>
  </si>
  <si>
    <t>USBIA-Mission Valley Power</t>
  </si>
  <si>
    <t>Yellowstone Valley Elec Co-op</t>
  </si>
  <si>
    <t>Fergus Electric Coop, Inc</t>
  </si>
  <si>
    <t>Western Area Power Administration</t>
  </si>
  <si>
    <t>PPL EnergyPlus LLC</t>
  </si>
  <si>
    <t>JP Morgan</t>
  </si>
  <si>
    <t>Riverside Electric Cooperative</t>
  </si>
  <si>
    <t>Res+Com+Ind Sales (MWh)</t>
  </si>
  <si>
    <t>Measure</t>
  </si>
  <si>
    <t>Measure Life</t>
  </si>
  <si>
    <t>O&amp;M Cost</t>
  </si>
  <si>
    <t>1 - Reduce system voltage w/ LDC voltage control method</t>
  </si>
  <si>
    <t>2 - Light system improvements (var mgmt, phase load balancing, and feeder load balancing)</t>
  </si>
  <si>
    <t>3 - Major system improvements (voltage regulators on 1 of 4 substations, and select reconductoring on 1 of every 2 substations)</t>
  </si>
  <si>
    <t>4 - EOL voltage control method</t>
  </si>
  <si>
    <t>A - SCL implement EOL w/ major system improvements</t>
  </si>
  <si>
    <t>ECM1 - LDC</t>
  </si>
  <si>
    <t>ECM1 - EOL</t>
  </si>
  <si>
    <t>ECM2 - LDC</t>
  </si>
  <si>
    <t>ECM2 - EOL</t>
  </si>
  <si>
    <t>ECM3 - LDC</t>
  </si>
  <si>
    <t>ECM3 - EOL</t>
  </si>
  <si>
    <t>ECM3 - SCL LDC</t>
  </si>
  <si>
    <t>ECM3 - SCL EOL</t>
  </si>
  <si>
    <t>MWHr Savings</t>
  </si>
  <si>
    <t>Adjustment factor to bring 2012 loads to 2035 loads</t>
  </si>
  <si>
    <t>Savings Achieved Since 6th Plan (~2035 loads)</t>
  </si>
  <si>
    <t>MWh</t>
  </si>
  <si>
    <t>Savings Achieved Since 6th Plan (~2012 loads)</t>
  </si>
  <si>
    <t>Since we don't know the exact mix of measures, we'll apply the saving achievements to the measures weighted by the potential (not including SCL since most savings were from the Avista project).</t>
  </si>
  <si>
    <t>Savings before subtracting Achievements</t>
  </si>
  <si>
    <t>Number of Substations (non EOL)</t>
  </si>
  <si>
    <t>Number of Substations (EOL)</t>
  </si>
  <si>
    <t>Estimated Number of Substations in Achievements</t>
  </si>
  <si>
    <t>Savings Potential, MWh
(based on 2035 loads)</t>
  </si>
  <si>
    <t>2035 Sales Forecast</t>
  </si>
  <si>
    <t>Source: Massoud Jourabchi, January 29, 2015.</t>
  </si>
  <si>
    <t>Residential</t>
  </si>
  <si>
    <t>Commercial</t>
  </si>
  <si>
    <t>Industrial</t>
  </si>
  <si>
    <t>Transportation</t>
  </si>
  <si>
    <t>Public Service</t>
  </si>
  <si>
    <t>Sector</t>
  </si>
  <si>
    <t>Load (MWA)</t>
  </si>
  <si>
    <t>Annual Energy MWh 2012</t>
  </si>
  <si>
    <t>Residential Sales 2012 (MWh)</t>
  </si>
  <si>
    <t>Commercial
Energy 2012 MWh</t>
  </si>
  <si>
    <t>Industrial/Other 2012
MWh</t>
  </si>
  <si>
    <t>Number of Entries</t>
  </si>
  <si>
    <t>W</t>
  </si>
  <si>
    <t>Q</t>
  </si>
  <si>
    <t>N</t>
  </si>
  <si>
    <t>K</t>
  </si>
  <si>
    <t>No. Subs Res/Comm in 2012</t>
  </si>
  <si>
    <t>Residential Consumers (n) in 2012</t>
  </si>
  <si>
    <t>L</t>
  </si>
  <si>
    <t>Ratio: 2035/2012</t>
  </si>
  <si>
    <t>Incremental Savings for EOL</t>
  </si>
  <si>
    <t>Capital Cost (2006$'s)</t>
  </si>
  <si>
    <t>Updated: 1/30/2015 (Adam Hadley)</t>
  </si>
  <si>
    <t>O&amp;M Cost (2006$'s)</t>
  </si>
  <si>
    <t>Capital Cost (2012$'s)</t>
  </si>
  <si>
    <t>O&amp;M Cost (2012$'s)</t>
  </si>
  <si>
    <t>Ratio: 2012$'s to 2006$'s</t>
  </si>
  <si>
    <r>
      <t xml:space="preserve">Source:  This worksheet came from KC Fagen at RW Beck (original worbook name: RegionWideSubstations.xls).  This worksheet was used to record the data used to support section 4 (Regional Energy Savings) of the report </t>
    </r>
    <r>
      <rPr>
        <i/>
        <sz val="10"/>
        <rFont val="Arial"/>
        <family val="2"/>
      </rPr>
      <t>RW Beck. "Northwest Energy Efficiency Alliance Distribution Efficiency Initiative Project Final Report." December 2007.</t>
    </r>
  </si>
  <si>
    <t>Note: Any cells in this worksheet receiving updates for the 7th Plan are highlighted in green.  Notes from Report added as comments or highlighted in green background.</t>
  </si>
  <si>
    <t>Achieved aMW (Busbar)</t>
  </si>
  <si>
    <t>Sector and End Use</t>
  </si>
  <si>
    <t>unknown</t>
  </si>
  <si>
    <t>DEI</t>
  </si>
  <si>
    <t>From Six Going on Seven</t>
  </si>
  <si>
    <t>Sum</t>
  </si>
  <si>
    <t>6 P Max potential 2010-2013</t>
  </si>
  <si>
    <t>Six Going on Seven Workbook with Utility Names.xlsm</t>
  </si>
  <si>
    <t>7P Draft Low</t>
  </si>
  <si>
    <t>7P Draft Mid</t>
  </si>
  <si>
    <t>7P Draft High</t>
  </si>
  <si>
    <t>Ratio 2014-2035</t>
  </si>
  <si>
    <t>Solar PV</t>
  </si>
  <si>
    <t>Ratio 2012-2035</t>
  </si>
  <si>
    <t>2012 Sales</t>
  </si>
  <si>
    <t>Measure:</t>
  </si>
  <si>
    <t>Item</t>
  </si>
  <si>
    <t>Methods &amp; Sources</t>
  </si>
  <si>
    <t>Note</t>
  </si>
  <si>
    <t>7P Updates</t>
  </si>
  <si>
    <t>Measures Described</t>
  </si>
  <si>
    <t>Energy Savings Calculation Basis</t>
  </si>
  <si>
    <t>Baseline Energy Use</t>
  </si>
  <si>
    <t>Applicable Stock</t>
  </si>
  <si>
    <t>Baseline Saturation</t>
  </si>
  <si>
    <t>Baseline Penetration</t>
  </si>
  <si>
    <t>Permutations</t>
  </si>
  <si>
    <t>Costs</t>
  </si>
  <si>
    <t>Savings Shape</t>
  </si>
  <si>
    <t>Achievability Ramp Rate</t>
  </si>
  <si>
    <t>Distribution Efficiency</t>
  </si>
  <si>
    <t>Source:  This worksheet came from KC Fagen at RW Beck (original worbook name: RegionWideSubstations.xls).  This worksheet was used to record the data used to support section 4 (Regional Energy Savings) of the report RW Beck. "Northwest Energy Efficiency Alliance Distribution Efficiency Initiative Project Final Report." December 2007.</t>
  </si>
  <si>
    <t>None</t>
  </si>
  <si>
    <t>Directly from RW Beck Study</t>
  </si>
  <si>
    <t xml:space="preserve">Utility specific from the 2007 study or updated with more recent data.  </t>
  </si>
  <si>
    <t xml:space="preserve">Feeder applicability ra nges 5% to 85%.  Higher fraction for residential feeders and lower for industrial.  </t>
  </si>
  <si>
    <t>As estimated in RW Beck study with updates for completed projects</t>
  </si>
  <si>
    <t>Updates for completed projects thru 2013</t>
  </si>
  <si>
    <t xml:space="preserve">[kWh Sales] * [Feeder Applicability by Class] * [CVRf] * [%DeltaV]
Caluculations are done by utility and by measure.  Utility-specific CVRf and %DeltaV from the 2007 RW Beck Study.
</t>
  </si>
  <si>
    <t>15 Years</t>
  </si>
  <si>
    <t>Costs are difficult to extract from actual projects since some part of upgrades are not for efficiency.  Review of costs of recent projects show 6P costs are reasonable.  Recent NEEA follw-up study indicates new Smart Meter technology may bring costs down.</t>
  </si>
  <si>
    <t xml:space="preserve">From RW Beck Study.  Capital and labor.  Includes annual O&amp;M cost estimates.  </t>
  </si>
  <si>
    <t>RW Beck Study</t>
  </si>
  <si>
    <t>8760 DEI shape created from RW Beck study data</t>
  </si>
  <si>
    <t xml:space="preserve">Four measures to regulate voltage and upgrade systems to achieve energy and capacity savings.  
ECM1: Lowers the distribution voltage level only using either LDC or EOL voltage control methods. Distribution Efficiency Categories A and E.
ECM2: Includes Option 1 and adds system improvements including var management, phase load balancing, and feeder load balancing using either LDC or EOL voltage control methods. Distribution Efficiency Categories B, D, and F.
ECM3: Includes Option 2 and also adds voltage regulators on 1 of every 4 substations and select reconductoring on 1 of every 2 substations.
</t>
  </si>
  <si>
    <t>Retro12Med</t>
  </si>
  <si>
    <t>Retro50Fast</t>
  </si>
  <si>
    <t>Retro20Fast</t>
  </si>
  <si>
    <t>RetroEven20</t>
  </si>
  <si>
    <t>RetroMax60</t>
  </si>
  <si>
    <t>LO12Med</t>
  </si>
  <si>
    <t>LO50Fast</t>
  </si>
  <si>
    <t>LO20Fast</t>
  </si>
  <si>
    <t>LOEven20</t>
  </si>
  <si>
    <t>LOMax60</t>
  </si>
  <si>
    <t xml:space="preserve">Revised ECM1 downward in 7P to reflect that DEI projects are often integrated with substation upgrade schedules at utilities.  </t>
  </si>
  <si>
    <t>S-All-UD-CVR-All-All-N</t>
  </si>
  <si>
    <r>
      <t xml:space="preserve">The approach used for the 7th Plan is to update the analysis in the 6th Plan with a) savings accomplishments, b) updated regional energy use, and c) updated knowledge about utility-specific savings inputs.  We also tried to better document the analysis within the workbook.
</t>
    </r>
    <r>
      <rPr>
        <u/>
        <sz val="10"/>
        <rFont val="Arial"/>
        <family val="2"/>
      </rPr>
      <t>Savings Accomplishments</t>
    </r>
    <r>
      <rPr>
        <sz val="10"/>
        <rFont val="Arial"/>
        <family val="2"/>
      </rPr>
      <t xml:space="preserve">
The BPA/Cadmus "6 going on 7" reported ~6aMW of savings attributed to distribution efficiency improvements.  This includes about 5 aMW from an Avista project.  Prior to subracting these savings accomplishments from the achievements in year 2035, the savings were prorated to 2035 loads.
</t>
    </r>
    <r>
      <rPr>
        <u/>
        <sz val="10"/>
        <rFont val="Arial"/>
        <family val="2"/>
      </rPr>
      <t>Regional Energy Use</t>
    </r>
    <r>
      <rPr>
        <sz val="10"/>
        <rFont val="Arial"/>
        <family val="2"/>
      </rPr>
      <t xml:space="preserve">
The Council's energy sales estimates in the region for 2012, by utility, were used to update the analysis in the workbook (utility-by-utility).  Since all utilities and sectors are not represented, the final loads are prorated to be sure the individual utility estimates sum to the totals given by the Council (Same method as used in the 6th Plan estimates).
</t>
    </r>
    <r>
      <rPr>
        <u/>
        <sz val="10"/>
        <rFont val="Arial"/>
        <family val="2"/>
      </rPr>
      <t>Utility-specific Savings Inputs</t>
    </r>
    <r>
      <rPr>
        <sz val="10"/>
        <rFont val="Arial"/>
        <family val="2"/>
      </rPr>
      <t xml:space="preserve">
PacifiCorp: Through conversations with Wyatt Pierce at PacifiCorp, we learned PacifiCorp is already doing line drop compensation and that their target base voltage is already at 121 volts, so there aren't any savings to be had for ECM1 LDC (EOL, or other system improvements, however still may be achievable).  Based on this, we have zeroed the %deltaVoltage for ECM1 LDC for PacifiCorp.  Wyatt also said recent projects "Tier 1" and "Tier 2" showed lower CVRfactors than previously estimated (0.77).  The circuits selected for these studies were expected to be the most fruitful with respect to CVR and they averaged a CVRf of about 0.48.  We have changed PacifiCorp's base CVRf to 0.48.
Seattle City Light:  Based on a conversation with KC Fagen at Leidos (author of NEEA DEI report and analysis), Seattle City Light ran a ~2 week metering project which determined they are already running their system at a base voltage of 119 volts, so there's no more work to do on their system.  At the time of the NEEA DEI report and associated estimates, the metering data were not available.  Seattle City Light's delta V for ECM3 Manual LDC has been zero'd.
Remaining Public Utilities: Stephen Brooks at BPA agreed that the delta V and CVRf assumptions "pass the smell test".  No additional adjustments were made.
Two notes about costs:  
1. Wyatt, KC Fagen, and Stephen Brooks all mentioned measure costs are coming in higher than the 6th Plan estimates.  Since the distribution efficiency measure costs they see are often times conflated with other system improvements, and since the NEEA Long-term Tracking report suggests costs are coming down because of more availability of metering (through AMI, mostly), we are leaving cost assumptions as they are in the 6th Plan (updated to 2012$'s).  A more detailed review of costs may be warrated as more projects are completed across the region if cost data are available.  
2. Cost assumptions are on a per substation basis, so since we are estimating the savings to represent loads growing to 2035, we also increase the estimated number of substations.  The analysis assumes 50% of the load increases (2016-2035) are met by new substations, and 50% are met with existing substations.  This is a change from the 6th Plan, where no adjustments were made in the costs when increasing the loads for year 2030.  The 50/50 mix is a rough estiamte that could be refined with further research.  It should be noted smaller delta V's than assumed in this analysis are likely in cases where remaining substations meet new load; this wasn't taken into account in the savings potential for this analysis but should be considered in future analyses.  
Two errors to note in the previous analysis:
1. The Council's typical 85% factor for achievable potential was not included in the 6th Plan estimates.  That was an oversight and should be included in these estimates. 
2. There was a minor error found in the 6th Plan's method of determining incremental savings attributed to EOL measures.  See cell AR149 on RegionWideSubstations tab.  Correction of this error increases savings for EOL.</t>
    </r>
  </si>
  <si>
    <t>Slow</t>
  </si>
  <si>
    <t>Retro3Slow</t>
  </si>
  <si>
    <t>Final Ramp Rates</t>
  </si>
  <si>
    <t>Incremental</t>
  </si>
  <si>
    <t>cumulative</t>
  </si>
  <si>
    <t>Adjusted</t>
  </si>
  <si>
    <t>Manually</t>
  </si>
  <si>
    <t>Retro5Med</t>
  </si>
  <si>
    <t>Retro1Slow</t>
  </si>
  <si>
    <t>LO5Med</t>
  </si>
  <si>
    <t>LO1Slow</t>
  </si>
  <si>
    <t>LO3Slow</t>
  </si>
  <si>
    <t>Cumulative</t>
  </si>
  <si>
    <t>Year</t>
  </si>
  <si>
    <t>LO</t>
  </si>
  <si>
    <t>Retro</t>
  </si>
  <si>
    <t>Ramp Rate</t>
  </si>
  <si>
    <t>Resource Type</t>
  </si>
  <si>
    <t>Measure Category</t>
  </si>
  <si>
    <t>End Use</t>
  </si>
  <si>
    <t>kW per unit</t>
  </si>
  <si>
    <t>kWh per unit</t>
  </si>
  <si>
    <t>TRC Net Levelized Cost (Net of All Benefits)</t>
  </si>
  <si>
    <t>segment</t>
  </si>
  <si>
    <t>measure</t>
  </si>
  <si>
    <t>MAX</t>
  </si>
  <si>
    <t>Savings Allocation by Category and Month for Segments 1</t>
  </si>
  <si>
    <t>Savings Allocation by Category and Month for Segments 2</t>
  </si>
  <si>
    <t>Wholesale KW</t>
  </si>
  <si>
    <t>Busbar Savings</t>
  </si>
  <si>
    <t>lvlcost</t>
  </si>
  <si>
    <t>Jan</t>
  </si>
  <si>
    <t>Feb</t>
  </si>
  <si>
    <t>Mar</t>
  </si>
  <si>
    <t>Apr</t>
  </si>
  <si>
    <t>May</t>
  </si>
  <si>
    <t>Jun</t>
  </si>
  <si>
    <t>Jul</t>
  </si>
  <si>
    <t>Aug</t>
  </si>
  <si>
    <t>Sep</t>
  </si>
  <si>
    <t>Oct</t>
  </si>
  <si>
    <t>Nov</t>
  </si>
  <si>
    <t>Dec</t>
  </si>
  <si>
    <t>Units Methodology</t>
  </si>
  <si>
    <t>Forecast Version</t>
  </si>
  <si>
    <t>Vintage</t>
  </si>
  <si>
    <t>End-Use:</t>
  </si>
  <si>
    <t>Measure Bundle</t>
  </si>
  <si>
    <t>Report Year</t>
  </si>
  <si>
    <t>Total Potential (aMW)</t>
  </si>
  <si>
    <t>UNITS FOR EXISTING STOCK</t>
  </si>
  <si>
    <t>Achievability</t>
  </si>
  <si>
    <t>Incremental based on achievability, ramp rate, and applicability</t>
  </si>
  <si>
    <t>SUPPLY CURVE SAVINGS BY BUNDLE</t>
  </si>
  <si>
    <t>Busbar Savings (kWh)</t>
  </si>
  <si>
    <t>RECOMBINE MEASURE BUNDLES INTO SUPPLY CURVE CUMULATIVE</t>
  </si>
  <si>
    <t>Max</t>
  </si>
  <si>
    <t>max</t>
  </si>
  <si>
    <t>Block 1: &lt;= 0 mills/kWh</t>
  </si>
  <si>
    <t>&gt;=-9999</t>
  </si>
  <si>
    <t>&lt;=0</t>
  </si>
  <si>
    <t>Block 2: &lt;= 10 mills/kWh</t>
  </si>
  <si>
    <t>&gt;0</t>
  </si>
  <si>
    <t>&lt;=10</t>
  </si>
  <si>
    <t>Block 3: 10-20 mills/kWh</t>
  </si>
  <si>
    <t>&gt;10</t>
  </si>
  <si>
    <t>&lt;=20</t>
  </si>
  <si>
    <t>Block 4: 20-30 mills/kWh</t>
  </si>
  <si>
    <t>&gt;20</t>
  </si>
  <si>
    <t>&lt;=30</t>
  </si>
  <si>
    <t>Block 5: 30-40 mills/kWh</t>
  </si>
  <si>
    <t>&gt;30</t>
  </si>
  <si>
    <t>&lt;=40</t>
  </si>
  <si>
    <t>Block 6: 40-50 mills/kWh</t>
  </si>
  <si>
    <t>&gt;40</t>
  </si>
  <si>
    <t>&lt;=50</t>
  </si>
  <si>
    <t>Block 7: 50-60 mills/kWh</t>
  </si>
  <si>
    <t>&gt;50</t>
  </si>
  <si>
    <t>&lt;=60</t>
  </si>
  <si>
    <t>Block 8: 60-70 mills/kWh</t>
  </si>
  <si>
    <t>&gt;60</t>
  </si>
  <si>
    <t>&lt;=70</t>
  </si>
  <si>
    <t>Block 9: 70-80 mills/kWh</t>
  </si>
  <si>
    <t>&gt;70</t>
  </si>
  <si>
    <t>&lt;=80</t>
  </si>
  <si>
    <t>Block 10: 80-90 mills/kWh</t>
  </si>
  <si>
    <t>&gt;80</t>
  </si>
  <si>
    <t>&lt;=90</t>
  </si>
  <si>
    <t>Block 11: 90-100 mills/kWh</t>
  </si>
  <si>
    <t>&gt;90</t>
  </si>
  <si>
    <t>&lt;=100</t>
  </si>
  <si>
    <t>Block 12: 100-110 mills/kWh</t>
  </si>
  <si>
    <t>&gt;100</t>
  </si>
  <si>
    <t>&lt;=110</t>
  </si>
  <si>
    <t>Block 13: 110-120 mills/kWh</t>
  </si>
  <si>
    <t>&gt;110</t>
  </si>
  <si>
    <t>&lt;=120</t>
  </si>
  <si>
    <t>Block 14: 120-130 mills/kWh</t>
  </si>
  <si>
    <t>&gt;120</t>
  </si>
  <si>
    <t>&lt;=130</t>
  </si>
  <si>
    <t>Block 15: 130-140 mills/kWh</t>
  </si>
  <si>
    <t>&gt;130</t>
  </si>
  <si>
    <t>&lt;=140</t>
  </si>
  <si>
    <t>Block 16: 140-150 mills/kWh</t>
  </si>
  <si>
    <t>&gt;140</t>
  </si>
  <si>
    <t>&lt;=150</t>
  </si>
  <si>
    <t>Block 17: 150-160 mills/kWh</t>
  </si>
  <si>
    <t>&gt;150</t>
  </si>
  <si>
    <t>&lt;=160</t>
  </si>
  <si>
    <t>Block 18: 160-170 mills/kWh</t>
  </si>
  <si>
    <t>&gt;160</t>
  </si>
  <si>
    <t>&lt;=170</t>
  </si>
  <si>
    <t>Block 19: 170-180 mills/kWh</t>
  </si>
  <si>
    <t>&gt;170</t>
  </si>
  <si>
    <t>&lt;=180</t>
  </si>
  <si>
    <t>Block 20: 180-190 mills/kWh</t>
  </si>
  <si>
    <t>&gt;180</t>
  </si>
  <si>
    <t>&lt;=190</t>
  </si>
  <si>
    <t>Block 21: 190-200 mills/kWh</t>
  </si>
  <si>
    <t>&gt;190</t>
  </si>
  <si>
    <t>&lt;=200</t>
  </si>
  <si>
    <t>Block 22: 200-210 mills/kWh</t>
  </si>
  <si>
    <t>&gt;200</t>
  </si>
  <si>
    <t>&lt;=210</t>
  </si>
  <si>
    <t>Block 23: 210-220 mills/kWh</t>
  </si>
  <si>
    <t>&gt;210</t>
  </si>
  <si>
    <t>&lt;=220</t>
  </si>
  <si>
    <t>Block 24: 220-230 mills/kWh</t>
  </si>
  <si>
    <t>&gt;220</t>
  </si>
  <si>
    <t>&lt;=230</t>
  </si>
  <si>
    <t>Block 25: 230-240 mills/kWh</t>
  </si>
  <si>
    <t>&gt;230</t>
  </si>
  <si>
    <t>&lt;=240</t>
  </si>
  <si>
    <t>Block 26: 240-250 mills/kWh</t>
  </si>
  <si>
    <t>&gt;240</t>
  </si>
  <si>
    <t>&lt;=250</t>
  </si>
  <si>
    <t>Block 27: 250-260 mills/kWh</t>
  </si>
  <si>
    <t>&gt;250</t>
  </si>
  <si>
    <t>&lt;=260</t>
  </si>
  <si>
    <t>Block 28: 260-270 mills/kWh</t>
  </si>
  <si>
    <t>&gt;260</t>
  </si>
  <si>
    <t>&lt;=270</t>
  </si>
  <si>
    <t>Block 29: 270-280 mills/kWh</t>
  </si>
  <si>
    <t>&gt;270</t>
  </si>
  <si>
    <t>&lt;=280</t>
  </si>
  <si>
    <t>Block 30: 280-290 mills/kWh</t>
  </si>
  <si>
    <t>&gt;280</t>
  </si>
  <si>
    <t>&lt;=290</t>
  </si>
  <si>
    <t>Block 31: 290-300 mills/kWh</t>
  </si>
  <si>
    <t>&gt;290</t>
  </si>
  <si>
    <t>&lt;=300</t>
  </si>
  <si>
    <t>Block 32: &gt;300 mills/kWh</t>
  </si>
  <si>
    <t>&gt;300</t>
  </si>
  <si>
    <t>&lt;=999</t>
  </si>
  <si>
    <t>RECOMBINE MEASURE BUNDLES INTO SUPPLY CURVE INCREMENTAL</t>
  </si>
  <si>
    <t>Total per Year</t>
  </si>
  <si>
    <t>Total Cumulative</t>
  </si>
  <si>
    <t>Ramp Rate - Cumulative</t>
  </si>
  <si>
    <t>Utility Distribution Sytem</t>
  </si>
  <si>
    <t>Prior to Adjustment for Solar PV (225-250 aMW)</t>
  </si>
  <si>
    <t>2015-2030</t>
  </si>
  <si>
    <t>Low-6P</t>
  </si>
  <si>
    <t>Med 6P</t>
  </si>
  <si>
    <t>High 6P</t>
  </si>
  <si>
    <t>Low 7P Dec Draft</t>
  </si>
  <si>
    <t>Med 7P Dec Draft</t>
  </si>
  <si>
    <t>High 7P Dec Draft</t>
  </si>
  <si>
    <t>Short-term Model 2014</t>
  </si>
  <si>
    <t>NRF 2014 (net)</t>
  </si>
  <si>
    <t>2015-2023</t>
  </si>
  <si>
    <t>Peak</t>
  </si>
  <si>
    <t>Med 7P Draft</t>
  </si>
  <si>
    <t>Low 7P Draft</t>
  </si>
  <si>
    <t>High 7P Draft</t>
  </si>
  <si>
    <t>NRF 2014 Peak</t>
  </si>
  <si>
    <t>Forecast Jan 2015</t>
  </si>
  <si>
    <t>Forecast Dec 2014</t>
  </si>
  <si>
    <t>Load Forecast 2035 December Draft</t>
  </si>
  <si>
    <t>Sales Forecast After Conservation</t>
  </si>
  <si>
    <t>Update when "sales"forecast is generated</t>
  </si>
  <si>
    <t>Applicability in RegionWideSubstations</t>
  </si>
  <si>
    <t>Data Set Name</t>
  </si>
  <si>
    <t>Measure Index Name</t>
  </si>
  <si>
    <t>Costs must be denominated in the same year as 'Input Cost Reference Year' =</t>
  </si>
  <si>
    <t>Input Data</t>
  </si>
  <si>
    <t>Periodic Replacement Costs and Savings and Replacement Period</t>
  </si>
  <si>
    <t>Gas Inputs</t>
  </si>
  <si>
    <t>Retro or LO</t>
  </si>
  <si>
    <t>Early Retrofit Parameters</t>
  </si>
  <si>
    <t>Category Name</t>
  </si>
  <si>
    <t>Measure Name</t>
  </si>
  <si>
    <t>Savings (kwh/yr)</t>
  </si>
  <si>
    <t>Life (yrs)</t>
  </si>
  <si>
    <t>Capital Cost</t>
  </si>
  <si>
    <t>Annual O&amp;M</t>
  </si>
  <si>
    <t>Shape Pointer</t>
  </si>
  <si>
    <t>Non-E Val ($/yr)</t>
  </si>
  <si>
    <t>Cost 1 ($)</t>
  </si>
  <si>
    <t xml:space="preserve">Period 1 </t>
  </si>
  <si>
    <t>Cost 2 ($)</t>
  </si>
  <si>
    <t>Period 2</t>
  </si>
  <si>
    <t>Cost 3 ($)</t>
  </si>
  <si>
    <t>Period 3</t>
  </si>
  <si>
    <t>Savings (therms/yr)</t>
  </si>
  <si>
    <t>R or L</t>
  </si>
  <si>
    <t>Savings 2
(kWh)</t>
  </si>
  <si>
    <t>Remaining
Life (yrs)</t>
  </si>
  <si>
    <t>Salvage Value ($)</t>
  </si>
  <si>
    <t>2 - Light system improvements</t>
  </si>
  <si>
    <t>3 - Major system improvements</t>
  </si>
  <si>
    <t>1 - LDC voltage control method</t>
  </si>
  <si>
    <t>Shaped Savings Results; By Category and sorted by TRC BC ratio</t>
  </si>
  <si>
    <t>Category</t>
  </si>
  <si>
    <t>First Cost</t>
  </si>
  <si>
    <t>Admin Cost</t>
  </si>
  <si>
    <t>First Year Program Cost</t>
  </si>
  <si>
    <t>PV Cost</t>
  </si>
  <si>
    <t>PV Benefits</t>
  </si>
  <si>
    <t>Unit Program Cost: First Year Program Cost in $/average annual kW saved</t>
  </si>
  <si>
    <t>Utility System Net Levelized Cost (Net of T&amp;D Capacity Benefits, Act Credit &amp; Risk-Mitigation) in mills/kWh</t>
  </si>
  <si>
    <t>TRC Net Levelized Cost (Net of All Benefits) in mills/kWh</t>
  </si>
  <si>
    <t>TRC B/C Ratio</t>
  </si>
  <si>
    <t>Net Electric &amp; Gas System CO2 Avoided (Lifetime Tons)</t>
  </si>
  <si>
    <t>ProCost Results</t>
  </si>
  <si>
    <t xml:space="preserve">Version:    </t>
  </si>
  <si>
    <t>ProCost 3.0 - Beta04</t>
  </si>
  <si>
    <t>Run Time:</t>
  </si>
  <si>
    <t>Regurgitation of ProData input parameters which were used for this run</t>
  </si>
  <si>
    <t>Run Parameters</t>
  </si>
  <si>
    <t>Marginal Cost &amp; Conservation Load Shape Parameters</t>
  </si>
  <si>
    <t>Sponsor Parameters</t>
  </si>
  <si>
    <t>Program Parameters</t>
  </si>
  <si>
    <t>Utility System Parameters</t>
  </si>
  <si>
    <t>Run Type</t>
  </si>
  <si>
    <t>Electric</t>
  </si>
  <si>
    <t>Marginal Costs and Savings Shape File</t>
  </si>
  <si>
    <t>6P MidC Final (with carbon)</t>
  </si>
  <si>
    <t>Customer</t>
  </si>
  <si>
    <t>Wholesale Elec</t>
  </si>
  <si>
    <t>Retail Elec</t>
  </si>
  <si>
    <t>Nat Gas</t>
  </si>
  <si>
    <t>Program Life (yrs)</t>
  </si>
  <si>
    <t>Gas</t>
  </si>
  <si>
    <t>Negative B/C Ratios</t>
  </si>
  <si>
    <t>Off</t>
  </si>
  <si>
    <t>Marginal Elec Avoided Cost Input Worksheet</t>
  </si>
  <si>
    <t>7P Mid</t>
  </si>
  <si>
    <t>Conservation Load Shapes</t>
  </si>
  <si>
    <t>Real After-Tax Cost of Capital</t>
  </si>
  <si>
    <t>Program Start Date</t>
  </si>
  <si>
    <t>Bulk System T&amp;D Loss Factor</t>
  </si>
  <si>
    <t>Admin Cost @ Category Level</t>
  </si>
  <si>
    <t>On</t>
  </si>
  <si>
    <t>Elec Savings Shape Input Worksheet</t>
  </si>
  <si>
    <t>GLSShapes</t>
  </si>
  <si>
    <t>6P_Gas_Final</t>
  </si>
  <si>
    <t>Financial Life (years)</t>
  </si>
  <si>
    <t>Present Value Time Zero</t>
  </si>
  <si>
    <t>Bulk System T&amp;D Credit ($/kw-yr)($/dailytherm-yr)</t>
  </si>
  <si>
    <t xml:space="preserve">Repeat Periodic Replacement </t>
  </si>
  <si>
    <t>Marginal Gas Avoided Cost Input Worksheet</t>
  </si>
  <si>
    <t>7P Gas</t>
  </si>
  <si>
    <t>Input Cost Reference Year</t>
  </si>
  <si>
    <t>Bulk System T&amp;D I2R Loss Component (%)</t>
  </si>
  <si>
    <t>N/A</t>
  </si>
  <si>
    <t>Gas Savings Shape Input Worksheet</t>
  </si>
  <si>
    <t xml:space="preserve">Sponsor Share of Initial Capital Cost </t>
  </si>
  <si>
    <t>Real Discount Rate</t>
  </si>
  <si>
    <t>Local System Dist Loss Factor</t>
  </si>
  <si>
    <t>Run Type:</t>
  </si>
  <si>
    <t>Marginal Elec CO2 per kWh Input Worksheet</t>
  </si>
  <si>
    <t>CO2 lbs per kWh .95</t>
  </si>
  <si>
    <t>CO2 lbs per therm</t>
  </si>
  <si>
    <t>Sponsor Share of Annual O&amp;M</t>
  </si>
  <si>
    <t>Capital Real Escalation Rate</t>
  </si>
  <si>
    <t>Local System Dist Credit ($/kw-yr)($/dailytherm-yr)</t>
  </si>
  <si>
    <t>Negative B/C Ratios:</t>
  </si>
  <si>
    <t>False:  (Converts Negative B/C Ratios)</t>
  </si>
  <si>
    <t>Marginal Gas CO2 per therm Input Worksheet</t>
  </si>
  <si>
    <t>Zero Dollars per ton CO2</t>
  </si>
  <si>
    <t>Sponsor Share of Periodic Replacement Cost</t>
  </si>
  <si>
    <t>Admin Cost (as % of Initial Capital Cost)</t>
  </si>
  <si>
    <t>Local System Dist I2R Loss Component (%)</t>
  </si>
  <si>
    <t>Admin Cost / Category Level:</t>
  </si>
  <si>
    <t>True:  Admin Costs added at Category Results</t>
  </si>
  <si>
    <t>Marginal Avoided Cost CO2 Input Worksheet</t>
  </si>
  <si>
    <t>LineLossShapes</t>
  </si>
  <si>
    <t>Sponsor Share of Admin Cost</t>
  </si>
  <si>
    <t>Regional Act Conservation Credit (%)</t>
  </si>
  <si>
    <t>Risk-Mitigation Credit (mills/kWh)(mills/therm) - Retro.</t>
  </si>
  <si>
    <t>Periodic O&amp;M Treatment:</t>
  </si>
  <si>
    <t>True:  (Periodic O&amp;M Repeats over measure life)</t>
  </si>
  <si>
    <t>Line Loss Shape Input Worksheet</t>
  </si>
  <si>
    <t>Last Year of Non-Customer O&amp;M &amp; Period Replacement</t>
  </si>
  <si>
    <t>Report Annual Carbon Saved for Year</t>
  </si>
  <si>
    <t>Risk-Mitigation Credit (mills/kWh)(mills/therm) - Lost Op.</t>
  </si>
  <si>
    <t>Measure Results; Sorted in same order as input</t>
  </si>
  <si>
    <t>Total Results</t>
  </si>
  <si>
    <t>Measure Input Data</t>
  </si>
  <si>
    <t>Savings</t>
  </si>
  <si>
    <t>PV Capital</t>
  </si>
  <si>
    <t>PV Admin</t>
  </si>
  <si>
    <t>PV O&amp;M</t>
  </si>
  <si>
    <t>PV Periodic Repl.</t>
  </si>
  <si>
    <t>Total PV Capital, O&amp;M and Periodic Repl Costs</t>
  </si>
  <si>
    <t>PV Wholesale Electric Utility Costs &amp; Benefits</t>
  </si>
  <si>
    <t>PV Retail Electric Utility Costs &amp; Benefits</t>
  </si>
  <si>
    <t>PV Electric Utility System Costs &amp; Benefits</t>
  </si>
  <si>
    <t>Electric Utility System Economics</t>
  </si>
  <si>
    <t>Sponsor Levelized Cost (mills/kwh)</t>
  </si>
  <si>
    <t>PV Regional Costs &amp; Benefits</t>
  </si>
  <si>
    <t>TRC Economics</t>
  </si>
  <si>
    <t>Physical CO2</t>
  </si>
  <si>
    <t>PV Gas Utility System Costs &amp; Benefits</t>
  </si>
  <si>
    <t>Gas Utility System Economics</t>
  </si>
  <si>
    <t>Site Savings (kWh)</t>
  </si>
  <si>
    <t>Site Savings (therms)</t>
  </si>
  <si>
    <t>Capital Cost ($/unit)</t>
  </si>
  <si>
    <t>Annual O&amp;M Cost ($/unit)</t>
  </si>
  <si>
    <t>PV Per. Repl. Cost ($/unit)</t>
  </si>
  <si>
    <t>Load Shape (electric)</t>
  </si>
  <si>
    <t>Diversified Load Factor (electric)</t>
  </si>
  <si>
    <t>Wholesale Power Coincidence Factor (electric)</t>
  </si>
  <si>
    <t>Wholesale Electric Energy (kWh)</t>
  </si>
  <si>
    <t>Wholesale Electric Demand (kw)</t>
  </si>
  <si>
    <t>Retail Electric Demand (kW)</t>
  </si>
  <si>
    <t>Wholesale Gas Energy (therms/yr)</t>
  </si>
  <si>
    <t>Wholesale Gas Demand (therms/day)</t>
  </si>
  <si>
    <t>Retail Gas Demand (therms/day)</t>
  </si>
  <si>
    <t>Wholesale Electric</t>
  </si>
  <si>
    <t>Retail Electric</t>
  </si>
  <si>
    <t>Natural Gas</t>
  </si>
  <si>
    <t>Wholesale Utility System Energy</t>
  </si>
  <si>
    <t>Wholesale Utility System T&amp;D Def. Cap.</t>
  </si>
  <si>
    <t>Wholesale Utility System Act C-E Credit</t>
  </si>
  <si>
    <t>Wholesale Utility System Risk Mitigation Benefit</t>
  </si>
  <si>
    <t>Wholesale Utility System Total System Benefit</t>
  </si>
  <si>
    <t>Wholesale Utility System Total Non-Consumer Cost</t>
  </si>
  <si>
    <t>Wholesale Utility System B/C Ratio</t>
  </si>
  <si>
    <t>Retail Utility System Energy</t>
  </si>
  <si>
    <t>Retail Utility System T&amp;D Def. Cap.</t>
  </si>
  <si>
    <t>Retail Utility System Act C-E Credit</t>
  </si>
  <si>
    <t>Retail Utility System Risk Mitigation Benefit</t>
  </si>
  <si>
    <t>Retail Utility System Total System Benefit</t>
  </si>
  <si>
    <t>Retail Utility System Total Non-Consumer Cost</t>
  </si>
  <si>
    <t>Retail Utility System System B/C Ratio</t>
  </si>
  <si>
    <t>Utility System Energy</t>
  </si>
  <si>
    <t>Utility System T&amp;D Def. Cap.</t>
  </si>
  <si>
    <t>Utility System Act C-E Credit</t>
  </si>
  <si>
    <t>Utility System Total Risk Mitigation Benefit</t>
  </si>
  <si>
    <t>Utility System Total System Benefit</t>
  </si>
  <si>
    <t>Utility System Total Non-Consumer Cost</t>
  </si>
  <si>
    <t>Utility System Net Levelized Cost (Net of Elec T&amp;D Capacity Benefits, Act Credit &amp; Risk-Mitigation Benefit) in mills/kwh</t>
  </si>
  <si>
    <t>Utility System System B/C Ratio</t>
  </si>
  <si>
    <t>Wholesale Electric Levelized Cost</t>
  </si>
  <si>
    <t>Retail Electric Levelized Cost</t>
  </si>
  <si>
    <t>Natural Gas Levelized Cost</t>
  </si>
  <si>
    <t>Customer Levelized Cost</t>
  </si>
  <si>
    <t>Total Levelized Cost</t>
  </si>
  <si>
    <t>PV Regional Electric Energy</t>
  </si>
  <si>
    <t>PV Regional Gas Energy</t>
  </si>
  <si>
    <t>PV Regional Electric T&amp;D Def. Cap.</t>
  </si>
  <si>
    <t>PV Regional Gas T&amp;D Def. Cap.</t>
  </si>
  <si>
    <t>PV Regional Electric System CO2</t>
  </si>
  <si>
    <t>PV Regional Gas System CO2</t>
  </si>
  <si>
    <t>PV Regional Electric System Risk-Mitigation Benefit</t>
  </si>
  <si>
    <t>PV Regional Gas System Risk-Mitigation Benefit</t>
  </si>
  <si>
    <t>PV Regional Non-E Value</t>
  </si>
  <si>
    <t>PV Regional Act Credit</t>
  </si>
  <si>
    <t>PV Regional Capital Cost</t>
  </si>
  <si>
    <t>PV Regional Admin Cost</t>
  </si>
  <si>
    <t>PV Regional Annual O&amp;M Cost</t>
  </si>
  <si>
    <t>PV Regional Periodic Replacement Cost</t>
  </si>
  <si>
    <t>PV Total Regional Benefit</t>
  </si>
  <si>
    <t>PV Total Regional Cost</t>
  </si>
  <si>
    <t>Electric System CO2 Avoided (Lifetime Tons)</t>
  </si>
  <si>
    <t>Gas System CO2 Avoided (Lifetime Tons)</t>
  </si>
  <si>
    <t>Total System CO2 Avoided (Lifetime Tons)</t>
  </si>
  <si>
    <t>Electric System CO2 Avoided (Annual Tons in 2018)</t>
  </si>
  <si>
    <t>Gas System CO2 Avoided (Annual Tons in 2018)</t>
  </si>
  <si>
    <t>Total System CO2 Avoided (Annual Tons in 2018)</t>
  </si>
  <si>
    <t>Gas Site Savings (therms)</t>
  </si>
  <si>
    <t>Load Shape (gas)</t>
  </si>
  <si>
    <t>Diversitfied Load Factor (gas)</t>
  </si>
  <si>
    <t>Wholesale Coincidence Factor (gas)</t>
  </si>
  <si>
    <t>Total Gas Utility System Energy</t>
  </si>
  <si>
    <t>Gas Utility System T&amp;D Def. Cap.</t>
  </si>
  <si>
    <t>Gas Utility System Risk Mitigation Benefit</t>
  </si>
  <si>
    <t>Gas Utility System Total System Benefit</t>
  </si>
  <si>
    <t>Gas Utility System Total Non-Consumer Cost</t>
  </si>
  <si>
    <t>Gas Utility System Net Levelized Cost (Net of Gas T&amp;D Capacity Benefits &amp; Risk-Mitigation Benefits) in cents/therm</t>
  </si>
  <si>
    <t>Gas Utility System System B/C Ratio</t>
  </si>
  <si>
    <t>(na)</t>
  </si>
  <si>
    <t>Category Results; Sorted by TRC Levelized Cost</t>
  </si>
  <si>
    <t>Supply Curve Results; Categories sorted by TRC Net Levelized Cost</t>
  </si>
  <si>
    <t>Totals for Categories with Benefits Exceeding Costs.    Levelized cost is TRC Net Levelized Cost (Net of Benefits)</t>
  </si>
  <si>
    <t>Savings Allocation by Cost Bin and Month for Segments 1</t>
  </si>
  <si>
    <t>Savings Allocation by Cost Bin and Month for Segments 2</t>
  </si>
  <si>
    <t>Totals Basis</t>
  </si>
  <si>
    <t>Busbar Electric Savings in kWh</t>
  </si>
  <si>
    <t>Measures with B/C &gt; 1.00</t>
  </si>
  <si>
    <t>Categories with B/C &gt; 1.00</t>
  </si>
  <si>
    <t>Supply Curve Results:  By TRC Net Levelized Cost - Net of Benefits</t>
  </si>
  <si>
    <t>Block 22: &gt; 200 mills/kWh</t>
  </si>
  <si>
    <t>Acheivable and 85% Max Per Year</t>
  </si>
  <si>
    <t>aMW per year average</t>
  </si>
  <si>
    <t>aMW per year max</t>
  </si>
  <si>
    <t>Utility</t>
  </si>
  <si>
    <t>Updated in 7P to reflect estimate of new substation cost for load expansion 2016-2035</t>
  </si>
  <si>
    <t>Costs and Saving per MWh Sales</t>
  </si>
  <si>
    <t>Savings Potential, MWh
(based on 2012 loads)</t>
  </si>
  <si>
    <t>Savings Potential 
(based on 2012 loads)</t>
  </si>
  <si>
    <t>MWh 2012</t>
  </si>
  <si>
    <t xml:space="preserve"> MWh Savings per MWh Total Sales </t>
  </si>
  <si>
    <t>Units =&gt;</t>
  </si>
  <si>
    <t>Frozen Efficiency Sales in MWh</t>
  </si>
  <si>
    <t>Update with Final Plan Forecast</t>
  </si>
  <si>
    <t>Savings are based on end system sales.  MWh savings per MWh system sales.</t>
  </si>
  <si>
    <t>ECM4 EOL</t>
  </si>
  <si>
    <t>ECM3 EOL</t>
  </si>
  <si>
    <t>ECM3 Manual</t>
  </si>
  <si>
    <t>ECM2 EOL</t>
  </si>
  <si>
    <t>ECM2 Manual</t>
  </si>
  <si>
    <t>ECM1 EOL</t>
  </si>
  <si>
    <t>ECM1 Manual</t>
  </si>
  <si>
    <t>Utility Summary in aMW (basis 2005 loads - before scalar and forecast)</t>
  </si>
  <si>
    <t>Stock</t>
  </si>
  <si>
    <t>TotalLoad</t>
  </si>
  <si>
    <t>Description</t>
  </si>
  <si>
    <t>Who</t>
  </si>
  <si>
    <t>When</t>
  </si>
  <si>
    <t>CG</t>
  </si>
  <si>
    <t>Updated High Low Forecast</t>
  </si>
  <si>
    <t>Update 6P</t>
  </si>
  <si>
    <t>Hadley</t>
  </si>
  <si>
    <t>Revise Com an Industrial applicability</t>
  </si>
  <si>
    <t>Revise ramp rate</t>
  </si>
  <si>
    <t xml:space="preserve">Review CVR factors </t>
  </si>
  <si>
    <t>Amend Units D2 to add DEI</t>
  </si>
  <si>
    <t>Revise on final plan SALES foecast</t>
  </si>
  <si>
    <t>Thursday, 19 March , 2015 at 3:00 AM</t>
  </si>
  <si>
    <t>Q:\SeventhPlan\Conservation Analysis\Global EE Inputs\MC Files\MC_AND_LOADSHAPE_v3.0_24segment-7P-D9 - NewSegValues.xlsx</t>
  </si>
</sst>
</file>

<file path=xl/styles.xml><?xml version="1.0" encoding="utf-8"?>
<styleSheet xmlns="http://schemas.openxmlformats.org/spreadsheetml/2006/main">
  <numFmts count="21">
    <numFmt numFmtId="5" formatCode="&quot;$&quot;#,##0_);\(&quot;$&quot;#,##0\)"/>
    <numFmt numFmtId="44" formatCode="_(&quot;$&quot;* #,##0.00_);_(&quot;$&quot;* \(#,##0.00\);_(&quot;$&quot;* &quot;-&quot;??_);_(@_)"/>
    <numFmt numFmtId="43" formatCode="_(* #,##0.00_);_(* \(#,##0.00\);_(* &quot;-&quot;??_);_(@_)"/>
    <numFmt numFmtId="164" formatCode="_(* #,##0_);_(* \(#,##0\);_(* &quot;-&quot;??_);_(@_)"/>
    <numFmt numFmtId="165" formatCode="0.0"/>
    <numFmt numFmtId="166" formatCode="0.000"/>
    <numFmt numFmtId="167" formatCode="_(&quot;$&quot;* #,##0_);_(&quot;$&quot;* \(#,##0\);_(&quot;$&quot;* &quot;-&quot;??_);_(@_)"/>
    <numFmt numFmtId="168" formatCode="_(* #,##0.000_);_(* \(#,##0.000\);_(* &quot;-&quot;??_);_(@_)"/>
    <numFmt numFmtId="169" formatCode="0.0%"/>
    <numFmt numFmtId="170" formatCode="_(* #,##0.0_);_(* \(#,##0.0\);_(* &quot;-&quot;??_);_(@_)"/>
    <numFmt numFmtId="171" formatCode="m/d/\ h:mm"/>
    <numFmt numFmtId="172" formatCode="[$-F800]dddd\,\ mmmm\ dd\,\ yyyy"/>
    <numFmt numFmtId="173" formatCode="0.0000"/>
    <numFmt numFmtId="174" formatCode="_(* #,##0.0_);_(* \(#,##0.0\);_(* &quot;-&quot;?_);_(@_)"/>
    <numFmt numFmtId="175" formatCode="0.000000"/>
    <numFmt numFmtId="176" formatCode="0.0;[Red]\-0.0"/>
    <numFmt numFmtId="177" formatCode="\ "/>
    <numFmt numFmtId="178" formatCode="_(* #,##0.0000_);_(* \(#,##0.0000\);_(* &quot;-&quot;??_);_(@_)"/>
    <numFmt numFmtId="179" formatCode="_(&quot;$&quot;* #,##0.000_);_(&quot;$&quot;* \(#,##0.000\);_(&quot;$&quot;* &quot;-&quot;??_);_(@_)"/>
    <numFmt numFmtId="180" formatCode="_(* #,##0.00000_);_(* \(#,##0.00000\);_(* &quot;-&quot;??_);_(@_)"/>
    <numFmt numFmtId="181" formatCode="#,##0.0"/>
  </numFmts>
  <fonts count="60">
    <font>
      <sz val="10"/>
      <name val="Arial"/>
    </font>
    <font>
      <sz val="10"/>
      <color theme="1"/>
      <name val="Arial"/>
      <family val="2"/>
    </font>
    <font>
      <sz val="10"/>
      <color theme="1"/>
      <name val="Arial"/>
      <family val="2"/>
    </font>
    <font>
      <sz val="10"/>
      <name val="Arial"/>
      <family val="2"/>
    </font>
    <font>
      <b/>
      <sz val="10"/>
      <name val="Arial"/>
      <family val="2"/>
    </font>
    <font>
      <sz val="8"/>
      <name val="Arial"/>
      <family val="2"/>
    </font>
    <font>
      <sz val="10"/>
      <name val="Arial"/>
      <family val="2"/>
    </font>
    <font>
      <sz val="10"/>
      <color indexed="8"/>
      <name val="Arial"/>
      <family val="2"/>
    </font>
    <font>
      <sz val="10"/>
      <color indexed="12"/>
      <name val="Arial"/>
      <family val="2"/>
    </font>
    <font>
      <u/>
      <sz val="10"/>
      <name val="Arial"/>
      <family val="2"/>
    </font>
    <font>
      <sz val="10"/>
      <color rgb="FFFF0000"/>
      <name val="Arial"/>
      <family val="2"/>
    </font>
    <font>
      <sz val="9"/>
      <color indexed="81"/>
      <name val="Tahoma"/>
      <family val="2"/>
    </font>
    <font>
      <b/>
      <sz val="9"/>
      <color indexed="81"/>
      <name val="Tahoma"/>
      <family val="2"/>
    </font>
    <font>
      <b/>
      <u/>
      <sz val="10"/>
      <name val="Arial"/>
      <family val="2"/>
    </font>
    <font>
      <b/>
      <u/>
      <sz val="10"/>
      <color theme="1"/>
      <name val="Arial"/>
      <family val="2"/>
    </font>
    <font>
      <sz val="10"/>
      <color indexed="8"/>
      <name val="Arial"/>
      <family val="2"/>
    </font>
    <font>
      <sz val="10"/>
      <color theme="0" tint="-0.249977111117893"/>
      <name val="Arial"/>
      <family val="2"/>
    </font>
    <font>
      <b/>
      <sz val="10"/>
      <color theme="1"/>
      <name val="Arial"/>
      <family val="2"/>
    </font>
    <font>
      <i/>
      <sz val="10"/>
      <name val="Arial"/>
      <family val="2"/>
    </font>
    <font>
      <b/>
      <sz val="11"/>
      <color theme="1"/>
      <name val="Calibri"/>
      <family val="2"/>
      <scheme val="minor"/>
    </font>
    <font>
      <sz val="11"/>
      <color theme="1"/>
      <name val="Calibri"/>
      <family val="2"/>
      <scheme val="minor"/>
    </font>
    <font>
      <b/>
      <sz val="14"/>
      <color theme="1"/>
      <name val="Calibri"/>
      <family val="2"/>
      <scheme val="minor"/>
    </font>
    <font>
      <b/>
      <sz val="11"/>
      <name val="Calibri"/>
      <family val="2"/>
      <scheme val="minor"/>
    </font>
    <font>
      <sz val="1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2"/>
      <name val="Times New Roman"/>
      <family val="1"/>
    </font>
    <font>
      <i/>
      <sz val="11"/>
      <color indexed="23"/>
      <name val="Calibri"/>
      <family val="2"/>
    </font>
    <font>
      <sz val="11"/>
      <color indexed="17"/>
      <name val="Calibri"/>
      <family val="2"/>
    </font>
    <font>
      <b/>
      <sz val="12"/>
      <name val="Times New Roman"/>
      <family val="1"/>
    </font>
    <font>
      <b/>
      <sz val="15"/>
      <color indexed="56"/>
      <name val="Calibri"/>
      <family val="2"/>
    </font>
    <font>
      <b/>
      <sz val="15"/>
      <color indexed="62"/>
      <name val="Calibri"/>
      <family val="2"/>
    </font>
    <font>
      <b/>
      <sz val="11"/>
      <color indexed="56"/>
      <name val="Calibri"/>
      <family val="2"/>
    </font>
    <font>
      <b/>
      <sz val="11"/>
      <color indexed="62"/>
      <name val="Calibri"/>
      <family val="2"/>
    </font>
    <font>
      <u/>
      <sz val="10"/>
      <color indexed="12"/>
      <name val="Arial"/>
      <family val="2"/>
    </font>
    <font>
      <u/>
      <sz val="10"/>
      <color theme="10"/>
      <name val="Arial"/>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b/>
      <sz val="10"/>
      <color rgb="FFFF0000"/>
      <name val="Arial"/>
      <family val="2"/>
    </font>
    <font>
      <sz val="10"/>
      <color theme="0"/>
      <name val="Arial"/>
      <family val="2"/>
    </font>
    <font>
      <sz val="12"/>
      <name val="Arial"/>
      <family val="2"/>
    </font>
    <font>
      <b/>
      <i/>
      <sz val="10"/>
      <name val="Arial"/>
      <family val="2"/>
    </font>
    <font>
      <b/>
      <sz val="10"/>
      <color indexed="9"/>
      <name val="Arial"/>
      <family val="2"/>
    </font>
    <font>
      <sz val="10"/>
      <color indexed="22"/>
      <name val="Arial"/>
      <family val="2"/>
    </font>
    <font>
      <b/>
      <sz val="8"/>
      <color indexed="81"/>
      <name val="Tahoma"/>
      <family val="2"/>
    </font>
    <font>
      <sz val="8"/>
      <color indexed="81"/>
      <name val="Tahoma"/>
      <family val="2"/>
    </font>
    <font>
      <sz val="10"/>
      <color theme="0" tint="-0.499984740745262"/>
      <name val="Arial"/>
      <family val="2"/>
    </font>
    <font>
      <sz val="10"/>
      <color indexed="9"/>
      <name val="Arial"/>
      <family val="2"/>
    </font>
    <font>
      <sz val="10"/>
      <color indexed="10"/>
      <name val="Arial"/>
      <family val="2"/>
    </font>
    <font>
      <b/>
      <sz val="11"/>
      <color theme="0"/>
      <name val="Calibri"/>
      <family val="2"/>
      <scheme val="minor"/>
    </font>
  </fonts>
  <fills count="58">
    <fill>
      <patternFill patternType="none"/>
    </fill>
    <fill>
      <patternFill patternType="gray125"/>
    </fill>
    <fill>
      <patternFill patternType="solid">
        <fgColor indexed="13"/>
        <bgColor indexed="64"/>
      </patternFill>
    </fill>
    <fill>
      <patternFill patternType="solid">
        <fgColor indexed="43"/>
        <bgColor indexed="0"/>
      </patternFill>
    </fill>
    <fill>
      <patternFill patternType="solid">
        <fgColor indexed="43"/>
        <bgColor indexed="64"/>
      </patternFill>
    </fill>
    <fill>
      <patternFill patternType="solid">
        <fgColor rgb="FFFFFF00"/>
        <bgColor indexed="64"/>
      </patternFill>
    </fill>
    <fill>
      <patternFill patternType="solid">
        <fgColor rgb="FF92D050"/>
        <bgColor indexed="64"/>
      </patternFill>
    </fill>
    <fill>
      <patternFill patternType="solid">
        <fgColor rgb="FF92D050"/>
        <bgColor indexed="0"/>
      </patternFill>
    </fill>
    <fill>
      <patternFill patternType="solid">
        <fgColor theme="6" tint="0.39997558519241921"/>
        <bgColor indexed="64"/>
      </patternFill>
    </fill>
    <fill>
      <patternFill patternType="solid">
        <fgColor theme="6" tint="0.59999389629810485"/>
        <bgColor indexed="64"/>
      </patternFill>
    </fill>
    <fill>
      <patternFill patternType="solid">
        <fgColor theme="4" tint="0.79998168889431442"/>
        <bgColor theme="4" tint="0.79998168889431442"/>
      </patternFill>
    </fill>
    <fill>
      <patternFill patternType="solid">
        <fgColor theme="0" tint="-0.14999847407452621"/>
        <bgColor theme="0" tint="-0.14999847407452621"/>
      </patternFill>
    </fill>
    <fill>
      <patternFill patternType="solid">
        <fgColor theme="2" tint="-0.249977111117893"/>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indexed="31"/>
      </patternFill>
    </fill>
    <fill>
      <patternFill patternType="solid">
        <fgColor indexed="9"/>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2"/>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55"/>
      </patternFill>
    </fill>
    <fill>
      <patternFill patternType="solid">
        <fgColor indexed="44"/>
        <bgColor indexed="64"/>
      </patternFill>
    </fill>
    <fill>
      <patternFill patternType="solid">
        <fgColor indexed="47"/>
        <bgColor indexed="64"/>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2"/>
        <bgColor indexed="64"/>
      </patternFill>
    </fill>
    <fill>
      <patternFill patternType="solid">
        <fgColor theme="0" tint="-0.249977111117893"/>
        <bgColor indexed="64"/>
      </patternFill>
    </fill>
    <fill>
      <patternFill patternType="solid">
        <fgColor theme="4" tint="-0.249977111117893"/>
        <bgColor indexed="64"/>
      </patternFill>
    </fill>
    <fill>
      <patternFill patternType="solid">
        <fgColor indexed="18"/>
        <bgColor indexed="64"/>
      </patternFill>
    </fill>
    <fill>
      <patternFill patternType="solid">
        <fgColor indexed="26"/>
        <bgColor indexed="64"/>
      </patternFill>
    </fill>
    <fill>
      <patternFill patternType="solid">
        <fgColor indexed="12"/>
        <bgColor indexed="64"/>
      </patternFill>
    </fill>
    <fill>
      <patternFill patternType="solid">
        <fgColor theme="3"/>
        <bgColor indexed="64"/>
      </patternFill>
    </fill>
    <fill>
      <patternFill patternType="solid">
        <fgColor indexed="22"/>
        <bgColor indexed="64"/>
      </patternFill>
    </fill>
    <fill>
      <patternFill patternType="solid">
        <fgColor indexed="57"/>
        <bgColor indexed="64"/>
      </patternFill>
    </fill>
    <fill>
      <patternFill patternType="solid">
        <fgColor indexed="60"/>
        <bgColor indexed="64"/>
      </patternFill>
    </fill>
    <fill>
      <patternFill patternType="solid">
        <fgColor indexed="31"/>
        <bgColor indexed="64"/>
      </patternFill>
    </fill>
    <fill>
      <patternFill patternType="solid">
        <fgColor theme="8" tint="0.59999389629810485"/>
        <bgColor indexed="64"/>
      </patternFill>
    </fill>
    <fill>
      <patternFill patternType="solid">
        <fgColor theme="8" tint="-0.249977111117893"/>
        <bgColor indexed="64"/>
      </patternFill>
    </fill>
  </fills>
  <borders count="5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right/>
      <top/>
      <bottom style="thin">
        <color theme="4" tint="0.3999755851924192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49"/>
      </top>
      <bottom style="double">
        <color indexed="49"/>
      </bottom>
      <diagonal/>
    </border>
    <border>
      <left style="thick">
        <color theme="5"/>
      </left>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medium">
        <color indexed="64"/>
      </top>
      <bottom style="medium">
        <color indexed="64"/>
      </bottom>
      <diagonal/>
    </border>
  </borders>
  <cellStyleXfs count="191">
    <xf numFmtId="0" fontId="0" fillId="0" borderId="0"/>
    <xf numFmtId="43" fontId="3" fillId="0" borderId="0" applyFont="0" applyFill="0" applyBorder="0" applyAlignment="0" applyProtection="0"/>
    <xf numFmtId="44" fontId="3" fillId="0" borderId="0" applyFont="0" applyFill="0" applyBorder="0" applyAlignment="0" applyProtection="0"/>
    <xf numFmtId="0" fontId="7" fillId="0" borderId="0"/>
    <xf numFmtId="9" fontId="3" fillId="0" borderId="0" applyFont="0" applyFill="0" applyBorder="0" applyAlignment="0" applyProtection="0"/>
    <xf numFmtId="0" fontId="6" fillId="0" borderId="0"/>
    <xf numFmtId="0" fontId="6" fillId="0" borderId="0"/>
    <xf numFmtId="0" fontId="2" fillId="0" borderId="0"/>
    <xf numFmtId="0" fontId="3" fillId="0" borderId="0">
      <alignment readingOrder="1"/>
    </xf>
    <xf numFmtId="0" fontId="24"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4" fillId="17" borderId="0" applyNumberFormat="0" applyBorder="0" applyAlignment="0" applyProtection="0"/>
    <xf numFmtId="0" fontId="24" fillId="19"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2" borderId="0" applyNumberFormat="0" applyBorder="0" applyAlignment="0" applyProtection="0"/>
    <xf numFmtId="0" fontId="24" fillId="23" borderId="0" applyNumberFormat="0" applyBorder="0" applyAlignment="0" applyProtection="0"/>
    <xf numFmtId="0" fontId="24" fillId="24" borderId="0" applyNumberFormat="0" applyBorder="0" applyAlignment="0" applyProtection="0"/>
    <xf numFmtId="0" fontId="24" fillId="17" borderId="0" applyNumberFormat="0" applyBorder="0" applyAlignment="0" applyProtection="0"/>
    <xf numFmtId="0" fontId="24" fillId="25" borderId="0" applyNumberFormat="0" applyBorder="0" applyAlignment="0" applyProtection="0"/>
    <xf numFmtId="0" fontId="24" fillId="17" borderId="0" applyNumberFormat="0" applyBorder="0" applyAlignment="0" applyProtection="0"/>
    <xf numFmtId="0" fontId="24" fillId="19" borderId="0" applyNumberFormat="0" applyBorder="0" applyAlignment="0" applyProtection="0"/>
    <xf numFmtId="0" fontId="24" fillId="23" borderId="0" applyNumberFormat="0" applyBorder="0" applyAlignment="0" applyProtection="0"/>
    <xf numFmtId="0" fontId="24" fillId="22" borderId="0" applyNumberFormat="0" applyBorder="0" applyAlignment="0" applyProtection="0"/>
    <xf numFmtId="0" fontId="24" fillId="26" borderId="0" applyNumberFormat="0" applyBorder="0" applyAlignment="0" applyProtection="0"/>
    <xf numFmtId="0" fontId="24" fillId="21" borderId="0" applyNumberFormat="0" applyBorder="0" applyAlignment="0" applyProtection="0"/>
    <xf numFmtId="0" fontId="25" fillId="27" borderId="0" applyNumberFormat="0" applyBorder="0" applyAlignment="0" applyProtection="0"/>
    <xf numFmtId="0" fontId="25" fillId="28" borderId="0" applyNumberFormat="0" applyBorder="0" applyAlignment="0" applyProtection="0"/>
    <xf numFmtId="0" fontId="25" fillId="24" borderId="0" applyNumberFormat="0" applyBorder="0" applyAlignment="0" applyProtection="0"/>
    <xf numFmtId="0" fontId="25" fillId="17" borderId="0" applyNumberFormat="0" applyBorder="0" applyAlignment="0" applyProtection="0"/>
    <xf numFmtId="0" fontId="25" fillId="25" borderId="0" applyNumberFormat="0" applyBorder="0" applyAlignment="0" applyProtection="0"/>
    <xf numFmtId="0" fontId="25" fillId="17" borderId="0" applyNumberFormat="0" applyBorder="0" applyAlignment="0" applyProtection="0"/>
    <xf numFmtId="0" fontId="25" fillId="29" borderId="0" applyNumberFormat="0" applyBorder="0" applyAlignment="0" applyProtection="0"/>
    <xf numFmtId="0" fontId="25" fillId="23" borderId="0" applyNumberFormat="0" applyBorder="0" applyAlignment="0" applyProtection="0"/>
    <xf numFmtId="0" fontId="25" fillId="28" borderId="0" applyNumberFormat="0" applyBorder="0" applyAlignment="0" applyProtection="0"/>
    <xf numFmtId="0" fontId="25" fillId="30" borderId="0" applyNumberFormat="0" applyBorder="0" applyAlignment="0" applyProtection="0"/>
    <xf numFmtId="0" fontId="25" fillId="21" borderId="0" applyNumberFormat="0" applyBorder="0" applyAlignment="0" applyProtection="0"/>
    <xf numFmtId="0" fontId="25" fillId="31" borderId="0" applyNumberFormat="0" applyBorder="0" applyAlignment="0" applyProtection="0"/>
    <xf numFmtId="0" fontId="25" fillId="28"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5" fillId="17" borderId="0" applyNumberFormat="0" applyBorder="0" applyAlignment="0" applyProtection="0"/>
    <xf numFmtId="0" fontId="25" fillId="29" borderId="0" applyNumberFormat="0" applyBorder="0" applyAlignment="0" applyProtection="0"/>
    <xf numFmtId="0" fontId="25" fillId="34" borderId="0" applyNumberFormat="0" applyBorder="0" applyAlignment="0" applyProtection="0"/>
    <xf numFmtId="0" fontId="25" fillId="28" borderId="0" applyNumberFormat="0" applyBorder="0" applyAlignment="0" applyProtection="0"/>
    <xf numFmtId="0" fontId="25" fillId="35" borderId="0" applyNumberFormat="0" applyBorder="0" applyAlignment="0" applyProtection="0"/>
    <xf numFmtId="0" fontId="26" fillId="17" borderId="0" applyNumberFormat="0" applyBorder="0" applyAlignment="0" applyProtection="0"/>
    <xf numFmtId="0" fontId="26" fillId="19" borderId="0" applyNumberFormat="0" applyBorder="0" applyAlignment="0" applyProtection="0"/>
    <xf numFmtId="0" fontId="27" fillId="23" borderId="40" applyNumberFormat="0" applyAlignment="0" applyProtection="0"/>
    <xf numFmtId="0" fontId="27" fillId="16" borderId="40" applyNumberFormat="0" applyAlignment="0" applyProtection="0"/>
    <xf numFmtId="0" fontId="28" fillId="36" borderId="41"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37" borderId="0" applyNumberFormat="0" applyAlignment="0">
      <alignment horizontal="right"/>
    </xf>
    <xf numFmtId="0" fontId="3" fillId="37" borderId="0" applyNumberFormat="0" applyAlignment="0">
      <alignment horizontal="right"/>
    </xf>
    <xf numFmtId="0" fontId="3" fillId="37" borderId="0" applyNumberFormat="0" applyAlignment="0">
      <alignment horizontal="right"/>
    </xf>
    <xf numFmtId="0" fontId="3" fillId="37" borderId="0" applyNumberFormat="0" applyAlignment="0">
      <alignment horizontal="right"/>
    </xf>
    <xf numFmtId="0" fontId="3" fillId="37" borderId="0" applyNumberFormat="0" applyAlignment="0">
      <alignment horizontal="right"/>
    </xf>
    <xf numFmtId="0" fontId="3" fillId="37" borderId="0" applyNumberFormat="0" applyAlignment="0">
      <alignment horizontal="right"/>
    </xf>
    <xf numFmtId="0" fontId="3" fillId="38" borderId="0" applyNumberFormat="0" applyAlignment="0"/>
    <xf numFmtId="171" fontId="29" fillId="0" borderId="0"/>
    <xf numFmtId="0" fontId="30" fillId="0" borderId="0" applyNumberFormat="0" applyFill="0" applyBorder="0" applyAlignment="0" applyProtection="0"/>
    <xf numFmtId="0" fontId="31" fillId="18" borderId="0" applyNumberFormat="0" applyBorder="0" applyAlignment="0" applyProtection="0"/>
    <xf numFmtId="0" fontId="32" fillId="0" borderId="0">
      <alignment horizontal="center" wrapText="1"/>
    </xf>
    <xf numFmtId="0" fontId="33" fillId="0" borderId="42" applyNumberFormat="0" applyFill="0" applyAlignment="0" applyProtection="0"/>
    <xf numFmtId="0" fontId="34" fillId="0" borderId="43" applyNumberFormat="0" applyFill="0" applyAlignment="0" applyProtection="0"/>
    <xf numFmtId="0" fontId="35" fillId="0" borderId="44" applyNumberFormat="0" applyFill="0" applyAlignment="0" applyProtection="0"/>
    <xf numFmtId="0" fontId="36" fillId="0" borderId="45" applyNumberFormat="0" applyFill="0" applyAlignment="0" applyProtection="0"/>
    <xf numFmtId="0" fontId="35" fillId="0" borderId="0" applyNumberFormat="0" applyFill="0" applyBorder="0" applyAlignment="0" applyProtection="0"/>
    <xf numFmtId="0" fontId="36" fillId="0" borderId="0" applyNumberFormat="0" applyFill="0" applyBorder="0" applyAlignment="0" applyProtection="0"/>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9" fillId="21" borderId="40" applyNumberFormat="0" applyAlignment="0" applyProtection="0"/>
    <xf numFmtId="0" fontId="40" fillId="0" borderId="46" applyNumberFormat="0" applyFill="0" applyAlignment="0" applyProtection="0"/>
    <xf numFmtId="0" fontId="41" fillId="39" borderId="0" applyNumberFormat="0" applyBorder="0" applyAlignment="0" applyProtection="0"/>
    <xf numFmtId="0" fontId="24" fillId="0" borderId="0"/>
    <xf numFmtId="0" fontId="24" fillId="0" borderId="0"/>
    <xf numFmtId="0" fontId="24" fillId="0" borderId="0"/>
    <xf numFmtId="0" fontId="3" fillId="0" borderId="0">
      <alignment readingOrder="1"/>
    </xf>
    <xf numFmtId="0" fontId="3" fillId="0" borderId="0"/>
    <xf numFmtId="0" fontId="20" fillId="0" borderId="0"/>
    <xf numFmtId="0" fontId="3" fillId="0" borderId="0">
      <alignment readingOrder="1"/>
    </xf>
    <xf numFmtId="0" fontId="20" fillId="0" borderId="0"/>
    <xf numFmtId="0" fontId="20" fillId="0" borderId="0"/>
    <xf numFmtId="0" fontId="20" fillId="0" borderId="0"/>
    <xf numFmtId="0" fontId="20" fillId="0" borderId="0"/>
    <xf numFmtId="0" fontId="20" fillId="0" borderId="0"/>
    <xf numFmtId="0" fontId="3" fillId="0" borderId="0">
      <alignment readingOrder="1"/>
    </xf>
    <xf numFmtId="0" fontId="20" fillId="0" borderId="0"/>
    <xf numFmtId="0" fontId="3" fillId="0" borderId="0"/>
    <xf numFmtId="0" fontId="3" fillId="0" borderId="0"/>
    <xf numFmtId="0" fontId="3" fillId="0" borderId="0"/>
    <xf numFmtId="0" fontId="3" fillId="0" borderId="0"/>
    <xf numFmtId="0" fontId="3" fillId="0" borderId="0"/>
    <xf numFmtId="0" fontId="3" fillId="0" borderId="0"/>
    <xf numFmtId="0" fontId="24" fillId="0" borderId="0"/>
    <xf numFmtId="0" fontId="24" fillId="0" borderId="0"/>
    <xf numFmtId="0" fontId="3" fillId="0" borderId="0"/>
    <xf numFmtId="0" fontId="3" fillId="0" borderId="0">
      <alignment readingOrder="1"/>
    </xf>
    <xf numFmtId="0" fontId="3" fillId="0" borderId="0">
      <alignment readingOrder="1"/>
    </xf>
    <xf numFmtId="0" fontId="3" fillId="0" borderId="0">
      <alignment readingOrder="1"/>
    </xf>
    <xf numFmtId="0" fontId="24" fillId="0" borderId="0"/>
    <xf numFmtId="0" fontId="3" fillId="0" borderId="0">
      <alignment readingOrder="1"/>
    </xf>
    <xf numFmtId="0" fontId="3" fillId="0" borderId="0"/>
    <xf numFmtId="0" fontId="3" fillId="0" borderId="0">
      <alignment readingOrder="1"/>
    </xf>
    <xf numFmtId="0" fontId="3" fillId="0" borderId="0"/>
    <xf numFmtId="0" fontId="3" fillId="0" borderId="0"/>
    <xf numFmtId="0" fontId="3" fillId="0" borderId="0"/>
    <xf numFmtId="0" fontId="3" fillId="0" borderId="0"/>
    <xf numFmtId="0" fontId="3" fillId="0" borderId="0"/>
    <xf numFmtId="0" fontId="3" fillId="0" borderId="0"/>
    <xf numFmtId="0" fontId="20" fillId="0" borderId="0"/>
    <xf numFmtId="0" fontId="24"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4" fillId="0" borderId="0"/>
    <xf numFmtId="0" fontId="24" fillId="0" borderId="0"/>
    <xf numFmtId="0" fontId="42" fillId="0" borderId="0"/>
    <xf numFmtId="0" fontId="24" fillId="0" borderId="0"/>
    <xf numFmtId="0" fontId="24" fillId="0" borderId="0"/>
    <xf numFmtId="0" fontId="24" fillId="0" borderId="0"/>
    <xf numFmtId="0" fontId="24" fillId="0" borderId="0"/>
    <xf numFmtId="0" fontId="3" fillId="0" borderId="0">
      <alignment readingOrder="1"/>
    </xf>
    <xf numFmtId="0" fontId="3" fillId="0" borderId="0">
      <alignment readingOrder="1"/>
    </xf>
    <xf numFmtId="0" fontId="3" fillId="0" borderId="0">
      <alignment readingOrder="1"/>
    </xf>
    <xf numFmtId="0" fontId="24" fillId="40" borderId="47" applyNumberFormat="0" applyFont="0" applyAlignment="0" applyProtection="0"/>
    <xf numFmtId="0" fontId="3" fillId="40" borderId="47" applyNumberFormat="0" applyFont="0" applyAlignment="0" applyProtection="0"/>
    <xf numFmtId="0" fontId="43" fillId="23" borderId="48" applyNumberFormat="0" applyAlignment="0" applyProtection="0"/>
    <xf numFmtId="0" fontId="43" fillId="16" borderId="48"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6" fillId="0" borderId="49" applyNumberFormat="0" applyFill="0" applyAlignment="0" applyProtection="0"/>
    <xf numFmtId="0" fontId="46" fillId="0" borderId="50" applyNumberFormat="0" applyFill="0" applyAlignment="0" applyProtection="0"/>
    <xf numFmtId="0" fontId="47" fillId="0" borderId="0" applyNumberFormat="0" applyFill="0" applyBorder="0" applyAlignment="0" applyProtection="0"/>
    <xf numFmtId="0" fontId="3" fillId="0" borderId="0"/>
    <xf numFmtId="0" fontId="3" fillId="0" borderId="0"/>
    <xf numFmtId="0" fontId="50" fillId="0" borderId="0"/>
    <xf numFmtId="0" fontId="3" fillId="0" borderId="0"/>
  </cellStyleXfs>
  <cellXfs count="453">
    <xf numFmtId="0" fontId="0" fillId="0" borderId="0" xfId="0"/>
    <xf numFmtId="0" fontId="0" fillId="2" borderId="0" xfId="0" applyFill="1"/>
    <xf numFmtId="0" fontId="0" fillId="0" borderId="0" xfId="0" applyAlignment="1">
      <alignment horizontal="left"/>
    </xf>
    <xf numFmtId="164" fontId="0" fillId="0" borderId="0" xfId="1" applyNumberFormat="1" applyFont="1"/>
    <xf numFmtId="0" fontId="4" fillId="0" borderId="0" xfId="0" applyFont="1"/>
    <xf numFmtId="2" fontId="0" fillId="0" borderId="0" xfId="0" applyNumberFormat="1"/>
    <xf numFmtId="0" fontId="0" fillId="0" borderId="0" xfId="0" applyAlignment="1">
      <alignment horizontal="right"/>
    </xf>
    <xf numFmtId="10" fontId="0" fillId="0" borderId="0" xfId="4" applyNumberFormat="1" applyFont="1"/>
    <xf numFmtId="0" fontId="0" fillId="0" borderId="0" xfId="0" applyBorder="1"/>
    <xf numFmtId="164" fontId="0" fillId="0" borderId="0" xfId="0" applyNumberFormat="1"/>
    <xf numFmtId="164" fontId="0" fillId="0" borderId="0" xfId="1" applyNumberFormat="1" applyFont="1" applyAlignment="1">
      <alignment horizontal="center"/>
    </xf>
    <xf numFmtId="164" fontId="7" fillId="3" borderId="1" xfId="1" applyNumberFormat="1" applyFont="1" applyFill="1" applyBorder="1" applyAlignment="1">
      <alignment horizontal="center" wrapText="1"/>
    </xf>
    <xf numFmtId="0" fontId="7" fillId="3" borderId="1" xfId="3" applyFont="1" applyFill="1" applyBorder="1" applyAlignment="1">
      <alignment horizontal="center"/>
    </xf>
    <xf numFmtId="0" fontId="7" fillId="3" borderId="1" xfId="3" applyFont="1" applyFill="1" applyBorder="1" applyAlignment="1">
      <alignment horizontal="left"/>
    </xf>
    <xf numFmtId="167" fontId="7" fillId="3" borderId="1" xfId="2" applyNumberFormat="1" applyFont="1" applyFill="1" applyBorder="1" applyAlignment="1">
      <alignment horizontal="left" wrapText="1"/>
    </xf>
    <xf numFmtId="164" fontId="7" fillId="3" borderId="1" xfId="1" applyNumberFormat="1" applyFont="1" applyFill="1" applyBorder="1" applyAlignment="1">
      <alignment horizontal="left" wrapText="1"/>
    </xf>
    <xf numFmtId="0" fontId="0" fillId="4" borderId="1" xfId="0" applyFill="1" applyBorder="1" applyAlignment="1">
      <alignment horizontal="left" wrapText="1"/>
    </xf>
    <xf numFmtId="164" fontId="7" fillId="0" borderId="1" xfId="1" applyNumberFormat="1" applyFont="1" applyFill="1" applyBorder="1" applyAlignment="1">
      <alignment horizontal="right"/>
    </xf>
    <xf numFmtId="167" fontId="3" fillId="0" borderId="0" xfId="2" applyNumberFormat="1"/>
    <xf numFmtId="164" fontId="3" fillId="0" borderId="0" xfId="1" applyNumberFormat="1"/>
    <xf numFmtId="0" fontId="7" fillId="0" borderId="1" xfId="3" applyFont="1" applyFill="1" applyBorder="1" applyAlignment="1">
      <alignment horizontal="right"/>
    </xf>
    <xf numFmtId="0" fontId="7" fillId="0" borderId="1" xfId="3" applyFont="1" applyFill="1" applyBorder="1" applyAlignment="1"/>
    <xf numFmtId="167" fontId="7" fillId="0" borderId="1" xfId="2" applyNumberFormat="1" applyFont="1" applyFill="1" applyBorder="1" applyAlignment="1">
      <alignment horizontal="right"/>
    </xf>
    <xf numFmtId="164" fontId="7" fillId="0" borderId="0" xfId="1" applyNumberFormat="1" applyFont="1" applyFill="1" applyBorder="1" applyAlignment="1">
      <alignment horizontal="right"/>
    </xf>
    <xf numFmtId="3" fontId="0" fillId="0" borderId="0" xfId="0" applyNumberFormat="1"/>
    <xf numFmtId="3" fontId="0" fillId="2" borderId="0" xfId="0" applyNumberFormat="1" applyFill="1"/>
    <xf numFmtId="0" fontId="0" fillId="0" borderId="0" xfId="0" quotePrefix="1"/>
    <xf numFmtId="1" fontId="0" fillId="0" borderId="0" xfId="0" applyNumberFormat="1"/>
    <xf numFmtId="9" fontId="0" fillId="0" borderId="0" xfId="4" applyFont="1"/>
    <xf numFmtId="0" fontId="0" fillId="0" borderId="0" xfId="0" applyAlignment="1">
      <alignment wrapText="1"/>
    </xf>
    <xf numFmtId="166" fontId="0" fillId="0" borderId="0" xfId="0" applyNumberFormat="1"/>
    <xf numFmtId="168" fontId="3" fillId="0" borderId="0" xfId="1" applyNumberFormat="1"/>
    <xf numFmtId="0" fontId="0" fillId="0" borderId="0" xfId="0" applyFill="1"/>
    <xf numFmtId="1" fontId="0" fillId="0" borderId="0" xfId="0" applyNumberFormat="1" applyFill="1"/>
    <xf numFmtId="164" fontId="0" fillId="0" borderId="0" xfId="1" applyNumberFormat="1" applyFont="1" applyFill="1"/>
    <xf numFmtId="167" fontId="0" fillId="0" borderId="0" xfId="2" applyNumberFormat="1" applyFont="1"/>
    <xf numFmtId="9" fontId="3" fillId="0" borderId="0" xfId="4"/>
    <xf numFmtId="169" fontId="0" fillId="0" borderId="0" xfId="4" applyNumberFormat="1" applyFont="1"/>
    <xf numFmtId="1" fontId="0" fillId="0" borderId="0" xfId="0" applyNumberFormat="1" applyAlignment="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164" fontId="0" fillId="0" borderId="0" xfId="0" applyNumberFormat="1" applyBorder="1"/>
    <xf numFmtId="164" fontId="0" fillId="0" borderId="6" xfId="0" applyNumberFormat="1" applyBorder="1"/>
    <xf numFmtId="0" fontId="0" fillId="0" borderId="7" xfId="0" applyBorder="1"/>
    <xf numFmtId="164" fontId="0" fillId="0" borderId="8" xfId="0" applyNumberFormat="1" applyBorder="1"/>
    <xf numFmtId="164" fontId="0" fillId="0" borderId="9" xfId="0" applyNumberFormat="1" applyBorder="1"/>
    <xf numFmtId="10" fontId="0" fillId="0" borderId="5" xfId="4" applyNumberFormat="1" applyFont="1" applyBorder="1"/>
    <xf numFmtId="166" fontId="0" fillId="0" borderId="0" xfId="0" applyNumberFormat="1" applyBorder="1"/>
    <xf numFmtId="166" fontId="0" fillId="0" borderId="6" xfId="0" applyNumberFormat="1" applyBorder="1"/>
    <xf numFmtId="10" fontId="0" fillId="0" borderId="7" xfId="4" applyNumberFormat="1" applyFont="1" applyBorder="1"/>
    <xf numFmtId="166" fontId="0" fillId="0" borderId="8" xfId="0" applyNumberFormat="1" applyBorder="1"/>
    <xf numFmtId="166" fontId="0" fillId="0" borderId="9" xfId="0" applyNumberFormat="1" applyBorder="1"/>
    <xf numFmtId="0" fontId="0" fillId="0" borderId="6" xfId="0" applyBorder="1" applyAlignment="1">
      <alignment horizontal="center"/>
    </xf>
    <xf numFmtId="2" fontId="0" fillId="0" borderId="5" xfId="0" applyNumberFormat="1" applyBorder="1"/>
    <xf numFmtId="2" fontId="0" fillId="0" borderId="6" xfId="0" applyNumberFormat="1" applyBorder="1"/>
    <xf numFmtId="2" fontId="0" fillId="0" borderId="7" xfId="0" applyNumberFormat="1" applyBorder="1"/>
    <xf numFmtId="2" fontId="0" fillId="0" borderId="9" xfId="0" applyNumberFormat="1" applyBorder="1"/>
    <xf numFmtId="0" fontId="0" fillId="0" borderId="0" xfId="0" applyBorder="1" applyAlignment="1">
      <alignment horizontal="center"/>
    </xf>
    <xf numFmtId="10" fontId="0" fillId="0" borderId="0" xfId="4" applyNumberFormat="1" applyFont="1" applyBorder="1" applyAlignment="1">
      <alignment horizontal="center"/>
    </xf>
    <xf numFmtId="2" fontId="0" fillId="0" borderId="0" xfId="0" applyNumberFormat="1" applyBorder="1" applyAlignment="1">
      <alignment horizontal="center"/>
    </xf>
    <xf numFmtId="166" fontId="0" fillId="0" borderId="0" xfId="0" applyNumberFormat="1" applyBorder="1" applyAlignment="1">
      <alignment horizontal="center"/>
    </xf>
    <xf numFmtId="0" fontId="8" fillId="0" borderId="0" xfId="0" applyFont="1" applyBorder="1" applyAlignment="1">
      <alignment horizontal="center"/>
    </xf>
    <xf numFmtId="0" fontId="8" fillId="0" borderId="0" xfId="0" applyFont="1" applyBorder="1"/>
    <xf numFmtId="165" fontId="8" fillId="0" borderId="0" xfId="0" applyNumberFormat="1" applyFont="1" applyBorder="1" applyAlignment="1">
      <alignment horizontal="center"/>
    </xf>
    <xf numFmtId="0" fontId="6" fillId="0" borderId="0" xfId="0" applyFont="1"/>
    <xf numFmtId="0" fontId="13" fillId="0" borderId="0" xfId="0" applyFont="1"/>
    <xf numFmtId="0" fontId="6" fillId="0" borderId="1" xfId="0" applyFont="1" applyBorder="1"/>
    <xf numFmtId="165" fontId="0" fillId="0" borderId="0" xfId="0" applyNumberFormat="1"/>
    <xf numFmtId="0" fontId="6" fillId="0" borderId="0" xfId="0" applyFont="1" applyAlignment="1">
      <alignment vertical="top"/>
    </xf>
    <xf numFmtId="0" fontId="0" fillId="0" borderId="0" xfId="0" applyAlignment="1">
      <alignment vertical="top"/>
    </xf>
    <xf numFmtId="3" fontId="0" fillId="0" borderId="0" xfId="0" applyNumberFormat="1" applyAlignment="1">
      <alignment vertical="top"/>
    </xf>
    <xf numFmtId="2" fontId="0" fillId="0" borderId="0" xfId="0" applyNumberFormat="1" applyAlignment="1">
      <alignment vertical="top"/>
    </xf>
    <xf numFmtId="165" fontId="0" fillId="0" borderId="0" xfId="0" applyNumberFormat="1" applyAlignment="1">
      <alignment vertical="top"/>
    </xf>
    <xf numFmtId="0" fontId="13" fillId="0" borderId="0" xfId="0" applyFont="1" applyAlignment="1">
      <alignment vertical="top"/>
    </xf>
    <xf numFmtId="1" fontId="0" fillId="0" borderId="0" xfId="0" applyNumberFormat="1" applyAlignment="1">
      <alignment vertical="top"/>
    </xf>
    <xf numFmtId="164" fontId="0" fillId="0" borderId="0" xfId="1" applyNumberFormat="1" applyFont="1" applyAlignment="1">
      <alignment vertical="top"/>
    </xf>
    <xf numFmtId="0" fontId="9" fillId="0" borderId="0" xfId="0" applyFont="1" applyAlignment="1">
      <alignment vertical="top"/>
    </xf>
    <xf numFmtId="9" fontId="0" fillId="0" borderId="0" xfId="4" applyFont="1" applyAlignment="1">
      <alignment vertical="top"/>
    </xf>
    <xf numFmtId="169" fontId="0" fillId="0" borderId="0" xfId="4" applyNumberFormat="1" applyFont="1" applyAlignment="1">
      <alignment vertical="top"/>
    </xf>
    <xf numFmtId="169" fontId="0" fillId="0" borderId="0" xfId="0" applyNumberFormat="1" applyAlignment="1">
      <alignment vertical="top"/>
    </xf>
    <xf numFmtId="164" fontId="0" fillId="0" borderId="0" xfId="0" applyNumberFormat="1" applyAlignment="1">
      <alignment vertical="top"/>
    </xf>
    <xf numFmtId="0" fontId="8" fillId="0" borderId="0" xfId="0" applyFont="1" applyBorder="1" applyAlignment="1">
      <alignment horizontal="center"/>
    </xf>
    <xf numFmtId="164" fontId="0" fillId="6" borderId="0" xfId="0" applyNumberFormat="1" applyFill="1"/>
    <xf numFmtId="0" fontId="0" fillId="0" borderId="1" xfId="0" applyBorder="1"/>
    <xf numFmtId="0" fontId="0" fillId="0" borderId="1" xfId="0" applyFill="1" applyBorder="1"/>
    <xf numFmtId="0" fontId="0" fillId="2" borderId="1" xfId="0" applyFill="1" applyBorder="1"/>
    <xf numFmtId="164" fontId="0" fillId="0" borderId="1" xfId="1" applyNumberFormat="1" applyFont="1" applyBorder="1"/>
    <xf numFmtId="0" fontId="6" fillId="2" borderId="1" xfId="0" applyFont="1" applyFill="1" applyBorder="1"/>
    <xf numFmtId="167" fontId="0" fillId="0" borderId="1" xfId="2" applyNumberFormat="1" applyFont="1" applyBorder="1"/>
    <xf numFmtId="0" fontId="6" fillId="0" borderId="1" xfId="5" applyBorder="1" applyAlignment="1">
      <alignment vertical="center" wrapText="1"/>
    </xf>
    <xf numFmtId="164" fontId="0" fillId="0" borderId="1" xfId="0" applyNumberFormat="1" applyBorder="1" applyAlignment="1">
      <alignment horizontal="center"/>
    </xf>
    <xf numFmtId="0" fontId="0" fillId="0" borderId="1" xfId="0" applyBorder="1" applyAlignment="1">
      <alignment horizontal="center"/>
    </xf>
    <xf numFmtId="0" fontId="4" fillId="5" borderId="1" xfId="0" applyFont="1" applyFill="1" applyBorder="1" applyAlignment="1">
      <alignment wrapText="1"/>
    </xf>
    <xf numFmtId="0" fontId="4" fillId="5" borderId="1" xfId="0" applyFont="1" applyFill="1" applyBorder="1" applyAlignment="1">
      <alignment horizontal="center" wrapText="1"/>
    </xf>
    <xf numFmtId="164" fontId="0" fillId="0" borderId="1" xfId="1" applyNumberFormat="1" applyFont="1" applyBorder="1" applyAlignment="1"/>
    <xf numFmtId="0" fontId="6" fillId="0" borderId="0" xfId="5" applyFill="1" applyBorder="1" applyAlignment="1">
      <alignment vertical="center" wrapText="1"/>
    </xf>
    <xf numFmtId="0" fontId="6" fillId="0" borderId="1" xfId="5" applyFill="1" applyBorder="1" applyAlignment="1">
      <alignment vertical="center" wrapText="1"/>
    </xf>
    <xf numFmtId="167" fontId="0" fillId="0" borderId="1" xfId="2" applyNumberFormat="1" applyFont="1" applyBorder="1" applyAlignment="1">
      <alignment horizontal="center"/>
    </xf>
    <xf numFmtId="0" fontId="0" fillId="0" borderId="14" xfId="0" applyBorder="1" applyAlignment="1">
      <alignment horizontal="center"/>
    </xf>
    <xf numFmtId="164" fontId="0" fillId="0" borderId="16" xfId="0" applyNumberFormat="1" applyBorder="1" applyAlignment="1">
      <alignment horizontal="center"/>
    </xf>
    <xf numFmtId="0" fontId="0" fillId="0" borderId="17" xfId="0" applyBorder="1" applyAlignment="1">
      <alignment horizontal="center"/>
    </xf>
    <xf numFmtId="0" fontId="6" fillId="0" borderId="19" xfId="5" applyBorder="1" applyAlignment="1">
      <alignment vertical="center" wrapText="1"/>
    </xf>
    <xf numFmtId="0" fontId="6" fillId="0" borderId="20" xfId="5" applyBorder="1" applyAlignment="1">
      <alignment vertical="center" wrapText="1"/>
    </xf>
    <xf numFmtId="164" fontId="0" fillId="0" borderId="13" xfId="0" applyNumberFormat="1" applyBorder="1" applyAlignment="1">
      <alignment horizontal="center"/>
    </xf>
    <xf numFmtId="164" fontId="0" fillId="0" borderId="15" xfId="0" applyNumberFormat="1" applyBorder="1" applyAlignment="1">
      <alignment horizontal="center"/>
    </xf>
    <xf numFmtId="0" fontId="4" fillId="6" borderId="2" xfId="0" applyFont="1" applyFill="1" applyBorder="1" applyAlignment="1">
      <alignment wrapText="1"/>
    </xf>
    <xf numFmtId="0" fontId="4" fillId="6" borderId="21" xfId="0" applyFont="1" applyFill="1" applyBorder="1" applyAlignment="1">
      <alignment horizontal="center" wrapText="1"/>
    </xf>
    <xf numFmtId="0" fontId="6" fillId="0" borderId="18" xfId="5" applyBorder="1" applyAlignment="1">
      <alignment vertical="center" wrapText="1"/>
    </xf>
    <xf numFmtId="164" fontId="0" fillId="0" borderId="10" xfId="0" applyNumberFormat="1" applyBorder="1" applyAlignment="1">
      <alignment horizontal="center"/>
    </xf>
    <xf numFmtId="167" fontId="0" fillId="0" borderId="11" xfId="2" applyNumberFormat="1" applyFont="1" applyBorder="1" applyAlignment="1">
      <alignment horizontal="center"/>
    </xf>
    <xf numFmtId="0" fontId="0" fillId="0" borderId="12" xfId="0" applyBorder="1" applyAlignment="1">
      <alignment horizontal="center"/>
    </xf>
    <xf numFmtId="0" fontId="4" fillId="6" borderId="22" xfId="0" applyFont="1" applyFill="1" applyBorder="1" applyAlignment="1">
      <alignment horizontal="center" wrapText="1"/>
    </xf>
    <xf numFmtId="0" fontId="4" fillId="6" borderId="23" xfId="0" applyFont="1" applyFill="1" applyBorder="1" applyAlignment="1">
      <alignment horizontal="center" wrapText="1"/>
    </xf>
    <xf numFmtId="9" fontId="0" fillId="0" borderId="0" xfId="0" applyNumberFormat="1"/>
    <xf numFmtId="0" fontId="13" fillId="5" borderId="0" xfId="0" applyFont="1" applyFill="1"/>
    <xf numFmtId="0" fontId="0" fillId="5" borderId="0" xfId="0" applyFill="1"/>
    <xf numFmtId="0" fontId="14" fillId="5" borderId="0" xfId="0" applyFont="1" applyFill="1"/>
    <xf numFmtId="0" fontId="6" fillId="6" borderId="1" xfId="0" applyFont="1" applyFill="1" applyBorder="1" applyAlignment="1">
      <alignment horizontal="left" wrapText="1"/>
    </xf>
    <xf numFmtId="164" fontId="15" fillId="7" borderId="1" xfId="1" applyNumberFormat="1" applyFont="1" applyFill="1" applyBorder="1" applyAlignment="1">
      <alignment horizontal="left" wrapText="1"/>
    </xf>
    <xf numFmtId="3" fontId="0" fillId="6" borderId="0" xfId="0" applyNumberFormat="1" applyFill="1"/>
    <xf numFmtId="164" fontId="0" fillId="6" borderId="0" xfId="1" applyNumberFormat="1" applyFont="1" applyFill="1"/>
    <xf numFmtId="0" fontId="16" fillId="0" borderId="0" xfId="0" applyFont="1" applyAlignment="1">
      <alignment horizontal="left"/>
    </xf>
    <xf numFmtId="164" fontId="4" fillId="0" borderId="0" xfId="1" applyNumberFormat="1" applyFont="1"/>
    <xf numFmtId="3" fontId="0" fillId="5" borderId="0" xfId="0" applyNumberFormat="1" applyFill="1"/>
    <xf numFmtId="0" fontId="6" fillId="0" borderId="0" xfId="0" applyFont="1" applyAlignment="1">
      <alignment horizontal="left"/>
    </xf>
    <xf numFmtId="164" fontId="13" fillId="0" borderId="0" xfId="1" applyNumberFormat="1" applyFont="1"/>
    <xf numFmtId="164" fontId="6" fillId="0" borderId="0" xfId="1" applyNumberFormat="1" applyFont="1" applyAlignment="1">
      <alignment horizontal="left"/>
    </xf>
    <xf numFmtId="1" fontId="0" fillId="5" borderId="0" xfId="0" applyNumberFormat="1" applyFill="1"/>
    <xf numFmtId="0" fontId="6" fillId="6" borderId="1" xfId="0" applyFont="1" applyFill="1" applyBorder="1" applyAlignment="1">
      <alignment wrapText="1"/>
    </xf>
    <xf numFmtId="1" fontId="0" fillId="6" borderId="0" xfId="0" applyNumberFormat="1" applyFill="1"/>
    <xf numFmtId="164" fontId="6" fillId="0" borderId="0" xfId="1" applyNumberFormat="1" applyFont="1"/>
    <xf numFmtId="0" fontId="6" fillId="6" borderId="0" xfId="0" applyFont="1" applyFill="1"/>
    <xf numFmtId="44" fontId="0" fillId="0" borderId="0" xfId="2" applyFont="1"/>
    <xf numFmtId="43" fontId="0" fillId="0" borderId="0" xfId="0" applyNumberFormat="1"/>
    <xf numFmtId="2" fontId="0" fillId="6" borderId="0" xfId="0" applyNumberFormat="1" applyFill="1"/>
    <xf numFmtId="0" fontId="0" fillId="6" borderId="0" xfId="0" applyFill="1"/>
    <xf numFmtId="0" fontId="3" fillId="8" borderId="0" xfId="0" applyFont="1" applyFill="1" applyAlignment="1">
      <alignment horizontal="left" vertical="top" wrapText="1"/>
    </xf>
    <xf numFmtId="0" fontId="6" fillId="8" borderId="0" xfId="0" applyFont="1" applyFill="1" applyAlignment="1">
      <alignment horizontal="left" vertical="top"/>
    </xf>
    <xf numFmtId="0" fontId="19" fillId="10" borderId="0" xfId="0" applyFont="1" applyFill="1"/>
    <xf numFmtId="0" fontId="19" fillId="11" borderId="0" xfId="0" applyFont="1" applyFill="1" applyAlignment="1">
      <alignment vertical="center"/>
    </xf>
    <xf numFmtId="0" fontId="19" fillId="10" borderId="25" xfId="0" applyFont="1" applyFill="1" applyBorder="1"/>
    <xf numFmtId="0" fontId="19" fillId="11" borderId="25" xfId="0" applyFont="1" applyFill="1" applyBorder="1" applyAlignment="1">
      <alignment horizontal="center" vertical="center"/>
    </xf>
    <xf numFmtId="0" fontId="19" fillId="0" borderId="25" xfId="0" applyFont="1" applyBorder="1" applyAlignment="1">
      <alignment horizontal="left"/>
    </xf>
    <xf numFmtId="1" fontId="19" fillId="11" borderId="25" xfId="0" applyNumberFormat="1" applyFont="1" applyFill="1" applyBorder="1" applyAlignment="1">
      <alignment horizontal="center" vertical="center"/>
    </xf>
    <xf numFmtId="0" fontId="0" fillId="0" borderId="0" xfId="0" applyAlignment="1">
      <alignment horizontal="left" indent="1"/>
    </xf>
    <xf numFmtId="2" fontId="0" fillId="11" borderId="0" xfId="0" applyNumberFormat="1" applyFill="1" applyAlignment="1">
      <alignment horizontal="center" vertical="center"/>
    </xf>
    <xf numFmtId="0" fontId="3" fillId="0" borderId="0" xfId="0" applyFont="1"/>
    <xf numFmtId="0" fontId="0" fillId="12" borderId="0" xfId="0" applyFill="1"/>
    <xf numFmtId="0" fontId="3" fillId="12" borderId="0" xfId="0" applyFont="1" applyFill="1"/>
    <xf numFmtId="2" fontId="0" fillId="12" borderId="0" xfId="0" applyNumberFormat="1" applyFill="1"/>
    <xf numFmtId="2" fontId="4" fillId="12" borderId="0" xfId="0" applyNumberFormat="1" applyFont="1" applyFill="1"/>
    <xf numFmtId="2" fontId="4" fillId="11" borderId="0" xfId="0" applyNumberFormat="1" applyFont="1" applyFill="1" applyAlignment="1">
      <alignment horizontal="center" vertical="center"/>
    </xf>
    <xf numFmtId="165" fontId="0" fillId="0" borderId="0" xfId="0" applyNumberFormat="1" applyAlignment="1">
      <alignment horizontal="center"/>
    </xf>
    <xf numFmtId="1" fontId="0" fillId="0" borderId="0" xfId="0" applyNumberFormat="1" applyAlignment="1">
      <alignment horizontal="center"/>
    </xf>
    <xf numFmtId="0" fontId="6" fillId="13" borderId="0" xfId="0" applyFont="1" applyFill="1"/>
    <xf numFmtId="0" fontId="0" fillId="13" borderId="0" xfId="0" applyFill="1"/>
    <xf numFmtId="0" fontId="3" fillId="13" borderId="0" xfId="0" applyFont="1" applyFill="1"/>
    <xf numFmtId="0" fontId="18" fillId="13" borderId="0" xfId="0" applyFont="1" applyFill="1"/>
    <xf numFmtId="0" fontId="4" fillId="0" borderId="1" xfId="0" applyFont="1" applyBorder="1" applyAlignment="1">
      <alignment wrapText="1"/>
    </xf>
    <xf numFmtId="0" fontId="4" fillId="0" borderId="24" xfId="0" applyFont="1" applyFill="1" applyBorder="1" applyAlignment="1">
      <alignment wrapText="1"/>
    </xf>
    <xf numFmtId="0" fontId="3" fillId="13" borderId="28" xfId="0" applyFont="1" applyFill="1" applyBorder="1"/>
    <xf numFmtId="164" fontId="0" fillId="13" borderId="24" xfId="0" applyNumberFormat="1" applyFill="1" applyBorder="1"/>
    <xf numFmtId="0" fontId="3" fillId="13" borderId="29" xfId="0" applyFont="1" applyFill="1" applyBorder="1"/>
    <xf numFmtId="164" fontId="0" fillId="13" borderId="30" xfId="0" applyNumberFormat="1" applyFill="1" applyBorder="1"/>
    <xf numFmtId="0" fontId="0" fillId="13" borderId="31" xfId="0" applyFill="1" applyBorder="1"/>
    <xf numFmtId="0" fontId="3" fillId="13" borderId="32" xfId="0" applyFont="1" applyFill="1" applyBorder="1"/>
    <xf numFmtId="2" fontId="0" fillId="13" borderId="33" xfId="0" applyNumberFormat="1" applyFill="1" applyBorder="1"/>
    <xf numFmtId="2" fontId="0" fillId="13" borderId="34" xfId="0" applyNumberFormat="1" applyFill="1" applyBorder="1"/>
    <xf numFmtId="0" fontId="3" fillId="13" borderId="1" xfId="0" applyFont="1" applyFill="1" applyBorder="1"/>
    <xf numFmtId="0" fontId="6" fillId="13" borderId="1" xfId="6" applyFont="1" applyFill="1" applyBorder="1"/>
    <xf numFmtId="0" fontId="3" fillId="0" borderId="0" xfId="0" applyFont="1" applyAlignment="1">
      <alignment horizontal="center"/>
    </xf>
    <xf numFmtId="164" fontId="0" fillId="0" borderId="0" xfId="0" applyNumberFormat="1" applyAlignment="1">
      <alignment horizontal="center"/>
    </xf>
    <xf numFmtId="0" fontId="3" fillId="13" borderId="28" xfId="5" applyFont="1" applyFill="1" applyBorder="1" applyAlignment="1">
      <alignment vertical="center" wrapText="1"/>
    </xf>
    <xf numFmtId="2" fontId="0" fillId="13" borderId="24" xfId="0" applyNumberFormat="1" applyFill="1" applyBorder="1"/>
    <xf numFmtId="0" fontId="3" fillId="13" borderId="29" xfId="5" applyFont="1" applyFill="1" applyBorder="1" applyAlignment="1">
      <alignment vertical="center" wrapText="1"/>
    </xf>
    <xf numFmtId="2" fontId="0" fillId="13" borderId="30" xfId="0" applyNumberFormat="1" applyFill="1" applyBorder="1"/>
    <xf numFmtId="0" fontId="6" fillId="13" borderId="1" xfId="5" applyFill="1" applyBorder="1" applyAlignment="1">
      <alignment vertical="center" wrapText="1"/>
    </xf>
    <xf numFmtId="2" fontId="0" fillId="13" borderId="1" xfId="0" applyNumberFormat="1" applyFill="1" applyBorder="1"/>
    <xf numFmtId="170" fontId="0" fillId="13" borderId="31" xfId="0" applyNumberFormat="1" applyFill="1" applyBorder="1"/>
    <xf numFmtId="0" fontId="6" fillId="13" borderId="32" xfId="0" applyFont="1" applyFill="1" applyBorder="1"/>
    <xf numFmtId="0" fontId="6" fillId="13" borderId="26" xfId="0" applyFont="1" applyFill="1" applyBorder="1" applyAlignment="1">
      <alignment vertical="top"/>
    </xf>
    <xf numFmtId="0" fontId="0" fillId="13" borderId="35" xfId="0" applyFill="1" applyBorder="1" applyAlignment="1">
      <alignment vertical="top"/>
    </xf>
    <xf numFmtId="0" fontId="0" fillId="13" borderId="27" xfId="0" applyFill="1" applyBorder="1" applyAlignment="1">
      <alignment vertical="top"/>
    </xf>
    <xf numFmtId="0" fontId="6" fillId="13" borderId="29" xfId="0" applyFont="1" applyFill="1" applyBorder="1" applyAlignment="1">
      <alignment vertical="top"/>
    </xf>
    <xf numFmtId="0" fontId="0" fillId="13" borderId="36" xfId="0" applyFill="1" applyBorder="1" applyAlignment="1">
      <alignment vertical="top"/>
    </xf>
    <xf numFmtId="0" fontId="0" fillId="13" borderId="30" xfId="0" applyFill="1" applyBorder="1" applyAlignment="1">
      <alignment vertical="top"/>
    </xf>
    <xf numFmtId="0" fontId="20" fillId="0" borderId="0" xfId="7" applyFont="1"/>
    <xf numFmtId="0" fontId="21" fillId="14" borderId="37" xfId="7" applyFont="1" applyFill="1" applyBorder="1"/>
    <xf numFmtId="0" fontId="21" fillId="9" borderId="38" xfId="7" applyFont="1" applyFill="1" applyBorder="1"/>
    <xf numFmtId="0" fontId="21" fillId="14" borderId="38" xfId="7" applyFont="1" applyFill="1" applyBorder="1"/>
    <xf numFmtId="0" fontId="21" fillId="14" borderId="39" xfId="7" applyFont="1" applyFill="1" applyBorder="1"/>
    <xf numFmtId="0" fontId="22" fillId="13" borderId="34" xfId="8" applyFont="1" applyFill="1" applyBorder="1" applyAlignment="1">
      <alignment horizontal="left" vertical="center" wrapText="1"/>
    </xf>
    <xf numFmtId="0" fontId="22" fillId="13" borderId="1" xfId="8" applyFont="1" applyFill="1" applyBorder="1" applyAlignment="1">
      <alignment horizontal="left" vertical="center" wrapText="1"/>
    </xf>
    <xf numFmtId="0" fontId="23" fillId="0" borderId="1" xfId="8" applyNumberFormat="1" applyFont="1" applyFill="1" applyBorder="1" applyAlignment="1">
      <alignment horizontal="left" vertical="center" wrapText="1"/>
    </xf>
    <xf numFmtId="0" fontId="23" fillId="0" borderId="1" xfId="8" applyFont="1" applyFill="1" applyBorder="1" applyAlignment="1">
      <alignment horizontal="left" vertical="center" wrapText="1"/>
    </xf>
    <xf numFmtId="0" fontId="20" fillId="0" borderId="1" xfId="8" applyFont="1" applyFill="1" applyBorder="1" applyAlignment="1">
      <alignment horizontal="left" vertical="center" wrapText="1"/>
    </xf>
    <xf numFmtId="0" fontId="23" fillId="0" borderId="1" xfId="8" applyFont="1" applyBorder="1" applyAlignment="1">
      <alignment horizontal="left" vertical="center" wrapText="1" readingOrder="1"/>
    </xf>
    <xf numFmtId="0" fontId="23" fillId="0" borderId="1" xfId="8" applyNumberFormat="1" applyFont="1" applyBorder="1" applyAlignment="1">
      <alignment horizontal="left" vertical="center" wrapText="1" readingOrder="1"/>
    </xf>
    <xf numFmtId="0" fontId="23" fillId="0" borderId="1" xfId="8" applyFont="1" applyBorder="1" applyAlignment="1">
      <alignment vertical="center" wrapText="1" readingOrder="1"/>
    </xf>
    <xf numFmtId="0" fontId="23" fillId="0" borderId="1" xfId="8" applyFont="1" applyBorder="1" applyAlignment="1">
      <alignment wrapText="1" readingOrder="1"/>
    </xf>
    <xf numFmtId="0" fontId="0" fillId="13" borderId="32" xfId="0" applyFill="1" applyBorder="1"/>
    <xf numFmtId="9" fontId="0" fillId="0" borderId="0" xfId="0" applyNumberFormat="1" applyFill="1"/>
    <xf numFmtId="9" fontId="4" fillId="12" borderId="0" xfId="0" applyNumberFormat="1" applyFont="1" applyFill="1"/>
    <xf numFmtId="0" fontId="3" fillId="12" borderId="51" xfId="0" applyFont="1" applyFill="1" applyBorder="1"/>
    <xf numFmtId="0" fontId="0" fillId="43" borderId="0" xfId="0" applyFill="1"/>
    <xf numFmtId="9" fontId="0" fillId="44" borderId="0" xfId="0" applyNumberFormat="1" applyFill="1"/>
    <xf numFmtId="169" fontId="10" fillId="44" borderId="0" xfId="4" applyNumberFormat="1" applyFont="1" applyFill="1"/>
    <xf numFmtId="9" fontId="0" fillId="0" borderId="51" xfId="0" applyNumberFormat="1" applyBorder="1"/>
    <xf numFmtId="169" fontId="10" fillId="44" borderId="0" xfId="0" applyNumberFormat="1" applyFont="1" applyFill="1"/>
    <xf numFmtId="169" fontId="0" fillId="44" borderId="0" xfId="0" applyNumberFormat="1" applyFill="1"/>
    <xf numFmtId="10" fontId="0" fillId="44" borderId="0" xfId="0" applyNumberFormat="1" applyFill="1"/>
    <xf numFmtId="10" fontId="10" fillId="44" borderId="0" xfId="0" applyNumberFormat="1" applyFont="1" applyFill="1"/>
    <xf numFmtId="9" fontId="10" fillId="44" borderId="0" xfId="4" applyFont="1" applyFill="1"/>
    <xf numFmtId="9" fontId="0" fillId="44" borderId="0" xfId="4" applyFont="1" applyFill="1"/>
    <xf numFmtId="0" fontId="0" fillId="0" borderId="51" xfId="0" applyBorder="1"/>
    <xf numFmtId="0" fontId="4" fillId="0" borderId="51" xfId="0" applyFont="1" applyBorder="1"/>
    <xf numFmtId="0" fontId="0" fillId="38" borderId="0" xfId="0" applyFill="1"/>
    <xf numFmtId="0" fontId="0" fillId="38" borderId="0" xfId="0" applyFill="1" applyBorder="1"/>
    <xf numFmtId="0" fontId="0" fillId="38" borderId="51" xfId="0" applyFill="1" applyBorder="1"/>
    <xf numFmtId="169" fontId="3" fillId="0" borderId="0" xfId="4" applyNumberFormat="1"/>
    <xf numFmtId="169" fontId="3" fillId="0" borderId="0" xfId="4" applyNumberFormat="1" applyBorder="1"/>
    <xf numFmtId="9" fontId="3" fillId="0" borderId="51" xfId="4" applyBorder="1"/>
    <xf numFmtId="9" fontId="0" fillId="0" borderId="0" xfId="0" applyNumberFormat="1" applyBorder="1"/>
    <xf numFmtId="9" fontId="0" fillId="0" borderId="51" xfId="0" applyNumberFormat="1" applyFill="1" applyBorder="1"/>
    <xf numFmtId="9" fontId="3" fillId="0" borderId="51" xfId="4" applyNumberFormat="1" applyBorder="1"/>
    <xf numFmtId="9" fontId="3" fillId="0" borderId="0" xfId="4" applyNumberFormat="1"/>
    <xf numFmtId="169" fontId="3" fillId="0" borderId="51" xfId="4" applyNumberFormat="1" applyBorder="1"/>
    <xf numFmtId="9" fontId="0" fillId="0" borderId="51" xfId="4" applyFont="1" applyBorder="1"/>
    <xf numFmtId="9" fontId="0" fillId="0" borderId="51" xfId="4" applyNumberFormat="1" applyFont="1" applyBorder="1"/>
    <xf numFmtId="9" fontId="0" fillId="0" borderId="0" xfId="4" applyNumberFormat="1" applyFont="1"/>
    <xf numFmtId="0" fontId="0" fillId="45" borderId="0" xfId="0" applyFill="1"/>
    <xf numFmtId="0" fontId="19" fillId="13" borderId="1" xfId="0" applyFont="1" applyFill="1" applyBorder="1"/>
    <xf numFmtId="0" fontId="19" fillId="13" borderId="26" xfId="0" applyFont="1" applyFill="1" applyBorder="1"/>
    <xf numFmtId="0" fontId="19" fillId="13" borderId="35" xfId="0" applyFont="1" applyFill="1" applyBorder="1"/>
    <xf numFmtId="0" fontId="19" fillId="13" borderId="27" xfId="0" applyFont="1" applyFill="1" applyBorder="1"/>
    <xf numFmtId="165" fontId="7" fillId="37" borderId="52" xfId="0" applyNumberFormat="1" applyFont="1" applyFill="1" applyBorder="1" applyAlignment="1">
      <alignment horizontal="centerContinuous" wrapText="1" readingOrder="1"/>
    </xf>
    <xf numFmtId="165" fontId="7" fillId="37" borderId="53" xfId="0" applyNumberFormat="1" applyFont="1" applyFill="1" applyBorder="1" applyAlignment="1">
      <alignment horizontal="centerContinuous" wrapText="1" readingOrder="1"/>
    </xf>
    <xf numFmtId="165" fontId="7" fillId="37" borderId="39" xfId="0" applyNumberFormat="1" applyFont="1" applyFill="1" applyBorder="1" applyAlignment="1">
      <alignment horizontal="centerContinuous" wrapText="1" readingOrder="1"/>
    </xf>
    <xf numFmtId="165" fontId="7" fillId="37" borderId="32" xfId="0" applyNumberFormat="1" applyFont="1" applyFill="1" applyBorder="1" applyAlignment="1">
      <alignment horizontal="center" wrapText="1" readingOrder="1"/>
    </xf>
    <xf numFmtId="0" fontId="19" fillId="13" borderId="29" xfId="0" applyFont="1" applyFill="1" applyBorder="1"/>
    <xf numFmtId="0" fontId="19" fillId="13" borderId="36" xfId="0" applyFont="1" applyFill="1" applyBorder="1"/>
    <xf numFmtId="0" fontId="19" fillId="13" borderId="30" xfId="0" applyFont="1" applyFill="1" applyBorder="1"/>
    <xf numFmtId="172" fontId="7" fillId="38" borderId="32" xfId="0" applyNumberFormat="1" applyFont="1" applyFill="1" applyBorder="1" applyAlignment="1">
      <alignment horizontal="center" wrapText="1" readingOrder="1"/>
    </xf>
    <xf numFmtId="14" fontId="7" fillId="38" borderId="32" xfId="0" applyNumberFormat="1" applyFont="1" applyFill="1" applyBorder="1" applyAlignment="1">
      <alignment horizontal="center" wrapText="1" readingOrder="1"/>
    </xf>
    <xf numFmtId="165" fontId="7" fillId="38" borderId="32" xfId="0" applyNumberFormat="1" applyFont="1" applyFill="1" applyBorder="1" applyAlignment="1">
      <alignment horizontal="center" wrapText="1" readingOrder="1"/>
    </xf>
    <xf numFmtId="0" fontId="19" fillId="41" borderId="1" xfId="0" applyFont="1" applyFill="1" applyBorder="1"/>
    <xf numFmtId="0" fontId="19" fillId="41" borderId="1" xfId="0" applyFont="1" applyFill="1" applyBorder="1" applyAlignment="1">
      <alignment horizontal="center"/>
    </xf>
    <xf numFmtId="1" fontId="0" fillId="13" borderId="0" xfId="0" applyNumberFormat="1" applyFill="1" applyAlignment="1">
      <alignment horizontal="center" readingOrder="1"/>
    </xf>
    <xf numFmtId="0" fontId="0" fillId="0" borderId="0" xfId="0">
      <alignment readingOrder="1"/>
    </xf>
    <xf numFmtId="0" fontId="0" fillId="13" borderId="0" xfId="0" applyFill="1">
      <alignment readingOrder="1"/>
    </xf>
    <xf numFmtId="165" fontId="0" fillId="0" borderId="0" xfId="0" applyNumberFormat="1">
      <alignment readingOrder="1"/>
    </xf>
    <xf numFmtId="0" fontId="19" fillId="0" borderId="0" xfId="0" applyFont="1" applyFill="1" applyBorder="1"/>
    <xf numFmtId="0" fontId="19" fillId="0" borderId="0" xfId="0" applyFont="1" applyFill="1" applyBorder="1" applyAlignment="1">
      <alignment horizontal="center"/>
    </xf>
    <xf numFmtId="173" fontId="0" fillId="0" borderId="0" xfId="0" applyNumberFormat="1" applyFill="1" applyBorder="1" applyAlignment="1">
      <alignment horizontal="center" readingOrder="1"/>
    </xf>
    <xf numFmtId="1" fontId="0" fillId="0" borderId="0" xfId="0" applyNumberFormat="1" applyFill="1" applyBorder="1" applyAlignment="1">
      <alignment horizontal="center" readingOrder="1"/>
    </xf>
    <xf numFmtId="0" fontId="0" fillId="0" borderId="0" xfId="0" applyFill="1" applyBorder="1">
      <alignment readingOrder="1"/>
    </xf>
    <xf numFmtId="165" fontId="0" fillId="0" borderId="0" xfId="0" applyNumberFormat="1" applyFill="1" applyBorder="1">
      <alignment readingOrder="1"/>
    </xf>
    <xf numFmtId="43" fontId="0" fillId="0" borderId="0" xfId="54" applyFont="1" applyFill="1" applyBorder="1" applyAlignment="1">
      <alignment horizontal="center" readingOrder="1"/>
    </xf>
    <xf numFmtId="0" fontId="4" fillId="14" borderId="54" xfId="0" applyFont="1" applyFill="1" applyBorder="1">
      <alignment readingOrder="1"/>
    </xf>
    <xf numFmtId="0" fontId="0" fillId="0" borderId="0" xfId="0" applyFill="1">
      <alignment readingOrder="1"/>
    </xf>
    <xf numFmtId="0" fontId="0" fillId="14" borderId="33" xfId="0" applyFill="1" applyBorder="1">
      <alignment readingOrder="1"/>
    </xf>
    <xf numFmtId="0" fontId="0" fillId="0" borderId="0" xfId="0" applyFill="1" applyAlignment="1">
      <alignment vertical="center" wrapText="1" readingOrder="1"/>
    </xf>
    <xf numFmtId="0" fontId="4" fillId="14" borderId="33" xfId="0" applyFont="1" applyFill="1" applyBorder="1">
      <alignment readingOrder="1"/>
    </xf>
    <xf numFmtId="49" fontId="0" fillId="14" borderId="29" xfId="0" quotePrefix="1" applyNumberFormat="1" applyFill="1" applyBorder="1">
      <alignment readingOrder="1"/>
    </xf>
    <xf numFmtId="0" fontId="0" fillId="14" borderId="55" xfId="0" applyNumberFormat="1" applyFill="1" applyBorder="1" applyAlignment="1">
      <alignment vertical="center" wrapText="1" readingOrder="1"/>
    </xf>
    <xf numFmtId="0" fontId="0" fillId="14" borderId="32" xfId="0" applyNumberFormat="1" applyFill="1" applyBorder="1" applyAlignment="1">
      <alignment vertical="center" wrapText="1" readingOrder="1"/>
    </xf>
    <xf numFmtId="0" fontId="0" fillId="14" borderId="36" xfId="0" applyNumberFormat="1" applyFill="1" applyBorder="1" applyAlignment="1">
      <alignment vertical="center" wrapText="1" readingOrder="1"/>
    </xf>
    <xf numFmtId="0" fontId="0" fillId="14" borderId="30" xfId="0" applyNumberFormat="1" applyFill="1" applyBorder="1" applyAlignment="1">
      <alignment vertical="center" wrapText="1" readingOrder="1"/>
    </xf>
    <xf numFmtId="0" fontId="0" fillId="13" borderId="26" xfId="0" applyFill="1" applyBorder="1">
      <alignment readingOrder="1"/>
    </xf>
    <xf numFmtId="0" fontId="0" fillId="13" borderId="35" xfId="0" applyFill="1" applyBorder="1">
      <alignment readingOrder="1"/>
    </xf>
    <xf numFmtId="0" fontId="49" fillId="47" borderId="35" xfId="0" applyFont="1" applyFill="1" applyBorder="1">
      <alignment readingOrder="1"/>
    </xf>
    <xf numFmtId="0" fontId="49" fillId="47" borderId="27" xfId="0" applyFont="1" applyFill="1" applyBorder="1">
      <alignment readingOrder="1"/>
    </xf>
    <xf numFmtId="0" fontId="0" fillId="13" borderId="28" xfId="0" applyFill="1" applyBorder="1">
      <alignment readingOrder="1"/>
    </xf>
    <xf numFmtId="0" fontId="0" fillId="13" borderId="0" xfId="0" applyFill="1" applyBorder="1">
      <alignment readingOrder="1"/>
    </xf>
    <xf numFmtId="0" fontId="49" fillId="47" borderId="0" xfId="0" applyFont="1" applyFill="1" applyBorder="1">
      <alignment readingOrder="1"/>
    </xf>
    <xf numFmtId="0" fontId="49" fillId="47" borderId="24" xfId="0" applyFont="1" applyFill="1" applyBorder="1">
      <alignment readingOrder="1"/>
    </xf>
    <xf numFmtId="1" fontId="0" fillId="0" borderId="0" xfId="0" quotePrefix="1" applyNumberFormat="1">
      <alignment readingOrder="1"/>
    </xf>
    <xf numFmtId="0" fontId="10" fillId="0" borderId="0" xfId="0" applyFont="1">
      <alignment readingOrder="1"/>
    </xf>
    <xf numFmtId="0" fontId="0" fillId="13" borderId="0" xfId="0" applyFill="1" applyBorder="1" applyAlignment="1">
      <alignment vertical="center" wrapText="1" readingOrder="1"/>
    </xf>
    <xf numFmtId="0" fontId="0" fillId="0" borderId="0" xfId="0" quotePrefix="1">
      <alignment readingOrder="1"/>
    </xf>
    <xf numFmtId="0" fontId="0" fillId="13" borderId="29" xfId="0" applyFill="1" applyBorder="1">
      <alignment readingOrder="1"/>
    </xf>
    <xf numFmtId="0" fontId="0" fillId="13" borderId="36" xfId="0" applyFill="1" applyBorder="1">
      <alignment readingOrder="1"/>
    </xf>
    <xf numFmtId="0" fontId="0" fillId="0" borderId="30" xfId="0" applyBorder="1">
      <alignment readingOrder="1"/>
    </xf>
    <xf numFmtId="1" fontId="0" fillId="0" borderId="0" xfId="0" quotePrefix="1" applyNumberFormat="1" applyFill="1">
      <alignment readingOrder="1"/>
    </xf>
    <xf numFmtId="1" fontId="0" fillId="0" borderId="0" xfId="0" applyNumberFormat="1">
      <alignment readingOrder="1"/>
    </xf>
    <xf numFmtId="164" fontId="0" fillId="0" borderId="0" xfId="1" applyNumberFormat="1" applyFont="1">
      <alignment readingOrder="1"/>
    </xf>
    <xf numFmtId="164" fontId="0" fillId="0" borderId="0" xfId="1" applyNumberFormat="1" applyFont="1" applyFill="1">
      <alignment readingOrder="1"/>
    </xf>
    <xf numFmtId="0" fontId="0" fillId="13" borderId="0" xfId="0" applyFill="1" applyAlignment="1">
      <alignment horizontal="right" readingOrder="1"/>
    </xf>
    <xf numFmtId="9" fontId="49" fillId="47" borderId="0" xfId="0" applyNumberFormat="1" applyFont="1" applyFill="1">
      <alignment readingOrder="1"/>
    </xf>
    <xf numFmtId="9" fontId="3" fillId="13" borderId="0" xfId="4" applyFont="1" applyFill="1">
      <alignment readingOrder="1"/>
    </xf>
    <xf numFmtId="0" fontId="19" fillId="13" borderId="26" xfId="0" applyFont="1" applyFill="1" applyBorder="1" applyAlignment="1">
      <alignment horizontal="center"/>
    </xf>
    <xf numFmtId="0" fontId="19" fillId="13" borderId="29" xfId="0" applyFont="1" applyFill="1" applyBorder="1" applyAlignment="1">
      <alignment horizontal="center"/>
    </xf>
    <xf numFmtId="1" fontId="1" fillId="44" borderId="0" xfId="0" applyNumberFormat="1" applyFont="1" applyFill="1" applyAlignment="1">
      <alignment horizontal="center" readingOrder="1"/>
    </xf>
    <xf numFmtId="2" fontId="0" fillId="0" borderId="0" xfId="0" applyNumberFormat="1">
      <alignment readingOrder="1"/>
    </xf>
    <xf numFmtId="2" fontId="0" fillId="0" borderId="0" xfId="0" applyNumberFormat="1" applyFill="1" applyAlignment="1">
      <alignment horizontal="center" readingOrder="1"/>
    </xf>
    <xf numFmtId="165" fontId="0" fillId="0" borderId="0" xfId="0" applyNumberFormat="1" applyAlignment="1">
      <alignment horizontal="center" readingOrder="1"/>
    </xf>
    <xf numFmtId="0" fontId="19" fillId="14" borderId="1" xfId="0" applyFont="1" applyFill="1" applyBorder="1"/>
    <xf numFmtId="0" fontId="0" fillId="14" borderId="32" xfId="0" applyFill="1" applyBorder="1">
      <alignment readingOrder="1"/>
    </xf>
    <xf numFmtId="0" fontId="0" fillId="13" borderId="1" xfId="0" applyFill="1" applyBorder="1">
      <alignment readingOrder="1"/>
    </xf>
    <xf numFmtId="0" fontId="0" fillId="13" borderId="1" xfId="0" applyFill="1" applyBorder="1" applyAlignment="1">
      <alignment horizontal="center" readingOrder="1"/>
    </xf>
    <xf numFmtId="0" fontId="0" fillId="13" borderId="0" xfId="0" applyFill="1" applyAlignment="1">
      <alignment horizontal="center" readingOrder="1"/>
    </xf>
    <xf numFmtId="0" fontId="0" fillId="0" borderId="0" xfId="0" applyFill="1" applyAlignment="1">
      <alignment horizontal="center" readingOrder="1"/>
    </xf>
    <xf numFmtId="43" fontId="0" fillId="0" borderId="0" xfId="1" applyFont="1">
      <alignment readingOrder="1"/>
    </xf>
    <xf numFmtId="0" fontId="0" fillId="41" borderId="1" xfId="0" applyFill="1" applyBorder="1">
      <alignment readingOrder="1"/>
    </xf>
    <xf numFmtId="174" fontId="0" fillId="0" borderId="0" xfId="0" applyNumberFormat="1">
      <alignment readingOrder="1"/>
    </xf>
    <xf numFmtId="174" fontId="0" fillId="0" borderId="0" xfId="0" applyNumberFormat="1" applyFill="1" applyBorder="1">
      <alignment readingOrder="1"/>
    </xf>
    <xf numFmtId="0" fontId="19" fillId="44" borderId="1" xfId="0" applyFont="1" applyFill="1" applyBorder="1"/>
    <xf numFmtId="165" fontId="19" fillId="44" borderId="1" xfId="0" applyNumberFormat="1" applyFont="1" applyFill="1" applyBorder="1"/>
    <xf numFmtId="165" fontId="19" fillId="0" borderId="0" xfId="0" applyNumberFormat="1" applyFont="1" applyFill="1" applyBorder="1"/>
    <xf numFmtId="0" fontId="17" fillId="0" borderId="0" xfId="0" applyFont="1" applyFill="1" applyBorder="1">
      <alignment readingOrder="1"/>
    </xf>
    <xf numFmtId="0" fontId="17" fillId="0" borderId="0" xfId="0" applyFont="1">
      <alignment readingOrder="1"/>
    </xf>
    <xf numFmtId="9" fontId="0" fillId="0" borderId="0" xfId="0" applyNumberFormat="1">
      <alignment readingOrder="1"/>
    </xf>
    <xf numFmtId="0" fontId="0" fillId="0" borderId="0" xfId="0" applyFill="1" applyBorder="1"/>
    <xf numFmtId="164" fontId="0" fillId="0" borderId="10" xfId="1" applyNumberFormat="1" applyFont="1" applyFill="1" applyBorder="1"/>
    <xf numFmtId="0" fontId="0" fillId="0" borderId="11" xfId="1" applyNumberFormat="1" applyFont="1" applyFill="1" applyBorder="1"/>
    <xf numFmtId="0" fontId="0" fillId="0" borderId="12" xfId="1" applyNumberFormat="1" applyFont="1" applyFill="1" applyBorder="1"/>
    <xf numFmtId="169" fontId="0" fillId="0" borderId="0" xfId="4" applyNumberFormat="1" applyFont="1" applyFill="1" applyBorder="1"/>
    <xf numFmtId="164" fontId="0" fillId="0" borderId="13" xfId="1" applyNumberFormat="1" applyFont="1" applyFill="1" applyBorder="1"/>
    <xf numFmtId="164" fontId="0" fillId="0" borderId="1" xfId="1" applyNumberFormat="1" applyFont="1" applyFill="1" applyBorder="1"/>
    <xf numFmtId="164" fontId="0" fillId="0" borderId="14" xfId="1" applyNumberFormat="1" applyFont="1" applyFill="1" applyBorder="1"/>
    <xf numFmtId="164" fontId="0" fillId="0" borderId="0" xfId="1" applyNumberFormat="1" applyFont="1" applyFill="1" applyBorder="1"/>
    <xf numFmtId="164" fontId="0" fillId="0" borderId="13" xfId="1" applyNumberFormat="1" applyFont="1" applyBorder="1"/>
    <xf numFmtId="164" fontId="0" fillId="0" borderId="14" xfId="1" applyNumberFormat="1" applyFont="1" applyBorder="1"/>
    <xf numFmtId="0" fontId="0" fillId="0" borderId="13" xfId="0" applyBorder="1"/>
    <xf numFmtId="0" fontId="0" fillId="0" borderId="14" xfId="0" applyBorder="1"/>
    <xf numFmtId="164" fontId="0" fillId="0" borderId="2" xfId="1" applyNumberFormat="1" applyFont="1" applyFill="1" applyBorder="1"/>
    <xf numFmtId="0" fontId="0" fillId="0" borderId="3" xfId="0" applyFill="1" applyBorder="1"/>
    <xf numFmtId="0" fontId="0" fillId="0" borderId="4" xfId="0" applyFill="1" applyBorder="1"/>
    <xf numFmtId="164" fontId="0" fillId="0" borderId="6" xfId="1" applyNumberFormat="1" applyFont="1" applyFill="1" applyBorder="1"/>
    <xf numFmtId="0" fontId="0" fillId="0" borderId="15" xfId="0" applyBorder="1"/>
    <xf numFmtId="0" fontId="0" fillId="0" borderId="16" xfId="0" applyBorder="1"/>
    <xf numFmtId="164" fontId="0" fillId="0" borderId="16" xfId="1" applyNumberFormat="1" applyFont="1" applyBorder="1"/>
    <xf numFmtId="164" fontId="0" fillId="0" borderId="17" xfId="1" applyNumberFormat="1" applyFont="1" applyBorder="1"/>
    <xf numFmtId="0" fontId="3" fillId="0" borderId="0" xfId="0" applyFont="1">
      <alignment readingOrder="1"/>
    </xf>
    <xf numFmtId="0" fontId="3" fillId="0" borderId="0" xfId="5" applyFont="1" applyBorder="1"/>
    <xf numFmtId="0" fontId="51" fillId="0" borderId="0" xfId="189" applyFont="1"/>
    <xf numFmtId="0" fontId="48" fillId="0" borderId="0" xfId="190" applyFont="1"/>
    <xf numFmtId="0" fontId="3" fillId="0" borderId="0" xfId="189" applyFont="1"/>
    <xf numFmtId="5" fontId="3" fillId="0" borderId="0" xfId="189" applyNumberFormat="1" applyFont="1"/>
    <xf numFmtId="165" fontId="3" fillId="0" borderId="0" xfId="189" applyNumberFormat="1" applyFont="1"/>
    <xf numFmtId="165" fontId="48" fillId="0" borderId="0" xfId="189" applyNumberFormat="1" applyFont="1"/>
    <xf numFmtId="0" fontId="51" fillId="0" borderId="0" xfId="189" applyFont="1" applyAlignment="1">
      <alignment horizontal="left"/>
    </xf>
    <xf numFmtId="175" fontId="0" fillId="0" borderId="0" xfId="0" applyNumberFormat="1" applyAlignment="1">
      <alignment horizontal="center" readingOrder="1"/>
    </xf>
    <xf numFmtId="173" fontId="0" fillId="0" borderId="0" xfId="0" applyNumberFormat="1" applyAlignment="1">
      <alignment horizontal="center" readingOrder="1"/>
    </xf>
    <xf numFmtId="0" fontId="3" fillId="0" borderId="0" xfId="189" applyFont="1" applyAlignment="1">
      <alignment horizontal="center"/>
    </xf>
    <xf numFmtId="0" fontId="52" fillId="48" borderId="26" xfId="189" applyFont="1" applyFill="1" applyBorder="1" applyAlignment="1">
      <alignment horizontal="centerContinuous"/>
    </xf>
    <xf numFmtId="0" fontId="53" fillId="48" borderId="26" xfId="189" applyFont="1" applyFill="1" applyBorder="1" applyAlignment="1">
      <alignment horizontal="centerContinuous"/>
    </xf>
    <xf numFmtId="0" fontId="53" fillId="48" borderId="54" xfId="189" applyFont="1" applyFill="1" applyBorder="1" applyAlignment="1">
      <alignment horizontal="centerContinuous"/>
    </xf>
    <xf numFmtId="0" fontId="8" fillId="48" borderId="32" xfId="189" applyFont="1" applyFill="1" applyBorder="1" applyAlignment="1">
      <alignment horizontal="centerContinuous"/>
    </xf>
    <xf numFmtId="0" fontId="53" fillId="51" borderId="32" xfId="189" applyFont="1" applyFill="1" applyBorder="1" applyAlignment="1">
      <alignment horizontal="center"/>
    </xf>
    <xf numFmtId="0" fontId="53" fillId="0" borderId="0" xfId="189" applyFont="1" applyFill="1" applyBorder="1" applyAlignment="1">
      <alignment horizontal="centerContinuous"/>
    </xf>
    <xf numFmtId="0" fontId="7" fillId="52" borderId="1" xfId="189" applyFont="1" applyFill="1" applyBorder="1" applyAlignment="1">
      <alignment horizontal="center" wrapText="1"/>
    </xf>
    <xf numFmtId="0" fontId="7" fillId="52" borderId="29" xfId="189" applyFont="1" applyFill="1" applyBorder="1" applyAlignment="1">
      <alignment horizontal="center" wrapText="1"/>
    </xf>
    <xf numFmtId="0" fontId="7" fillId="52" borderId="34" xfId="189" applyFont="1" applyFill="1" applyBorder="1" applyAlignment="1">
      <alignment horizontal="center" wrapText="1"/>
    </xf>
    <xf numFmtId="0" fontId="7" fillId="52" borderId="34" xfId="0" applyFont="1" applyFill="1" applyBorder="1" applyAlignment="1">
      <alignment horizontal="center" wrapText="1"/>
    </xf>
    <xf numFmtId="0" fontId="7" fillId="46" borderId="32" xfId="189" applyFont="1" applyFill="1" applyBorder="1" applyAlignment="1">
      <alignment horizontal="center" wrapText="1"/>
    </xf>
    <xf numFmtId="0" fontId="7" fillId="46" borderId="1" xfId="189" applyFont="1" applyFill="1" applyBorder="1" applyAlignment="1">
      <alignment horizontal="center" wrapText="1"/>
    </xf>
    <xf numFmtId="0" fontId="7" fillId="0" borderId="0" xfId="189" applyFont="1" applyFill="1" applyBorder="1" applyAlignment="1">
      <alignment horizontal="center" wrapText="1"/>
    </xf>
    <xf numFmtId="0" fontId="56" fillId="0" borderId="0" xfId="0" applyFont="1" applyAlignment="1">
      <alignment wrapText="1"/>
    </xf>
    <xf numFmtId="0" fontId="56" fillId="0" borderId="0" xfId="0" applyFont="1"/>
    <xf numFmtId="0" fontId="0" fillId="13" borderId="0" xfId="0" applyFill="1" applyAlignment="1">
      <alignment wrapText="1"/>
    </xf>
    <xf numFmtId="164" fontId="0" fillId="42" borderId="1" xfId="0" applyNumberFormat="1" applyFill="1" applyBorder="1"/>
    <xf numFmtId="167" fontId="0" fillId="42" borderId="1" xfId="2" applyNumberFormat="1" applyFont="1" applyFill="1" applyBorder="1"/>
    <xf numFmtId="0" fontId="57" fillId="53" borderId="31" xfId="0" applyFont="1" applyFill="1" applyBorder="1" applyAlignment="1">
      <alignment horizontal="left" readingOrder="1"/>
    </xf>
    <xf numFmtId="0" fontId="57" fillId="53" borderId="32" xfId="0" applyFont="1" applyFill="1" applyBorder="1" applyAlignment="1">
      <alignment horizontal="center" wrapText="1" readingOrder="1"/>
    </xf>
    <xf numFmtId="0" fontId="7" fillId="37" borderId="1" xfId="0" applyFont="1" applyFill="1" applyBorder="1" applyAlignment="1">
      <alignment horizontal="center" wrapText="1" readingOrder="1"/>
    </xf>
    <xf numFmtId="0" fontId="7" fillId="37" borderId="32" xfId="0" applyFont="1" applyFill="1" applyBorder="1" applyAlignment="1">
      <alignment horizontal="center" wrapText="1" readingOrder="1"/>
    </xf>
    <xf numFmtId="0" fontId="7" fillId="38" borderId="1" xfId="0" applyFont="1" applyFill="1" applyBorder="1" applyAlignment="1">
      <alignment horizontal="center" wrapText="1" readingOrder="1"/>
    </xf>
    <xf numFmtId="0" fontId="7" fillId="38" borderId="32" xfId="0" applyFont="1" applyFill="1" applyBorder="1" applyAlignment="1">
      <alignment horizontal="center" wrapText="1" readingOrder="1"/>
    </xf>
    <xf numFmtId="165" fontId="58" fillId="0" borderId="0" xfId="0" applyNumberFormat="1" applyFont="1">
      <alignment readingOrder="1"/>
    </xf>
    <xf numFmtId="0" fontId="57" fillId="54" borderId="31" xfId="0" applyFont="1" applyFill="1" applyBorder="1" applyAlignment="1">
      <alignment horizontal="left" wrapText="1" readingOrder="1"/>
    </xf>
    <xf numFmtId="0" fontId="57" fillId="54" borderId="32" xfId="0" applyFont="1" applyFill="1" applyBorder="1" applyAlignment="1">
      <alignment horizontal="center" wrapText="1" readingOrder="1"/>
    </xf>
    <xf numFmtId="0" fontId="57" fillId="53" borderId="55" xfId="0" applyFont="1" applyFill="1" applyBorder="1" applyAlignment="1">
      <alignment horizontal="center" wrapText="1" readingOrder="1"/>
    </xf>
    <xf numFmtId="0" fontId="0" fillId="0" borderId="2" xfId="0" applyBorder="1">
      <alignment readingOrder="1"/>
    </xf>
    <xf numFmtId="0" fontId="0" fillId="0" borderId="3" xfId="0" applyBorder="1">
      <alignment readingOrder="1"/>
    </xf>
    <xf numFmtId="0" fontId="0" fillId="0" borderId="4" xfId="0" applyBorder="1">
      <alignment readingOrder="1"/>
    </xf>
    <xf numFmtId="0" fontId="0" fillId="0" borderId="5" xfId="0" applyBorder="1">
      <alignment readingOrder="1"/>
    </xf>
    <xf numFmtId="0" fontId="0" fillId="0" borderId="0" xfId="0" applyBorder="1">
      <alignment readingOrder="1"/>
    </xf>
    <xf numFmtId="0" fontId="0" fillId="0" borderId="6" xfId="0" applyBorder="1">
      <alignment readingOrder="1"/>
    </xf>
    <xf numFmtId="0" fontId="0" fillId="0" borderId="7" xfId="0" applyBorder="1">
      <alignment readingOrder="1"/>
    </xf>
    <xf numFmtId="0" fontId="0" fillId="0" borderId="8" xfId="0" applyBorder="1">
      <alignment readingOrder="1"/>
    </xf>
    <xf numFmtId="0" fontId="0" fillId="0" borderId="9" xfId="0" applyBorder="1">
      <alignment readingOrder="1"/>
    </xf>
    <xf numFmtId="0" fontId="7" fillId="55" borderId="37" xfId="0" applyFont="1" applyFill="1" applyBorder="1" applyAlignment="1">
      <alignment horizontal="centerContinuous" wrapText="1" readingOrder="1"/>
    </xf>
    <xf numFmtId="0" fontId="7" fillId="55" borderId="39" xfId="0" applyFont="1" applyFill="1" applyBorder="1" applyAlignment="1">
      <alignment horizontal="centerContinuous" wrapText="1" readingOrder="1"/>
    </xf>
    <xf numFmtId="165" fontId="7" fillId="55" borderId="37" xfId="0" applyNumberFormat="1" applyFont="1" applyFill="1" applyBorder="1" applyAlignment="1">
      <alignment horizontal="centerContinuous" wrapText="1" readingOrder="1"/>
    </xf>
    <xf numFmtId="165" fontId="7" fillId="55" borderId="38" xfId="0" applyNumberFormat="1" applyFont="1" applyFill="1" applyBorder="1" applyAlignment="1">
      <alignment horizontal="centerContinuous" wrapText="1" readingOrder="1"/>
    </xf>
    <xf numFmtId="165" fontId="7" fillId="55" borderId="39" xfId="0" applyNumberFormat="1" applyFont="1" applyFill="1" applyBorder="1" applyAlignment="1">
      <alignment horizontal="centerContinuous" wrapText="1" readingOrder="1"/>
    </xf>
    <xf numFmtId="165" fontId="7" fillId="55" borderId="55" xfId="0" applyNumberFormat="1" applyFont="1" applyFill="1" applyBorder="1" applyAlignment="1">
      <alignment horizontal="center" wrapText="1" readingOrder="1"/>
    </xf>
    <xf numFmtId="176" fontId="7" fillId="38" borderId="32" xfId="0" applyNumberFormat="1" applyFont="1" applyFill="1" applyBorder="1" applyAlignment="1">
      <alignment horizontal="center" wrapText="1" readingOrder="1"/>
    </xf>
    <xf numFmtId="0" fontId="7" fillId="37" borderId="37" xfId="0" applyFont="1" applyFill="1" applyBorder="1" applyAlignment="1">
      <alignment horizontal="centerContinuous" wrapText="1" readingOrder="1"/>
    </xf>
    <xf numFmtId="0" fontId="7" fillId="37" borderId="38" xfId="0" applyFont="1" applyFill="1" applyBorder="1" applyAlignment="1">
      <alignment horizontal="centerContinuous" wrapText="1" readingOrder="1"/>
    </xf>
    <xf numFmtId="165" fontId="7" fillId="37" borderId="38" xfId="0" applyNumberFormat="1" applyFont="1" applyFill="1" applyBorder="1" applyAlignment="1">
      <alignment horizontal="centerContinuous" wrapText="1" readingOrder="1"/>
    </xf>
    <xf numFmtId="165" fontId="7" fillId="37" borderId="55" xfId="0" applyNumberFormat="1" applyFont="1" applyFill="1" applyBorder="1" applyAlignment="1">
      <alignment horizontal="center" wrapText="1" readingOrder="1"/>
    </xf>
    <xf numFmtId="165" fontId="7" fillId="37" borderId="37" xfId="0" applyNumberFormat="1" applyFont="1" applyFill="1" applyBorder="1" applyAlignment="1">
      <alignment horizontal="centerContinuous" wrapText="1" readingOrder="1"/>
    </xf>
    <xf numFmtId="0" fontId="4" fillId="0" borderId="0" xfId="0" applyFont="1">
      <alignment readingOrder="1"/>
    </xf>
    <xf numFmtId="177" fontId="4" fillId="0" borderId="0" xfId="0" applyNumberFormat="1" applyFont="1">
      <alignment readingOrder="1"/>
    </xf>
    <xf numFmtId="177" fontId="0" fillId="0" borderId="0" xfId="0" applyNumberFormat="1">
      <alignment readingOrder="1"/>
    </xf>
    <xf numFmtId="177" fontId="58" fillId="0" borderId="0" xfId="0" applyNumberFormat="1" applyFont="1">
      <alignment readingOrder="1"/>
    </xf>
    <xf numFmtId="165" fontId="8" fillId="0" borderId="0" xfId="0" applyNumberFormat="1" applyFont="1">
      <alignment readingOrder="1"/>
    </xf>
    <xf numFmtId="165" fontId="4" fillId="0" borderId="0" xfId="0" applyNumberFormat="1" applyFont="1">
      <alignment readingOrder="1"/>
    </xf>
    <xf numFmtId="0" fontId="4" fillId="13" borderId="21" xfId="0" applyFont="1" applyFill="1" applyBorder="1" applyAlignment="1">
      <alignment horizontal="center" wrapText="1"/>
    </xf>
    <xf numFmtId="0" fontId="4" fillId="13" borderId="22" xfId="0" applyFont="1" applyFill="1" applyBorder="1" applyAlignment="1">
      <alignment horizontal="center" wrapText="1"/>
    </xf>
    <xf numFmtId="0" fontId="4" fillId="13" borderId="23" xfId="0" applyFont="1" applyFill="1" applyBorder="1" applyAlignment="1">
      <alignment horizontal="center" wrapText="1"/>
    </xf>
    <xf numFmtId="169" fontId="0" fillId="0" borderId="0" xfId="4" applyNumberFormat="1" applyFont="1" applyFill="1" applyBorder="1" applyAlignment="1">
      <alignment wrapText="1"/>
    </xf>
    <xf numFmtId="44" fontId="0" fillId="0" borderId="0" xfId="2" applyFont="1" applyAlignment="1">
      <alignment wrapText="1"/>
    </xf>
    <xf numFmtId="178" fontId="0" fillId="0" borderId="0" xfId="1" applyNumberFormat="1" applyFont="1"/>
    <xf numFmtId="0" fontId="4" fillId="0" borderId="0" xfId="0" applyFont="1" applyAlignment="1">
      <alignment horizontal="right"/>
    </xf>
    <xf numFmtId="179" fontId="0" fillId="0" borderId="0" xfId="2" applyNumberFormat="1" applyFont="1"/>
    <xf numFmtId="43" fontId="1" fillId="44" borderId="0" xfId="1" applyNumberFormat="1" applyFont="1" applyFill="1" applyAlignment="1">
      <alignment readingOrder="1"/>
    </xf>
    <xf numFmtId="180" fontId="0" fillId="13" borderId="0" xfId="1" applyNumberFormat="1" applyFont="1" applyFill="1" applyAlignment="1">
      <alignment horizontal="center" readingOrder="1"/>
    </xf>
    <xf numFmtId="2" fontId="0" fillId="13" borderId="0" xfId="0" applyNumberFormat="1" applyFill="1" applyAlignment="1">
      <alignment horizontal="center" readingOrder="1"/>
    </xf>
    <xf numFmtId="43" fontId="0" fillId="46" borderId="0" xfId="54" applyNumberFormat="1" applyFont="1" applyFill="1" applyAlignment="1">
      <alignment horizontal="center" readingOrder="1"/>
    </xf>
    <xf numFmtId="165" fontId="56" fillId="0" borderId="0" xfId="0" applyNumberFormat="1" applyFont="1"/>
    <xf numFmtId="181" fontId="56" fillId="0" borderId="0" xfId="0" applyNumberFormat="1" applyFont="1"/>
    <xf numFmtId="181" fontId="0" fillId="0" borderId="0" xfId="0" applyNumberFormat="1"/>
    <xf numFmtId="0" fontId="0" fillId="13" borderId="0" xfId="0" applyFont="1" applyFill="1" applyAlignment="1">
      <alignment wrapText="1"/>
    </xf>
    <xf numFmtId="3" fontId="56" fillId="0" borderId="0" xfId="0" applyNumberFormat="1" applyFont="1"/>
    <xf numFmtId="3" fontId="3" fillId="0" borderId="0" xfId="0" applyNumberFormat="1" applyFont="1"/>
    <xf numFmtId="169" fontId="0" fillId="0" borderId="0" xfId="0" applyNumberFormat="1"/>
    <xf numFmtId="9" fontId="3" fillId="41" borderId="0" xfId="0" applyNumberFormat="1" applyFont="1" applyFill="1"/>
    <xf numFmtId="0" fontId="3" fillId="56" borderId="0" xfId="0" applyFont="1" applyFill="1"/>
    <xf numFmtId="1" fontId="17" fillId="44" borderId="36" xfId="0" applyNumberFormat="1" applyFont="1" applyFill="1" applyBorder="1" applyAlignment="1">
      <alignment horizontal="center" readingOrder="1"/>
    </xf>
    <xf numFmtId="164" fontId="0" fillId="0" borderId="0" xfId="1" quotePrefix="1" applyNumberFormat="1" applyFont="1" applyFill="1">
      <alignment readingOrder="1"/>
    </xf>
    <xf numFmtId="164" fontId="0" fillId="0" borderId="0" xfId="1" quotePrefix="1" applyNumberFormat="1" applyFont="1">
      <alignment readingOrder="1"/>
    </xf>
    <xf numFmtId="169" fontId="3" fillId="13" borderId="0" xfId="4" applyNumberFormat="1" applyFont="1" applyFill="1">
      <alignment readingOrder="1"/>
    </xf>
    <xf numFmtId="0" fontId="59" fillId="57" borderId="52" xfId="0" applyFont="1" applyFill="1" applyBorder="1" applyAlignment="1">
      <alignment horizontal="center" wrapText="1"/>
    </xf>
    <xf numFmtId="0" fontId="59" fillId="57" borderId="56" xfId="0" applyFont="1" applyFill="1" applyBorder="1" applyAlignment="1">
      <alignment horizontal="center" wrapText="1"/>
    </xf>
    <xf numFmtId="14" fontId="0" fillId="0" borderId="0" xfId="0" applyNumberFormat="1"/>
    <xf numFmtId="0" fontId="3" fillId="14" borderId="26" xfId="0" applyNumberFormat="1" applyFont="1" applyFill="1" applyBorder="1" applyAlignment="1">
      <alignment horizontal="left" vertical="center" wrapText="1" readingOrder="1"/>
    </xf>
    <xf numFmtId="0" fontId="3" fillId="14" borderId="35" xfId="0" applyNumberFormat="1" applyFont="1" applyFill="1" applyBorder="1" applyAlignment="1">
      <alignment horizontal="left" vertical="center" wrapText="1" readingOrder="1"/>
    </xf>
    <xf numFmtId="0" fontId="3" fillId="14" borderId="27" xfId="0" applyNumberFormat="1" applyFont="1" applyFill="1" applyBorder="1" applyAlignment="1">
      <alignment horizontal="left" vertical="center" wrapText="1" readingOrder="1"/>
    </xf>
    <xf numFmtId="0" fontId="3" fillId="14" borderId="28" xfId="0" applyNumberFormat="1" applyFont="1" applyFill="1" applyBorder="1" applyAlignment="1">
      <alignment horizontal="left" vertical="center" wrapText="1" readingOrder="1"/>
    </xf>
    <xf numFmtId="0" fontId="3" fillId="14" borderId="0" xfId="0" applyNumberFormat="1" applyFont="1" applyFill="1" applyBorder="1" applyAlignment="1">
      <alignment horizontal="left" vertical="center" wrapText="1" readingOrder="1"/>
    </xf>
    <xf numFmtId="0" fontId="3" fillId="14" borderId="24" xfId="0" applyNumberFormat="1" applyFont="1" applyFill="1" applyBorder="1" applyAlignment="1">
      <alignment horizontal="left" vertical="center" wrapText="1" readingOrder="1"/>
    </xf>
    <xf numFmtId="0" fontId="3" fillId="14" borderId="36" xfId="0" applyNumberFormat="1" applyFont="1" applyFill="1" applyBorder="1" applyAlignment="1">
      <alignment horizontal="left" vertical="center" wrapText="1" readingOrder="1"/>
    </xf>
    <xf numFmtId="0" fontId="3" fillId="14" borderId="30" xfId="0" applyNumberFormat="1" applyFont="1" applyFill="1" applyBorder="1" applyAlignment="1">
      <alignment horizontal="left" vertical="center" wrapText="1" readingOrder="1"/>
    </xf>
    <xf numFmtId="0" fontId="7" fillId="49" borderId="31" xfId="189" applyFont="1" applyFill="1" applyBorder="1" applyAlignment="1">
      <alignment horizontal="center"/>
    </xf>
    <xf numFmtId="0" fontId="7" fillId="49" borderId="55" xfId="189" applyFont="1" applyFill="1" applyBorder="1" applyAlignment="1">
      <alignment horizontal="center"/>
    </xf>
    <xf numFmtId="0" fontId="7" fillId="49" borderId="32" xfId="189" applyFont="1" applyFill="1" applyBorder="1" applyAlignment="1">
      <alignment horizontal="center"/>
    </xf>
    <xf numFmtId="0" fontId="52" fillId="50" borderId="1" xfId="0" applyFont="1" applyFill="1" applyBorder="1" applyAlignment="1">
      <alignment horizontal="center"/>
    </xf>
    <xf numFmtId="0" fontId="4" fillId="0" borderId="1" xfId="0" applyFont="1" applyBorder="1" applyAlignment="1">
      <alignment horizontal="center"/>
    </xf>
    <xf numFmtId="0" fontId="4" fillId="9" borderId="1" xfId="189" applyFont="1" applyFill="1" applyBorder="1" applyAlignment="1">
      <alignment horizontal="center"/>
    </xf>
    <xf numFmtId="0" fontId="3" fillId="13" borderId="0" xfId="0" applyFont="1" applyFill="1" applyAlignment="1">
      <alignment horizontal="center" vertical="center" wrapText="1"/>
    </xf>
    <xf numFmtId="0" fontId="2" fillId="9" borderId="0" xfId="0" applyFont="1" applyFill="1" applyAlignment="1">
      <alignment horizontal="left" vertical="top" wrapText="1"/>
    </xf>
    <xf numFmtId="0" fontId="8" fillId="0" borderId="0" xfId="0" applyFont="1" applyBorder="1" applyAlignment="1">
      <alignment horizontal="center"/>
    </xf>
    <xf numFmtId="0" fontId="3" fillId="8" borderId="0" xfId="0" applyFont="1" applyFill="1" applyAlignment="1">
      <alignment horizontal="left" vertical="top" wrapText="1"/>
    </xf>
    <xf numFmtId="0" fontId="3" fillId="8" borderId="0" xfId="0" applyFont="1" applyFill="1" applyAlignment="1">
      <alignment horizontal="left" vertical="top"/>
    </xf>
    <xf numFmtId="0" fontId="6" fillId="8" borderId="0" xfId="0" applyFont="1" applyFill="1" applyAlignment="1">
      <alignment horizontal="left" vertical="top"/>
    </xf>
    <xf numFmtId="0" fontId="3" fillId="0" borderId="0" xfId="0" applyFont="1" applyAlignment="1">
      <alignment horizontal="left" vertical="top" wrapText="1"/>
    </xf>
    <xf numFmtId="0" fontId="0" fillId="0" borderId="0" xfId="0" applyAlignment="1">
      <alignment horizontal="left" vertical="top" wrapText="1"/>
    </xf>
  </cellXfs>
  <cellStyles count="191">
    <cellStyle name="20% - Accent1 2" xfId="9"/>
    <cellStyle name="20% - Accent1 2 2" xfId="10"/>
    <cellStyle name="20% - Accent2 2" xfId="11"/>
    <cellStyle name="20% - Accent3 2" xfId="12"/>
    <cellStyle name="20% - Accent3 2 2" xfId="13"/>
    <cellStyle name="20% - Accent4 2" xfId="14"/>
    <cellStyle name="20% - Accent4 2 2" xfId="15"/>
    <cellStyle name="20% - Accent5 2" xfId="16"/>
    <cellStyle name="20% - Accent6 2" xfId="17"/>
    <cellStyle name="40% - Accent1 2" xfId="18"/>
    <cellStyle name="40% - Accent1 2 2" xfId="19"/>
    <cellStyle name="40% - Accent2 2" xfId="20"/>
    <cellStyle name="40% - Accent2 2 2" xfId="21"/>
    <cellStyle name="40% - Accent3 2" xfId="22"/>
    <cellStyle name="40% - Accent3 2 2" xfId="23"/>
    <cellStyle name="40% - Accent4 2" xfId="24"/>
    <cellStyle name="40% - Accent4 2 2" xfId="25"/>
    <cellStyle name="40% - Accent5 2" xfId="26"/>
    <cellStyle name="40% - Accent6 2" xfId="27"/>
    <cellStyle name="40% - Accent6 2 2" xfId="28"/>
    <cellStyle name="60% - Accent1 2" xfId="29"/>
    <cellStyle name="60% - Accent1 2 2" xfId="30"/>
    <cellStyle name="60% - Accent2 2" xfId="31"/>
    <cellStyle name="60% - Accent2 2 2" xfId="32"/>
    <cellStyle name="60% - Accent3 2" xfId="33"/>
    <cellStyle name="60% - Accent3 2 2" xfId="34"/>
    <cellStyle name="60% - Accent4 2" xfId="35"/>
    <cellStyle name="60% - Accent4 2 2" xfId="36"/>
    <cellStyle name="60% - Accent5 2" xfId="37"/>
    <cellStyle name="60% - Accent6 2" xfId="38"/>
    <cellStyle name="60% - Accent6 2 2" xfId="39"/>
    <cellStyle name="Accent1 2" xfId="40"/>
    <cellStyle name="Accent1 2 2" xfId="41"/>
    <cellStyle name="Accent2 2" xfId="42"/>
    <cellStyle name="Accent3 2" xfId="43"/>
    <cellStyle name="Accent3 2 2" xfId="44"/>
    <cellStyle name="Accent4 2" xfId="45"/>
    <cellStyle name="Accent4 2 2" xfId="46"/>
    <cellStyle name="Accent5 2" xfId="47"/>
    <cellStyle name="Accent6 2" xfId="48"/>
    <cellStyle name="Bad 2" xfId="49"/>
    <cellStyle name="Bad 2 2" xfId="50"/>
    <cellStyle name="Calculation 2" xfId="51"/>
    <cellStyle name="Calculation 2 2" xfId="52"/>
    <cellStyle name="Check Cell 2" xfId="53"/>
    <cellStyle name="Comma" xfId="1" builtinId="3"/>
    <cellStyle name="Comma 2" xfId="54"/>
    <cellStyle name="Comma 2 2" xfId="55"/>
    <cellStyle name="Comma 2 2 2" xfId="56"/>
    <cellStyle name="Comma 2 2 3" xfId="57"/>
    <cellStyle name="Comma 2 3" xfId="58"/>
    <cellStyle name="Comma 2 4" xfId="59"/>
    <cellStyle name="Comma 3" xfId="60"/>
    <cellStyle name="Comma 3 2" xfId="61"/>
    <cellStyle name="Comma 3 2 2" xfId="62"/>
    <cellStyle name="Comma 3 2 3" xfId="63"/>
    <cellStyle name="Comma 3 3" xfId="64"/>
    <cellStyle name="Comma 3 4" xfId="65"/>
    <cellStyle name="Currency" xfId="2" builtinId="4"/>
    <cellStyle name="Currency 2" xfId="66"/>
    <cellStyle name="Currency 2 2" xfId="67"/>
    <cellStyle name="Currency 2 2 2" xfId="68"/>
    <cellStyle name="Currency 2 2 3" xfId="69"/>
    <cellStyle name="Currency 2 3" xfId="70"/>
    <cellStyle name="Currency 2 4" xfId="71"/>
    <cellStyle name="Currency 3" xfId="72"/>
    <cellStyle name="Currency 3 2" xfId="73"/>
    <cellStyle name="Currency 3 2 2" xfId="74"/>
    <cellStyle name="Currency 3 2 3" xfId="75"/>
    <cellStyle name="Currency 3 3" xfId="76"/>
    <cellStyle name="Currency 3 4" xfId="77"/>
    <cellStyle name="Data Field" xfId="78"/>
    <cellStyle name="Data Field 2" xfId="79"/>
    <cellStyle name="Data Field 2 2" xfId="80"/>
    <cellStyle name="Data Field 2 3" xfId="81"/>
    <cellStyle name="Data Field 3" xfId="82"/>
    <cellStyle name="Data Field 4" xfId="83"/>
    <cellStyle name="Data Name" xfId="84"/>
    <cellStyle name="Date/Time" xfId="85"/>
    <cellStyle name="Explanatory Text 2" xfId="86"/>
    <cellStyle name="Good 2" xfId="87"/>
    <cellStyle name="Heading" xfId="88"/>
    <cellStyle name="Heading 1 2" xfId="89"/>
    <cellStyle name="Heading 1 2 2" xfId="90"/>
    <cellStyle name="Heading 3 2" xfId="91"/>
    <cellStyle name="Heading 3 2 2" xfId="92"/>
    <cellStyle name="Heading 4 2" xfId="93"/>
    <cellStyle name="Heading 4 2 2" xfId="94"/>
    <cellStyle name="Hyperlink 2" xfId="95"/>
    <cellStyle name="Hyperlink 3" xfId="96"/>
    <cellStyle name="Input 2" xfId="97"/>
    <cellStyle name="Linked Cell 2" xfId="98"/>
    <cellStyle name="Neutral 2" xfId="99"/>
    <cellStyle name="Normal" xfId="0" builtinId="0"/>
    <cellStyle name="Normal 10" xfId="100"/>
    <cellStyle name="Normal 11" xfId="101"/>
    <cellStyle name="Normal 12" xfId="102"/>
    <cellStyle name="Normal 13" xfId="103"/>
    <cellStyle name="Normal 13 2" xfId="104"/>
    <cellStyle name="Normal 14" xfId="105"/>
    <cellStyle name="Normal 14 2" xfId="106"/>
    <cellStyle name="Normal 14 3" xfId="107"/>
    <cellStyle name="Normal 14 4" xfId="108"/>
    <cellStyle name="Normal 15" xfId="109"/>
    <cellStyle name="Normal 15 2" xfId="110"/>
    <cellStyle name="Normal 15 3" xfId="111"/>
    <cellStyle name="Normal 16" xfId="112"/>
    <cellStyle name="Normal 17" xfId="113"/>
    <cellStyle name="Normal 2" xfId="7"/>
    <cellStyle name="Normal 2 2" xfId="114"/>
    <cellStyle name="Normal 2 2 2" xfId="115"/>
    <cellStyle name="Normal 2 2 2 2" xfId="116"/>
    <cellStyle name="Normal 2 2 2 3" xfId="117"/>
    <cellStyle name="Normal 2 2 3" xfId="118"/>
    <cellStyle name="Normal 2 2 4" xfId="119"/>
    <cellStyle name="Normal 2 3" xfId="120"/>
    <cellStyle name="Normal 2 3 2" xfId="121"/>
    <cellStyle name="Normal 2 3 3" xfId="122"/>
    <cellStyle name="Normal 2 4" xfId="123"/>
    <cellStyle name="Normal 2 4 2" xfId="124"/>
    <cellStyle name="Normal 2 4 3" xfId="125"/>
    <cellStyle name="Normal 2 5" xfId="126"/>
    <cellStyle name="Normal 2 6" xfId="127"/>
    <cellStyle name="Normal 2 6 2" xfId="128"/>
    <cellStyle name="Normal 2 7" xfId="129"/>
    <cellStyle name="Normal 3" xfId="130"/>
    <cellStyle name="Normal 3 2" xfId="131"/>
    <cellStyle name="Normal 3 2 2" xfId="132"/>
    <cellStyle name="Normal 3 2 3" xfId="133"/>
    <cellStyle name="Normal 3 3" xfId="134"/>
    <cellStyle name="Normal 3 4" xfId="135"/>
    <cellStyle name="Normal 4" xfId="136"/>
    <cellStyle name="Normal 4 2" xfId="137"/>
    <cellStyle name="Normal 4 3" xfId="138"/>
    <cellStyle name="Normal 4 3 2" xfId="139"/>
    <cellStyle name="Normal 4 3 3" xfId="140"/>
    <cellStyle name="Normal 4 4" xfId="141"/>
    <cellStyle name="Normal 4 4 2" xfId="142"/>
    <cellStyle name="Normal 4 4 3" xfId="143"/>
    <cellStyle name="Normal 4 5" xfId="144"/>
    <cellStyle name="Normal 4 5 2" xfId="145"/>
    <cellStyle name="Normal 4 5 3" xfId="146"/>
    <cellStyle name="Normal 4 6" xfId="147"/>
    <cellStyle name="Normal 4 7" xfId="148"/>
    <cellStyle name="Normal 5" xfId="149"/>
    <cellStyle name="Normal 5 2" xfId="150"/>
    <cellStyle name="Normal 6" xfId="151"/>
    <cellStyle name="Normal 7" xfId="152"/>
    <cellStyle name="Normal 7 2" xfId="153"/>
    <cellStyle name="Normal 8" xfId="154"/>
    <cellStyle name="Normal 8 2" xfId="155"/>
    <cellStyle name="Normal 9" xfId="156"/>
    <cellStyle name="Normal 9 2" xfId="157"/>
    <cellStyle name="Normal 9 3" xfId="158"/>
    <cellStyle name="Normal_ISC ramp rates-D1 1-28-09" xfId="5"/>
    <cellStyle name="Normal_MTDUCT" xfId="189"/>
    <cellStyle name="Normal_PC-LPDPackage-6P-D14" xfId="8"/>
    <cellStyle name="Normal_PC-LPDPackageNew-5P" xfId="6"/>
    <cellStyle name="Normal_ProCostFinAssumptions_Sector" xfId="190"/>
    <cellStyle name="Normal_Sheet1" xfId="3"/>
    <cellStyle name="Note 2" xfId="159"/>
    <cellStyle name="Note 2 2" xfId="160"/>
    <cellStyle name="Output 2" xfId="161"/>
    <cellStyle name="Output 2 2" xfId="162"/>
    <cellStyle name="Percent" xfId="4" builtinId="5"/>
    <cellStyle name="Percent 2" xfId="163"/>
    <cellStyle name="Percent 2 2" xfId="164"/>
    <cellStyle name="Percent 2 2 2" xfId="165"/>
    <cellStyle name="Percent 2 2 2 2" xfId="166"/>
    <cellStyle name="Percent 2 2 2 3" xfId="167"/>
    <cellStyle name="Percent 2 2 3" xfId="168"/>
    <cellStyle name="Percent 2 2 4" xfId="169"/>
    <cellStyle name="Percent 2 3" xfId="170"/>
    <cellStyle name="Percent 2 3 2" xfId="171"/>
    <cellStyle name="Percent 2 3 3" xfId="172"/>
    <cellStyle name="Percent 3" xfId="173"/>
    <cellStyle name="Percent 3 2" xfId="174"/>
    <cellStyle name="Percent 3 2 2" xfId="175"/>
    <cellStyle name="Percent 3 2 3" xfId="176"/>
    <cellStyle name="Percent 3 3" xfId="177"/>
    <cellStyle name="Percent 3 4" xfId="178"/>
    <cellStyle name="Percent 4" xfId="179"/>
    <cellStyle name="Percent 4 2" xfId="180"/>
    <cellStyle name="Percent 5" xfId="181"/>
    <cellStyle name="Title 2" xfId="182"/>
    <cellStyle name="Title 2 2" xfId="183"/>
    <cellStyle name="Total 2" xfId="184"/>
    <cellStyle name="Total 2 2" xfId="185"/>
    <cellStyle name="Warning Text 2" xfId="186"/>
    <cellStyle name="표준_ENERGY CONSUMP" xfId="187"/>
    <cellStyle name="常规_海外市场服务网站资料操作BOM" xfId="188"/>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sz="1400"/>
              <a:t>Seventh</a:t>
            </a:r>
            <a:r>
              <a:rPr lang="en-US" sz="1400" baseline="0"/>
              <a:t> Plan Lost Opportunity Ramp Rates</a:t>
            </a:r>
            <a:endParaRPr lang="en-US" sz="1400"/>
          </a:p>
        </c:rich>
      </c:tx>
    </c:title>
    <c:plotArea>
      <c:layout/>
      <c:lineChart>
        <c:grouping val="standard"/>
        <c:ser>
          <c:idx val="0"/>
          <c:order val="0"/>
          <c:tx>
            <c:strRef>
              <c:f>[6]Proposed!$B$32</c:f>
              <c:strCache>
                <c:ptCount val="1"/>
                <c:pt idx="0">
                  <c:v>LO12Med</c:v>
                </c:pt>
              </c:strCache>
            </c:strRef>
          </c:tx>
          <c:marker>
            <c:symbol val="none"/>
          </c:marker>
          <c:val>
            <c:numRef>
              <c:f>[6]Proposed!$W$32:$AP$32</c:f>
              <c:numCache>
                <c:formatCode>General</c:formatCode>
                <c:ptCount val="20"/>
                <c:pt idx="0">
                  <c:v>0.10937459468255628</c:v>
                </c:pt>
                <c:pt idx="1">
                  <c:v>0.23437459468255628</c:v>
                </c:pt>
                <c:pt idx="2">
                  <c:v>0.37109283803575166</c:v>
                </c:pt>
                <c:pt idx="3">
                  <c:v>0.51409283803575168</c:v>
                </c:pt>
                <c:pt idx="4">
                  <c:v>0.65142143068963099</c:v>
                </c:pt>
                <c:pt idx="5">
                  <c:v>0.76586192456786373</c:v>
                </c:pt>
                <c:pt idx="6">
                  <c:v>0.85169229497653831</c:v>
                </c:pt>
                <c:pt idx="7">
                  <c:v>0.91021300207336175</c:v>
                </c:pt>
                <c:pt idx="8">
                  <c:v>0.94678844400887652</c:v>
                </c:pt>
                <c:pt idx="9">
                  <c:v>0.96788966051013492</c:v>
                </c:pt>
                <c:pt idx="10">
                  <c:v>0.97919388363580917</c:v>
                </c:pt>
                <c:pt idx="11">
                  <c:v>0.98484599519864635</c:v>
                </c:pt>
                <c:pt idx="12">
                  <c:v>0.98749542249372613</c:v>
                </c:pt>
                <c:pt idx="13">
                  <c:v>0.98866428747684965</c:v>
                </c:pt>
                <c:pt idx="14">
                  <c:v>0.98915131455315108</c:v>
                </c:pt>
                <c:pt idx="15">
                  <c:v>0.98934356208327012</c:v>
                </c:pt>
                <c:pt idx="16">
                  <c:v>0.98941565490706473</c:v>
                </c:pt>
                <c:pt idx="17">
                  <c:v>0.98944140234413425</c:v>
                </c:pt>
                <c:pt idx="18">
                  <c:v>0.9894501798794989</c:v>
                </c:pt>
                <c:pt idx="19">
                  <c:v>0.98945304211929175</c:v>
                </c:pt>
              </c:numCache>
            </c:numRef>
          </c:val>
        </c:ser>
        <c:ser>
          <c:idx val="1"/>
          <c:order val="1"/>
          <c:tx>
            <c:strRef>
              <c:f>[6]Proposed!$B$33</c:f>
              <c:strCache>
                <c:ptCount val="1"/>
                <c:pt idx="0">
                  <c:v>LO5Med</c:v>
                </c:pt>
              </c:strCache>
            </c:strRef>
          </c:tx>
          <c:marker>
            <c:symbol val="none"/>
          </c:marker>
          <c:val>
            <c:numRef>
              <c:f>[6]Proposed!$W$33:$AP$33</c:f>
              <c:numCache>
                <c:formatCode>General</c:formatCode>
                <c:ptCount val="20"/>
                <c:pt idx="0">
                  <c:v>4.2999999999999997E-2</c:v>
                </c:pt>
                <c:pt idx="1">
                  <c:v>9.5797142280278316E-2</c:v>
                </c:pt>
                <c:pt idx="2">
                  <c:v>0.16040539374775648</c:v>
                </c:pt>
                <c:pt idx="3">
                  <c:v>0.23540539374775649</c:v>
                </c:pt>
                <c:pt idx="4">
                  <c:v>0.32095239121809005</c:v>
                </c:pt>
                <c:pt idx="5">
                  <c:v>0.42096711425629652</c:v>
                </c:pt>
                <c:pt idx="6">
                  <c:v>0.53068481860864725</c:v>
                </c:pt>
                <c:pt idx="7">
                  <c:v>0.642769203728351</c:v>
                </c:pt>
                <c:pt idx="8">
                  <c:v>0.74839528535557953</c:v>
                </c:pt>
                <c:pt idx="9">
                  <c:v>0.83918984935345187</c:v>
                </c:pt>
                <c:pt idx="10">
                  <c:v>0.90945051634530116</c:v>
                </c:pt>
                <c:pt idx="11">
                  <c:v>0.9576688767502457</c:v>
                </c:pt>
                <c:pt idx="12">
                  <c:v>0.9865231113648858</c:v>
                </c:pt>
                <c:pt idx="13">
                  <c:v>1.0012970762896924</c:v>
                </c:pt>
                <c:pt idx="14">
                  <c:v>1.0076356106578106</c:v>
                </c:pt>
                <c:pt idx="15">
                  <c:v>1.0098624683774413</c:v>
                </c:pt>
                <c:pt idx="16">
                  <c:v>1.0104871783970797</c:v>
                </c:pt>
                <c:pt idx="17">
                  <c:v>1.010623336815976</c:v>
                </c:pt>
                <c:pt idx="18">
                  <c:v>1.0106457174525985</c:v>
                </c:pt>
                <c:pt idx="19">
                  <c:v>1.0106484038909742</c:v>
                </c:pt>
              </c:numCache>
            </c:numRef>
          </c:val>
        </c:ser>
        <c:ser>
          <c:idx val="2"/>
          <c:order val="2"/>
          <c:tx>
            <c:strRef>
              <c:f>[6]Proposed!$B$34</c:f>
              <c:strCache>
                <c:ptCount val="1"/>
                <c:pt idx="0">
                  <c:v>LO1Slow</c:v>
                </c:pt>
              </c:strCache>
            </c:strRef>
          </c:tx>
          <c:marker>
            <c:symbol val="none"/>
          </c:marker>
          <c:val>
            <c:numRef>
              <c:f>[6]Proposed!$W$34:$AP$34</c:f>
              <c:numCache>
                <c:formatCode>General</c:formatCode>
                <c:ptCount val="20"/>
                <c:pt idx="0">
                  <c:v>2.5643970768378654E-3</c:v>
                </c:pt>
                <c:pt idx="1">
                  <c:v>7.6904586297764643E-3</c:v>
                </c:pt>
                <c:pt idx="2">
                  <c:v>1.6792013047419844E-2</c:v>
                </c:pt>
                <c:pt idx="3">
                  <c:v>3.15969387774655E-2</c:v>
                </c:pt>
                <c:pt idx="4">
                  <c:v>5.406874819795171E-2</c:v>
                </c:pt>
                <c:pt idx="5">
                  <c:v>8.6253181011834101E-2</c:v>
                </c:pt>
                <c:pt idx="6">
                  <c:v>0.1300328481838382</c:v>
                </c:pt>
                <c:pt idx="7">
                  <c:v>0.18678710893858319</c:v>
                </c:pt>
                <c:pt idx="8">
                  <c:v>0.2569823480072907</c:v>
                </c:pt>
                <c:pt idx="9">
                  <c:v>0.33975920985004748</c:v>
                </c:pt>
                <c:pt idx="10">
                  <c:v>0.43262946935754232</c:v>
                </c:pt>
                <c:pt idx="11">
                  <c:v>0.53142594003645804</c:v>
                </c:pt>
                <c:pt idx="12">
                  <c:v>0.63063487292644704</c:v>
                </c:pt>
                <c:pt idx="13">
                  <c:v>0.7241560234206913</c:v>
                </c:pt>
                <c:pt idx="14">
                  <c:v>0.80638203131755359</c:v>
                </c:pt>
                <c:pt idx="15">
                  <c:v>0.87331559734491926</c:v>
                </c:pt>
                <c:pt idx="16">
                  <c:v>0.92334516248836807</c:v>
                </c:pt>
                <c:pt idx="17">
                  <c:v>0.95737002770730018</c:v>
                </c:pt>
                <c:pt idx="18">
                  <c:v>0.97821608704807483</c:v>
                </c:pt>
                <c:pt idx="19">
                  <c:v>0.98821608704807484</c:v>
                </c:pt>
              </c:numCache>
            </c:numRef>
          </c:val>
        </c:ser>
        <c:ser>
          <c:idx val="3"/>
          <c:order val="3"/>
          <c:tx>
            <c:strRef>
              <c:f>[6]Proposed!$B$35</c:f>
              <c:strCache>
                <c:ptCount val="1"/>
                <c:pt idx="0">
                  <c:v>LO50Fast</c:v>
                </c:pt>
              </c:strCache>
            </c:strRef>
          </c:tx>
          <c:marker>
            <c:symbol val="none"/>
          </c:marker>
          <c:val>
            <c:numRef>
              <c:f>[6]Proposed!$W$35:$AP$35</c:f>
              <c:numCache>
                <c:formatCode>General</c:formatCode>
                <c:ptCount val="20"/>
                <c:pt idx="0">
                  <c:v>0.45</c:v>
                </c:pt>
                <c:pt idx="1">
                  <c:v>0.66</c:v>
                </c:pt>
                <c:pt idx="2">
                  <c:v>0.8</c:v>
                </c:pt>
                <c:pt idx="3">
                  <c:v>0.89</c:v>
                </c:pt>
                <c:pt idx="4">
                  <c:v>0.94954036260972652</c:v>
                </c:pt>
                <c:pt idx="5">
                  <c:v>0.97931054391458994</c:v>
                </c:pt>
                <c:pt idx="6">
                  <c:v>0.99254173560564019</c:v>
                </c:pt>
                <c:pt idx="7">
                  <c:v>0.99783421228206048</c:v>
                </c:pt>
                <c:pt idx="8">
                  <c:v>0.99975874925530417</c:v>
                </c:pt>
                <c:pt idx="9">
                  <c:v>1.0004002615797187</c:v>
                </c:pt>
                <c:pt idx="10">
                  <c:v>1.0005976499872309</c:v>
                </c:pt>
                <c:pt idx="11">
                  <c:v>1.0006540466750915</c:v>
                </c:pt>
                <c:pt idx="12">
                  <c:v>1.0006690857918545</c:v>
                </c:pt>
                <c:pt idx="13">
                  <c:v>1.000672845571045</c:v>
                </c:pt>
                <c:pt idx="14">
                  <c:v>1.0006737302249724</c:v>
                </c:pt>
                <c:pt idx="15">
                  <c:v>1.0006739268147338</c:v>
                </c:pt>
                <c:pt idx="16">
                  <c:v>1.0006739682020522</c:v>
                </c:pt>
                <c:pt idx="17">
                  <c:v>1.0006739764795158</c:v>
                </c:pt>
                <c:pt idx="18">
                  <c:v>1.0006739780561755</c:v>
                </c:pt>
                <c:pt idx="19">
                  <c:v>1.0006739783428409</c:v>
                </c:pt>
              </c:numCache>
            </c:numRef>
          </c:val>
        </c:ser>
        <c:ser>
          <c:idx val="4"/>
          <c:order val="4"/>
          <c:tx>
            <c:strRef>
              <c:f>[6]Proposed!$B$36</c:f>
              <c:strCache>
                <c:ptCount val="1"/>
                <c:pt idx="0">
                  <c:v>LO20Fast</c:v>
                </c:pt>
              </c:strCache>
            </c:strRef>
          </c:tx>
          <c:marker>
            <c:symbol val="none"/>
          </c:marker>
          <c:val>
            <c:numRef>
              <c:f>[6]Proposed!$W$36:$AP$36</c:f>
              <c:numCache>
                <c:formatCode>General</c:formatCode>
                <c:ptCount val="20"/>
                <c:pt idx="0">
                  <c:v>0.22119921692859512</c:v>
                </c:pt>
                <c:pt idx="1">
                  <c:v>0.39346934028736658</c:v>
                </c:pt>
                <c:pt idx="2">
                  <c:v>0.52763344725898531</c:v>
                </c:pt>
                <c:pt idx="3">
                  <c:v>0.63212055882855767</c:v>
                </c:pt>
                <c:pt idx="4">
                  <c:v>0.71349520313980985</c:v>
                </c:pt>
                <c:pt idx="5">
                  <c:v>0.77686983985157021</c:v>
                </c:pt>
                <c:pt idx="6">
                  <c:v>0.82622605654955483</c:v>
                </c:pt>
                <c:pt idx="7">
                  <c:v>0.8646647167633873</c:v>
                </c:pt>
                <c:pt idx="8">
                  <c:v>0.89460077543813565</c:v>
                </c:pt>
                <c:pt idx="9">
                  <c:v>0.91791500137610116</c:v>
                </c:pt>
                <c:pt idx="10">
                  <c:v>0.93607213879329243</c:v>
                </c:pt>
                <c:pt idx="11">
                  <c:v>0.95021293163213605</c:v>
                </c:pt>
                <c:pt idx="12">
                  <c:v>0.96122579216827797</c:v>
                </c:pt>
                <c:pt idx="13">
                  <c:v>0.96980261657768152</c:v>
                </c:pt>
                <c:pt idx="14">
                  <c:v>0.97648225414399092</c:v>
                </c:pt>
                <c:pt idx="15">
                  <c:v>0.98168436111126578</c:v>
                </c:pt>
                <c:pt idx="16">
                  <c:v>0.98573576609100078</c:v>
                </c:pt>
                <c:pt idx="17">
                  <c:v>0.98889100346175773</c:v>
                </c:pt>
                <c:pt idx="18">
                  <c:v>0.99134830479687941</c:v>
                </c:pt>
                <c:pt idx="19">
                  <c:v>0.99326205300091452</c:v>
                </c:pt>
              </c:numCache>
            </c:numRef>
          </c:val>
        </c:ser>
        <c:ser>
          <c:idx val="5"/>
          <c:order val="5"/>
          <c:tx>
            <c:strRef>
              <c:f>[6]Proposed!$B$37</c:f>
              <c:strCache>
                <c:ptCount val="1"/>
                <c:pt idx="0">
                  <c:v>LOEven20</c:v>
                </c:pt>
              </c:strCache>
            </c:strRef>
          </c:tx>
          <c:marker>
            <c:symbol val="none"/>
          </c:marker>
          <c:val>
            <c:numRef>
              <c:f>[6]Proposed!$W$37:$AP$37</c:f>
              <c:numCache>
                <c:formatCode>General</c:formatCode>
                <c:ptCount val="20"/>
                <c:pt idx="0">
                  <c:v>0.05</c:v>
                </c:pt>
                <c:pt idx="1">
                  <c:v>0.1</c:v>
                </c:pt>
                <c:pt idx="2">
                  <c:v>0.15000000000000002</c:v>
                </c:pt>
                <c:pt idx="3">
                  <c:v>0.2</c:v>
                </c:pt>
                <c:pt idx="4">
                  <c:v>0.25</c:v>
                </c:pt>
                <c:pt idx="5">
                  <c:v>0.3</c:v>
                </c:pt>
                <c:pt idx="6">
                  <c:v>0.35</c:v>
                </c:pt>
                <c:pt idx="7">
                  <c:v>0.39999999999999997</c:v>
                </c:pt>
                <c:pt idx="8">
                  <c:v>0.44999999999999996</c:v>
                </c:pt>
                <c:pt idx="9">
                  <c:v>0.49999999999999994</c:v>
                </c:pt>
                <c:pt idx="10">
                  <c:v>0.54999999999999993</c:v>
                </c:pt>
                <c:pt idx="11">
                  <c:v>0.6</c:v>
                </c:pt>
                <c:pt idx="12">
                  <c:v>0.65</c:v>
                </c:pt>
                <c:pt idx="13">
                  <c:v>0.70000000000000007</c:v>
                </c:pt>
                <c:pt idx="14">
                  <c:v>0.75000000000000011</c:v>
                </c:pt>
                <c:pt idx="15">
                  <c:v>0.80000000000000016</c:v>
                </c:pt>
                <c:pt idx="16">
                  <c:v>0.8500000000000002</c:v>
                </c:pt>
                <c:pt idx="17">
                  <c:v>0.90000000000000024</c:v>
                </c:pt>
                <c:pt idx="18">
                  <c:v>0.95000000000000029</c:v>
                </c:pt>
                <c:pt idx="19">
                  <c:v>1.0000000000000002</c:v>
                </c:pt>
              </c:numCache>
            </c:numRef>
          </c:val>
        </c:ser>
        <c:ser>
          <c:idx val="6"/>
          <c:order val="6"/>
          <c:tx>
            <c:strRef>
              <c:f>[6]Proposed!$B$38</c:f>
              <c:strCache>
                <c:ptCount val="1"/>
                <c:pt idx="0">
                  <c:v>LOMax60</c:v>
                </c:pt>
              </c:strCache>
            </c:strRef>
          </c:tx>
          <c:marker>
            <c:symbol val="none"/>
          </c:marker>
          <c:val>
            <c:numRef>
              <c:f>[6]Proposed!$W$38:$AP$38</c:f>
              <c:numCache>
                <c:formatCode>General</c:formatCode>
                <c:ptCount val="20"/>
                <c:pt idx="0">
                  <c:v>0.01</c:v>
                </c:pt>
                <c:pt idx="1">
                  <c:v>2.98E-2</c:v>
                </c:pt>
                <c:pt idx="2">
                  <c:v>5.8906E-2</c:v>
                </c:pt>
                <c:pt idx="3">
                  <c:v>9.6549759999999998E-2</c:v>
                </c:pt>
                <c:pt idx="4">
                  <c:v>0.14172227199999998</c:v>
                </c:pt>
                <c:pt idx="5">
                  <c:v>0.19035800991999999</c:v>
                </c:pt>
                <c:pt idx="6">
                  <c:v>0.2362377226912</c:v>
                </c:pt>
                <c:pt idx="7">
                  <c:v>0.279517585072032</c:v>
                </c:pt>
                <c:pt idx="8">
                  <c:v>0.32034492191795017</c:v>
                </c:pt>
                <c:pt idx="9">
                  <c:v>0.35885870967593297</c:v>
                </c:pt>
                <c:pt idx="10">
                  <c:v>0.39519004946096342</c:v>
                </c:pt>
                <c:pt idx="11">
                  <c:v>0.42946261332484215</c:v>
                </c:pt>
                <c:pt idx="12">
                  <c:v>0.46179306523643443</c:v>
                </c:pt>
                <c:pt idx="13">
                  <c:v>0.49229145820636983</c:v>
                </c:pt>
                <c:pt idx="14">
                  <c:v>0.5210616089080089</c:v>
                </c:pt>
                <c:pt idx="15">
                  <c:v>0.54820145106988838</c:v>
                </c:pt>
                <c:pt idx="16">
                  <c:v>0.57380336884259475</c:v>
                </c:pt>
                <c:pt idx="17">
                  <c:v>0.59795451127484767</c:v>
                </c:pt>
                <c:pt idx="18">
                  <c:v>0.62073708896927293</c:v>
                </c:pt>
                <c:pt idx="19">
                  <c:v>0.6422286539276808</c:v>
                </c:pt>
              </c:numCache>
            </c:numRef>
          </c:val>
        </c:ser>
        <c:ser>
          <c:idx val="7"/>
          <c:order val="7"/>
          <c:tx>
            <c:strRef>
              <c:f>[6]Proposed!$B$39</c:f>
              <c:strCache>
                <c:ptCount val="1"/>
                <c:pt idx="0">
                  <c:v>LO3Slow</c:v>
                </c:pt>
              </c:strCache>
            </c:strRef>
          </c:tx>
          <c:marker>
            <c:symbol val="none"/>
          </c:marker>
          <c:val>
            <c:numRef>
              <c:f>[6]Proposed!$W$39:$AP$39</c:f>
              <c:numCache>
                <c:formatCode>General</c:formatCode>
                <c:ptCount val="20"/>
                <c:pt idx="0">
                  <c:v>5.5320496977002724E-3</c:v>
                </c:pt>
                <c:pt idx="1">
                  <c:v>1.4227918344261844E-2</c:v>
                </c:pt>
                <c:pt idx="2">
                  <c:v>3.1619655637384989E-2</c:v>
                </c:pt>
                <c:pt idx="3">
                  <c:v>6.2055195900350503E-2</c:v>
                </c:pt>
                <c:pt idx="4">
                  <c:v>0.10939936964274129</c:v>
                </c:pt>
                <c:pt idx="5">
                  <c:v>0.17568121288208835</c:v>
                </c:pt>
                <c:pt idx="6">
                  <c:v>0.26003992245943919</c:v>
                </c:pt>
                <c:pt idx="7">
                  <c:v>0.3584584169663485</c:v>
                </c:pt>
                <c:pt idx="8">
                  <c:v>0.46444756489686617</c:v>
                </c:pt>
                <c:pt idx="9">
                  <c:v>0.57043671282738384</c:v>
                </c:pt>
                <c:pt idx="10">
                  <c:v>0.66935991756253377</c:v>
                </c:pt>
                <c:pt idx="11">
                  <c:v>0.75591772170578986</c:v>
                </c:pt>
                <c:pt idx="12">
                  <c:v>0.82720061923553012</c:v>
                </c:pt>
                <c:pt idx="13">
                  <c:v>0.88264287286977261</c:v>
                </c:pt>
                <c:pt idx="14">
                  <c:v>0.92349505975816193</c:v>
                </c:pt>
                <c:pt idx="15">
                  <c:v>0.95209159058003434</c:v>
                </c:pt>
                <c:pt idx="16">
                  <c:v>0.97115594446128262</c:v>
                </c:pt>
                <c:pt idx="17">
                  <c:v>0.98328780602207699</c:v>
                </c:pt>
                <c:pt idx="18">
                  <c:v>0.99067241740690848</c:v>
                </c:pt>
                <c:pt idx="19">
                  <c:v>0.99498010738139331</c:v>
                </c:pt>
              </c:numCache>
            </c:numRef>
          </c:val>
        </c:ser>
        <c:marker val="1"/>
        <c:axId val="234855040"/>
        <c:axId val="246782208"/>
      </c:lineChart>
      <c:catAx>
        <c:axId val="234855040"/>
        <c:scaling>
          <c:orientation val="minMax"/>
        </c:scaling>
        <c:axPos val="b"/>
        <c:title>
          <c:tx>
            <c:rich>
              <a:bodyPr/>
              <a:lstStyle/>
              <a:p>
                <a:pPr>
                  <a:defRPr/>
                </a:pPr>
                <a:r>
                  <a:rPr lang="en-US"/>
                  <a:t>Year</a:t>
                </a:r>
              </a:p>
            </c:rich>
          </c:tx>
        </c:title>
        <c:tickLblPos val="nextTo"/>
        <c:crossAx val="246782208"/>
        <c:crosses val="autoZero"/>
        <c:auto val="1"/>
        <c:lblAlgn val="ctr"/>
        <c:lblOffset val="100"/>
      </c:catAx>
      <c:valAx>
        <c:axId val="246782208"/>
        <c:scaling>
          <c:orientation val="minMax"/>
        </c:scaling>
        <c:axPos val="l"/>
        <c:majorGridlines/>
        <c:numFmt formatCode="General" sourceLinked="1"/>
        <c:tickLblPos val="nextTo"/>
        <c:crossAx val="234855040"/>
        <c:crosses val="autoZero"/>
        <c:crossBetween val="between"/>
      </c:valAx>
    </c:plotArea>
    <c:legend>
      <c:legendPos val="r"/>
    </c:legend>
    <c:plotVisOnly val="1"/>
  </c:chart>
  <c:printSettings>
    <c:headerFooter/>
    <c:pageMargins b="0.75000000000000333" l="0.70000000000000062" r="0.70000000000000062" t="0.7500000000000033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sz="1400"/>
              <a:t>Seventh Plan Retrofit Ramp Rates</a:t>
            </a:r>
          </a:p>
          <a:p>
            <a:pPr>
              <a:defRPr/>
            </a:pPr>
            <a:r>
              <a:rPr lang="en-US" sz="1400"/>
              <a:t>(Incremental - For</a:t>
            </a:r>
            <a:r>
              <a:rPr lang="en-US" sz="1400" baseline="0"/>
              <a:t> SCs and RPM)</a:t>
            </a:r>
            <a:endParaRPr lang="en-US" sz="1400"/>
          </a:p>
        </c:rich>
      </c:tx>
    </c:title>
    <c:plotArea>
      <c:layout/>
      <c:lineChart>
        <c:grouping val="standard"/>
        <c:ser>
          <c:idx val="0"/>
          <c:order val="0"/>
          <c:tx>
            <c:strRef>
              <c:f>[6]Proposed!$B$23</c:f>
              <c:strCache>
                <c:ptCount val="1"/>
                <c:pt idx="0">
                  <c:v>Retro12Med</c:v>
                </c:pt>
              </c:strCache>
            </c:strRef>
          </c:tx>
          <c:marker>
            <c:symbol val="none"/>
          </c:marker>
          <c:val>
            <c:numRef>
              <c:f>[6]Proposed!$C$23:$V$23</c:f>
              <c:numCache>
                <c:formatCode>General</c:formatCode>
                <c:ptCount val="20"/>
                <c:pt idx="0">
                  <c:v>0.10937459468255628</c:v>
                </c:pt>
                <c:pt idx="1">
                  <c:v>0.125</c:v>
                </c:pt>
                <c:pt idx="2">
                  <c:v>0.13671824335319538</c:v>
                </c:pt>
                <c:pt idx="3">
                  <c:v>0.14299999999999999</c:v>
                </c:pt>
                <c:pt idx="4">
                  <c:v>0.13732859265387931</c:v>
                </c:pt>
                <c:pt idx="5">
                  <c:v>0.11444049387823274</c:v>
                </c:pt>
                <c:pt idx="6">
                  <c:v>8.5830370408674583E-2</c:v>
                </c:pt>
                <c:pt idx="7">
                  <c:v>5.8520707096823443E-2</c:v>
                </c:pt>
                <c:pt idx="8">
                  <c:v>3.6575441935514763E-2</c:v>
                </c:pt>
                <c:pt idx="9">
                  <c:v>2.1101216501258402E-2</c:v>
                </c:pt>
                <c:pt idx="10">
                  <c:v>1.1304223125674251E-2</c:v>
                </c:pt>
                <c:pt idx="11">
                  <c:v>5.652111562837181E-3</c:v>
                </c:pt>
                <c:pt idx="12">
                  <c:v>2.6494272950797759E-3</c:v>
                </c:pt>
                <c:pt idx="13">
                  <c:v>1.1688649831235187E-3</c:v>
                </c:pt>
                <c:pt idx="14">
                  <c:v>4.8702707630143838E-4</c:v>
                </c:pt>
                <c:pt idx="15">
                  <c:v>1.922475301190385E-4</c:v>
                </c:pt>
                <c:pt idx="16">
                  <c:v>7.2092823794611682E-5</c:v>
                </c:pt>
                <c:pt idx="17">
                  <c:v>2.5747437069512102E-5</c:v>
                </c:pt>
                <c:pt idx="18">
                  <c:v>8.7775353646568632E-6</c:v>
                </c:pt>
                <c:pt idx="19">
                  <c:v>2.8622397928446119E-6</c:v>
                </c:pt>
              </c:numCache>
            </c:numRef>
          </c:val>
        </c:ser>
        <c:ser>
          <c:idx val="1"/>
          <c:order val="1"/>
          <c:tx>
            <c:strRef>
              <c:f>[6]Proposed!$B$24</c:f>
              <c:strCache>
                <c:ptCount val="1"/>
                <c:pt idx="0">
                  <c:v>Retro5Med</c:v>
                </c:pt>
              </c:strCache>
            </c:strRef>
          </c:tx>
          <c:marker>
            <c:symbol val="none"/>
          </c:marker>
          <c:val>
            <c:numRef>
              <c:f>[6]Proposed!$C$24:$V$24</c:f>
              <c:numCache>
                <c:formatCode>General</c:formatCode>
                <c:ptCount val="20"/>
                <c:pt idx="0">
                  <c:v>4.2999999999999997E-2</c:v>
                </c:pt>
                <c:pt idx="1">
                  <c:v>5.279714228027832E-2</c:v>
                </c:pt>
                <c:pt idx="2">
                  <c:v>6.4608251467478173E-2</c:v>
                </c:pt>
                <c:pt idx="3">
                  <c:v>7.4999999999999997E-2</c:v>
                </c:pt>
                <c:pt idx="4">
                  <c:v>8.5546997470333563E-2</c:v>
                </c:pt>
                <c:pt idx="5">
                  <c:v>0.10001472303820647</c:v>
                </c:pt>
                <c:pt idx="6">
                  <c:v>0.10971770435235073</c:v>
                </c:pt>
                <c:pt idx="7">
                  <c:v>0.11208438511970376</c:v>
                </c:pt>
                <c:pt idx="8">
                  <c:v>0.10562608162722853</c:v>
                </c:pt>
                <c:pt idx="9">
                  <c:v>9.0794563997872335E-2</c:v>
                </c:pt>
                <c:pt idx="10">
                  <c:v>7.0260666991849297E-2</c:v>
                </c:pt>
                <c:pt idx="11">
                  <c:v>4.8218360404944538E-2</c:v>
                </c:pt>
                <c:pt idx="12">
                  <c:v>2.8854234614640095E-2</c:v>
                </c:pt>
                <c:pt idx="13">
                  <c:v>1.4773964924806759E-2</c:v>
                </c:pt>
                <c:pt idx="14">
                  <c:v>6.3385343681182649E-3</c:v>
                </c:pt>
                <c:pt idx="15">
                  <c:v>2.2268577196306039E-3</c:v>
                </c:pt>
                <c:pt idx="16">
                  <c:v>6.2471001963848583E-4</c:v>
                </c:pt>
                <c:pt idx="17">
                  <c:v>1.3615841889635938E-4</c:v>
                </c:pt>
                <c:pt idx="18">
                  <c:v>2.2380636622298944E-5</c:v>
                </c:pt>
                <c:pt idx="19">
                  <c:v>2.68643837586513E-6</c:v>
                </c:pt>
              </c:numCache>
            </c:numRef>
          </c:val>
        </c:ser>
        <c:ser>
          <c:idx val="2"/>
          <c:order val="2"/>
          <c:tx>
            <c:strRef>
              <c:f>[6]Proposed!$B$25</c:f>
              <c:strCache>
                <c:ptCount val="1"/>
                <c:pt idx="0">
                  <c:v>Retro1Slow</c:v>
                </c:pt>
              </c:strCache>
            </c:strRef>
          </c:tx>
          <c:marker>
            <c:symbol val="none"/>
          </c:marker>
          <c:val>
            <c:numRef>
              <c:f>[6]Proposed!$C$25:$V$25</c:f>
              <c:numCache>
                <c:formatCode>General</c:formatCode>
                <c:ptCount val="20"/>
                <c:pt idx="0">
                  <c:v>2.5643970768378654E-3</c:v>
                </c:pt>
                <c:pt idx="1">
                  <c:v>5.1260615529385989E-3</c:v>
                </c:pt>
                <c:pt idx="2">
                  <c:v>9.1015544176433795E-3</c:v>
                </c:pt>
                <c:pt idx="3">
                  <c:v>1.4804925730045659E-2</c:v>
                </c:pt>
                <c:pt idx="4">
                  <c:v>2.2471809420486211E-2</c:v>
                </c:pt>
                <c:pt idx="5">
                  <c:v>3.2184432813882391E-2</c:v>
                </c:pt>
                <c:pt idx="6">
                  <c:v>4.3779667172004086E-2</c:v>
                </c:pt>
                <c:pt idx="7">
                  <c:v>5.675426075474499E-2</c:v>
                </c:pt>
                <c:pt idx="8">
                  <c:v>7.0195239068707532E-2</c:v>
                </c:pt>
                <c:pt idx="9">
                  <c:v>8.2776861842756788E-2</c:v>
                </c:pt>
                <c:pt idx="10">
                  <c:v>9.2870259507494834E-2</c:v>
                </c:pt>
                <c:pt idx="11">
                  <c:v>9.8796470678915727E-2</c:v>
                </c:pt>
                <c:pt idx="12">
                  <c:v>9.9208932889988999E-2</c:v>
                </c:pt>
                <c:pt idx="13">
                  <c:v>9.3521150494244254E-2</c:v>
                </c:pt>
                <c:pt idx="14">
                  <c:v>8.2226007896862296E-2</c:v>
                </c:pt>
                <c:pt idx="15">
                  <c:v>6.6933566027365665E-2</c:v>
                </c:pt>
                <c:pt idx="16">
                  <c:v>5.0029565143448806E-2</c:v>
                </c:pt>
                <c:pt idx="17">
                  <c:v>3.402486521893211E-2</c:v>
                </c:pt>
                <c:pt idx="18">
                  <c:v>2.0846059340774659E-2</c:v>
                </c:pt>
                <c:pt idx="19">
                  <c:v>0.01</c:v>
                </c:pt>
              </c:numCache>
            </c:numRef>
          </c:val>
        </c:ser>
        <c:ser>
          <c:idx val="3"/>
          <c:order val="3"/>
          <c:tx>
            <c:strRef>
              <c:f>[6]Proposed!$B$26</c:f>
              <c:strCache>
                <c:ptCount val="1"/>
                <c:pt idx="0">
                  <c:v>Retro50Fast</c:v>
                </c:pt>
              </c:strCache>
            </c:strRef>
          </c:tx>
          <c:marker>
            <c:symbol val="none"/>
          </c:marker>
          <c:val>
            <c:numRef>
              <c:f>[6]Proposed!$C$26:$V$26</c:f>
              <c:numCache>
                <c:formatCode>General</c:formatCode>
                <c:ptCount val="20"/>
                <c:pt idx="0">
                  <c:v>0.45</c:v>
                </c:pt>
                <c:pt idx="1">
                  <c:v>0.21</c:v>
                </c:pt>
                <c:pt idx="2">
                  <c:v>0.14000000000000001</c:v>
                </c:pt>
                <c:pt idx="3">
                  <c:v>0.09</c:v>
                </c:pt>
                <c:pt idx="4">
                  <c:v>5.9540362609726505E-2</c:v>
                </c:pt>
                <c:pt idx="5">
                  <c:v>2.9770181304863419E-2</c:v>
                </c:pt>
                <c:pt idx="6">
                  <c:v>1.3231191691050248E-2</c:v>
                </c:pt>
                <c:pt idx="7">
                  <c:v>5.2924766764202991E-3</c:v>
                </c:pt>
                <c:pt idx="8">
                  <c:v>1.9245369732436846E-3</c:v>
                </c:pt>
                <c:pt idx="9">
                  <c:v>6.415123244144505E-4</c:v>
                </c:pt>
                <c:pt idx="10">
                  <c:v>1.9738840751215569E-4</c:v>
                </c:pt>
                <c:pt idx="11">
                  <c:v>5.6396687860615913E-5</c:v>
                </c:pt>
                <c:pt idx="12">
                  <c:v>1.5039116763038152E-5</c:v>
                </c:pt>
                <c:pt idx="13">
                  <c:v>3.7597791905374933E-6</c:v>
                </c:pt>
                <c:pt idx="14">
                  <c:v>8.8465392733549919E-7</c:v>
                </c:pt>
                <c:pt idx="15">
                  <c:v>1.9658976146974538E-7</c:v>
                </c:pt>
                <c:pt idx="16">
                  <c:v>4.13873183502389E-8</c:v>
                </c:pt>
                <c:pt idx="17">
                  <c:v>8.2774636034343985E-9</c:v>
                </c:pt>
                <c:pt idx="18">
                  <c:v>1.5766598027155965E-9</c:v>
                </c:pt>
                <c:pt idx="19">
                  <c:v>2.8666535811794347E-10</c:v>
                </c:pt>
              </c:numCache>
            </c:numRef>
          </c:val>
        </c:ser>
        <c:ser>
          <c:idx val="4"/>
          <c:order val="4"/>
          <c:tx>
            <c:strRef>
              <c:f>[6]Proposed!$B$27</c:f>
              <c:strCache>
                <c:ptCount val="1"/>
                <c:pt idx="0">
                  <c:v>Retro20Fast</c:v>
                </c:pt>
              </c:strCache>
            </c:strRef>
          </c:tx>
          <c:marker>
            <c:symbol val="none"/>
          </c:marker>
          <c:val>
            <c:numRef>
              <c:f>[6]Proposed!$C$27:$V$27</c:f>
              <c:numCache>
                <c:formatCode>General</c:formatCode>
                <c:ptCount val="20"/>
                <c:pt idx="0">
                  <c:v>0.22119921692859512</c:v>
                </c:pt>
                <c:pt idx="1">
                  <c:v>0.17227012335877145</c:v>
                </c:pt>
                <c:pt idx="2">
                  <c:v>0.13416410697161874</c:v>
                </c:pt>
                <c:pt idx="3">
                  <c:v>0.10448711156957236</c:v>
                </c:pt>
                <c:pt idx="4">
                  <c:v>8.1374644311252187E-2</c:v>
                </c:pt>
                <c:pt idx="5">
                  <c:v>6.3374636711760357E-2</c:v>
                </c:pt>
                <c:pt idx="6">
                  <c:v>4.9356216697984623E-2</c:v>
                </c:pt>
                <c:pt idx="7">
                  <c:v>3.8438660213832465E-2</c:v>
                </c:pt>
                <c:pt idx="8">
                  <c:v>2.9936058674748356E-2</c:v>
                </c:pt>
                <c:pt idx="9">
                  <c:v>2.3314225937965505E-2</c:v>
                </c:pt>
                <c:pt idx="10">
                  <c:v>1.8157137417191271E-2</c:v>
                </c:pt>
                <c:pt idx="11">
                  <c:v>1.4140792838843619E-2</c:v>
                </c:pt>
                <c:pt idx="12">
                  <c:v>1.1012860536141922E-2</c:v>
                </c:pt>
                <c:pt idx="13">
                  <c:v>8.5768244094035495E-3</c:v>
                </c:pt>
                <c:pt idx="14">
                  <c:v>6.6796375663094043E-3</c:v>
                </c:pt>
                <c:pt idx="15">
                  <c:v>5.2021069672748554E-3</c:v>
                </c:pt>
                <c:pt idx="16">
                  <c:v>4.051404979734996E-3</c:v>
                </c:pt>
                <c:pt idx="17">
                  <c:v>3.1552373707569581E-3</c:v>
                </c:pt>
                <c:pt idx="18">
                  <c:v>2.4573013351216755E-3</c:v>
                </c:pt>
                <c:pt idx="19">
                  <c:v>1.913748204035115E-3</c:v>
                </c:pt>
              </c:numCache>
            </c:numRef>
          </c:val>
        </c:ser>
        <c:ser>
          <c:idx val="5"/>
          <c:order val="5"/>
          <c:tx>
            <c:strRef>
              <c:f>[6]Proposed!$B$28</c:f>
              <c:strCache>
                <c:ptCount val="1"/>
                <c:pt idx="0">
                  <c:v>RetroEven20</c:v>
                </c:pt>
              </c:strCache>
            </c:strRef>
          </c:tx>
          <c:marker>
            <c:symbol val="none"/>
          </c:marker>
          <c:val>
            <c:numRef>
              <c:f>[6]Proposed!$C$28:$V$28</c:f>
              <c:numCache>
                <c:formatCode>General</c:formatCode>
                <c:ptCount val="20"/>
                <c:pt idx="0">
                  <c:v>0.05</c:v>
                </c:pt>
                <c:pt idx="1">
                  <c:v>0.05</c:v>
                </c:pt>
                <c:pt idx="2">
                  <c:v>0.05</c:v>
                </c:pt>
                <c:pt idx="3">
                  <c:v>0.05</c:v>
                </c:pt>
                <c:pt idx="4">
                  <c:v>0.05</c:v>
                </c:pt>
                <c:pt idx="5">
                  <c:v>0.05</c:v>
                </c:pt>
                <c:pt idx="6">
                  <c:v>0.05</c:v>
                </c:pt>
                <c:pt idx="7">
                  <c:v>0.05</c:v>
                </c:pt>
                <c:pt idx="8">
                  <c:v>0.05</c:v>
                </c:pt>
                <c:pt idx="9">
                  <c:v>0.05</c:v>
                </c:pt>
                <c:pt idx="10">
                  <c:v>0.05</c:v>
                </c:pt>
                <c:pt idx="11">
                  <c:v>0.05</c:v>
                </c:pt>
                <c:pt idx="12">
                  <c:v>0.05</c:v>
                </c:pt>
                <c:pt idx="13">
                  <c:v>0.05</c:v>
                </c:pt>
                <c:pt idx="14">
                  <c:v>0.05</c:v>
                </c:pt>
                <c:pt idx="15">
                  <c:v>0.05</c:v>
                </c:pt>
                <c:pt idx="16">
                  <c:v>0.05</c:v>
                </c:pt>
                <c:pt idx="17">
                  <c:v>0.05</c:v>
                </c:pt>
                <c:pt idx="18">
                  <c:v>0.05</c:v>
                </c:pt>
                <c:pt idx="19">
                  <c:v>0.05</c:v>
                </c:pt>
              </c:numCache>
            </c:numRef>
          </c:val>
        </c:ser>
        <c:ser>
          <c:idx val="6"/>
          <c:order val="6"/>
          <c:tx>
            <c:strRef>
              <c:f>[6]Proposed!$B$29</c:f>
              <c:strCache>
                <c:ptCount val="1"/>
                <c:pt idx="0">
                  <c:v>RetroMax60</c:v>
                </c:pt>
              </c:strCache>
            </c:strRef>
          </c:tx>
          <c:marker>
            <c:symbol val="none"/>
          </c:marker>
          <c:val>
            <c:numRef>
              <c:f>[6]Proposed!$C$29:$V$29</c:f>
              <c:numCache>
                <c:formatCode>General</c:formatCode>
                <c:ptCount val="20"/>
                <c:pt idx="0">
                  <c:v>0.01</c:v>
                </c:pt>
                <c:pt idx="1">
                  <c:v>1.9799999999999998E-2</c:v>
                </c:pt>
                <c:pt idx="2">
                  <c:v>2.9106E-2</c:v>
                </c:pt>
                <c:pt idx="3">
                  <c:v>3.7643759999999998E-2</c:v>
                </c:pt>
                <c:pt idx="4">
                  <c:v>4.5172511999999984E-2</c:v>
                </c:pt>
                <c:pt idx="5">
                  <c:v>4.8635737920000005E-2</c:v>
                </c:pt>
                <c:pt idx="6">
                  <c:v>4.587971277120001E-2</c:v>
                </c:pt>
                <c:pt idx="7">
                  <c:v>4.3279862380832007E-2</c:v>
                </c:pt>
                <c:pt idx="8">
                  <c:v>4.0827336845918161E-2</c:v>
                </c:pt>
                <c:pt idx="9">
                  <c:v>3.8513787757982809E-2</c:v>
                </c:pt>
                <c:pt idx="10">
                  <c:v>3.6331339785030448E-2</c:v>
                </c:pt>
                <c:pt idx="11">
                  <c:v>3.4272563863878724E-2</c:v>
                </c:pt>
                <c:pt idx="12">
                  <c:v>3.2330451911592284E-2</c:v>
                </c:pt>
                <c:pt idx="13">
                  <c:v>3.0498392969935395E-2</c:v>
                </c:pt>
                <c:pt idx="14">
                  <c:v>2.8770150701639075E-2</c:v>
                </c:pt>
                <c:pt idx="15">
                  <c:v>2.7139842161879479E-2</c:v>
                </c:pt>
                <c:pt idx="16">
                  <c:v>2.5601917772706373E-2</c:v>
                </c:pt>
                <c:pt idx="17">
                  <c:v>2.4151142432252914E-2</c:v>
                </c:pt>
                <c:pt idx="18">
                  <c:v>2.2782577694425266E-2</c:v>
                </c:pt>
                <c:pt idx="19">
                  <c:v>2.1491564958407872E-2</c:v>
                </c:pt>
              </c:numCache>
            </c:numRef>
          </c:val>
        </c:ser>
        <c:ser>
          <c:idx val="7"/>
          <c:order val="7"/>
          <c:tx>
            <c:strRef>
              <c:f>[6]Proposed!$B$30</c:f>
              <c:strCache>
                <c:ptCount val="1"/>
                <c:pt idx="0">
                  <c:v>Retro3Slow</c:v>
                </c:pt>
              </c:strCache>
            </c:strRef>
          </c:tx>
          <c:marker>
            <c:symbol val="none"/>
          </c:marker>
          <c:val>
            <c:numRef>
              <c:f>[6]Proposed!$C$30:$V$30</c:f>
              <c:numCache>
                <c:formatCode>General</c:formatCode>
                <c:ptCount val="20"/>
                <c:pt idx="0">
                  <c:v>5.5320496977002724E-3</c:v>
                </c:pt>
                <c:pt idx="1">
                  <c:v>8.6958686465615706E-3</c:v>
                </c:pt>
                <c:pt idx="2">
                  <c:v>1.7391737293123145E-2</c:v>
                </c:pt>
                <c:pt idx="3">
                  <c:v>3.0435540262965514E-2</c:v>
                </c:pt>
                <c:pt idx="4">
                  <c:v>4.7344173742390784E-2</c:v>
                </c:pt>
                <c:pt idx="5">
                  <c:v>6.6281843239347063E-2</c:v>
                </c:pt>
                <c:pt idx="6">
                  <c:v>8.4358709577350838E-2</c:v>
                </c:pt>
                <c:pt idx="7">
                  <c:v>9.8418494506909315E-2</c:v>
                </c:pt>
                <c:pt idx="8">
                  <c:v>0.10598914793051767</c:v>
                </c:pt>
                <c:pt idx="9">
                  <c:v>0.10598914793051767</c:v>
                </c:pt>
                <c:pt idx="10">
                  <c:v>9.8923204735149928E-2</c:v>
                </c:pt>
                <c:pt idx="11">
                  <c:v>8.655780414325609E-2</c:v>
                </c:pt>
                <c:pt idx="12">
                  <c:v>7.1282897529740263E-2</c:v>
                </c:pt>
                <c:pt idx="13">
                  <c:v>5.5442253634242489E-2</c:v>
                </c:pt>
                <c:pt idx="14">
                  <c:v>4.0852186888389319E-2</c:v>
                </c:pt>
                <c:pt idx="15">
                  <c:v>2.8596530821872412E-2</c:v>
                </c:pt>
                <c:pt idx="16">
                  <c:v>1.9064353881248275E-2</c:v>
                </c:pt>
                <c:pt idx="17">
                  <c:v>1.2131861560794377E-2</c:v>
                </c:pt>
                <c:pt idx="18">
                  <c:v>7.3846113848314854E-3</c:v>
                </c:pt>
                <c:pt idx="19">
                  <c:v>4.3076899744848296E-3</c:v>
                </c:pt>
              </c:numCache>
            </c:numRef>
          </c:val>
        </c:ser>
        <c:marker val="1"/>
        <c:axId val="267575296"/>
        <c:axId val="267576832"/>
      </c:lineChart>
      <c:catAx>
        <c:axId val="267575296"/>
        <c:scaling>
          <c:orientation val="minMax"/>
        </c:scaling>
        <c:axPos val="b"/>
        <c:tickLblPos val="nextTo"/>
        <c:crossAx val="267576832"/>
        <c:crosses val="autoZero"/>
        <c:auto val="1"/>
        <c:lblAlgn val="ctr"/>
        <c:lblOffset val="100"/>
      </c:catAx>
      <c:valAx>
        <c:axId val="267576832"/>
        <c:scaling>
          <c:orientation val="minMax"/>
        </c:scaling>
        <c:axPos val="l"/>
        <c:majorGridlines/>
        <c:numFmt formatCode="General" sourceLinked="1"/>
        <c:tickLblPos val="nextTo"/>
        <c:crossAx val="267575296"/>
        <c:crosses val="autoZero"/>
        <c:crossBetween val="between"/>
      </c:valAx>
    </c:plotArea>
    <c:legend>
      <c:legendPos val="r"/>
    </c:legend>
    <c:plotVisOnly val="1"/>
  </c:chart>
  <c:printSettings>
    <c:headerFooter/>
    <c:pageMargins b="0.75000000000000255" l="0.70000000000000062" r="0.70000000000000062" t="0.750000000000002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a:pPr>
            <a:r>
              <a:rPr lang="en-US" sz="1400"/>
              <a:t>Seventh Plan Retrofit Ramp Rates</a:t>
            </a:r>
          </a:p>
          <a:p>
            <a:pPr>
              <a:defRPr/>
            </a:pPr>
            <a:r>
              <a:rPr lang="en-US" sz="1400"/>
              <a:t>(Incremental - For</a:t>
            </a:r>
            <a:r>
              <a:rPr lang="en-US" sz="1400" baseline="0"/>
              <a:t> SCs and RPM)</a:t>
            </a:r>
            <a:endParaRPr lang="en-US" sz="1400"/>
          </a:p>
        </c:rich>
      </c:tx>
    </c:title>
    <c:plotArea>
      <c:layout/>
      <c:lineChart>
        <c:grouping val="standard"/>
        <c:ser>
          <c:idx val="2"/>
          <c:order val="0"/>
          <c:tx>
            <c:strRef>
              <c:f>[6]Proposed!$B$25</c:f>
              <c:strCache>
                <c:ptCount val="1"/>
                <c:pt idx="0">
                  <c:v>Retro1Slow</c:v>
                </c:pt>
              </c:strCache>
            </c:strRef>
          </c:tx>
          <c:marker>
            <c:symbol val="none"/>
          </c:marker>
          <c:val>
            <c:numRef>
              <c:f>[6]Proposed!$C$25:$V$25</c:f>
              <c:numCache>
                <c:formatCode>General</c:formatCode>
                <c:ptCount val="20"/>
                <c:pt idx="0">
                  <c:v>2.5643970768378654E-3</c:v>
                </c:pt>
                <c:pt idx="1">
                  <c:v>5.1260615529385989E-3</c:v>
                </c:pt>
                <c:pt idx="2">
                  <c:v>9.1015544176433795E-3</c:v>
                </c:pt>
                <c:pt idx="3">
                  <c:v>1.4804925730045659E-2</c:v>
                </c:pt>
                <c:pt idx="4">
                  <c:v>2.2471809420486211E-2</c:v>
                </c:pt>
                <c:pt idx="5">
                  <c:v>3.2184432813882391E-2</c:v>
                </c:pt>
                <c:pt idx="6">
                  <c:v>4.3779667172004086E-2</c:v>
                </c:pt>
                <c:pt idx="7">
                  <c:v>5.675426075474499E-2</c:v>
                </c:pt>
                <c:pt idx="8">
                  <c:v>7.0195239068707532E-2</c:v>
                </c:pt>
                <c:pt idx="9">
                  <c:v>8.2776861842756788E-2</c:v>
                </c:pt>
                <c:pt idx="10">
                  <c:v>9.2870259507494834E-2</c:v>
                </c:pt>
                <c:pt idx="11">
                  <c:v>9.8796470678915727E-2</c:v>
                </c:pt>
                <c:pt idx="12">
                  <c:v>9.9208932889988999E-2</c:v>
                </c:pt>
                <c:pt idx="13">
                  <c:v>9.3521150494244254E-2</c:v>
                </c:pt>
                <c:pt idx="14">
                  <c:v>8.2226007896862296E-2</c:v>
                </c:pt>
                <c:pt idx="15">
                  <c:v>6.6933566027365665E-2</c:v>
                </c:pt>
                <c:pt idx="16">
                  <c:v>5.0029565143448806E-2</c:v>
                </c:pt>
                <c:pt idx="17">
                  <c:v>3.402486521893211E-2</c:v>
                </c:pt>
                <c:pt idx="18">
                  <c:v>2.0846059340774659E-2</c:v>
                </c:pt>
                <c:pt idx="19">
                  <c:v>0.01</c:v>
                </c:pt>
              </c:numCache>
            </c:numRef>
          </c:val>
        </c:ser>
        <c:ser>
          <c:idx val="6"/>
          <c:order val="1"/>
          <c:tx>
            <c:strRef>
              <c:f>[6]Proposed!$B$29</c:f>
              <c:strCache>
                <c:ptCount val="1"/>
                <c:pt idx="0">
                  <c:v>RetroMax60</c:v>
                </c:pt>
              </c:strCache>
            </c:strRef>
          </c:tx>
          <c:marker>
            <c:symbol val="none"/>
          </c:marker>
          <c:val>
            <c:numRef>
              <c:f>[6]Proposed!$C$29:$V$29</c:f>
              <c:numCache>
                <c:formatCode>General</c:formatCode>
                <c:ptCount val="20"/>
                <c:pt idx="0">
                  <c:v>0.01</c:v>
                </c:pt>
                <c:pt idx="1">
                  <c:v>1.9799999999999998E-2</c:v>
                </c:pt>
                <c:pt idx="2">
                  <c:v>2.9106E-2</c:v>
                </c:pt>
                <c:pt idx="3">
                  <c:v>3.7643759999999998E-2</c:v>
                </c:pt>
                <c:pt idx="4">
                  <c:v>4.5172511999999984E-2</c:v>
                </c:pt>
                <c:pt idx="5">
                  <c:v>4.8635737920000005E-2</c:v>
                </c:pt>
                <c:pt idx="6">
                  <c:v>4.587971277120001E-2</c:v>
                </c:pt>
                <c:pt idx="7">
                  <c:v>4.3279862380832007E-2</c:v>
                </c:pt>
                <c:pt idx="8">
                  <c:v>4.0827336845918161E-2</c:v>
                </c:pt>
                <c:pt idx="9">
                  <c:v>3.8513787757982809E-2</c:v>
                </c:pt>
                <c:pt idx="10">
                  <c:v>3.6331339785030448E-2</c:v>
                </c:pt>
                <c:pt idx="11">
                  <c:v>3.4272563863878724E-2</c:v>
                </c:pt>
                <c:pt idx="12">
                  <c:v>3.2330451911592284E-2</c:v>
                </c:pt>
                <c:pt idx="13">
                  <c:v>3.0498392969935395E-2</c:v>
                </c:pt>
                <c:pt idx="14">
                  <c:v>2.8770150701639075E-2</c:v>
                </c:pt>
                <c:pt idx="15">
                  <c:v>2.7139842161879479E-2</c:v>
                </c:pt>
                <c:pt idx="16">
                  <c:v>2.5601917772706373E-2</c:v>
                </c:pt>
                <c:pt idx="17">
                  <c:v>2.4151142432252914E-2</c:v>
                </c:pt>
                <c:pt idx="18">
                  <c:v>2.2782577694425266E-2</c:v>
                </c:pt>
                <c:pt idx="19">
                  <c:v>2.1491564958407872E-2</c:v>
                </c:pt>
              </c:numCache>
            </c:numRef>
          </c:val>
        </c:ser>
        <c:ser>
          <c:idx val="7"/>
          <c:order val="2"/>
          <c:tx>
            <c:strRef>
              <c:f>[6]Proposed!$B$30</c:f>
              <c:strCache>
                <c:ptCount val="1"/>
                <c:pt idx="0">
                  <c:v>Retro3Slow</c:v>
                </c:pt>
              </c:strCache>
            </c:strRef>
          </c:tx>
          <c:marker>
            <c:symbol val="none"/>
          </c:marker>
          <c:val>
            <c:numRef>
              <c:f>[6]Proposed!$C$30:$V$30</c:f>
              <c:numCache>
                <c:formatCode>General</c:formatCode>
                <c:ptCount val="20"/>
                <c:pt idx="0">
                  <c:v>5.5320496977002724E-3</c:v>
                </c:pt>
                <c:pt idx="1">
                  <c:v>8.6958686465615706E-3</c:v>
                </c:pt>
                <c:pt idx="2">
                  <c:v>1.7391737293123145E-2</c:v>
                </c:pt>
                <c:pt idx="3">
                  <c:v>3.0435540262965514E-2</c:v>
                </c:pt>
                <c:pt idx="4">
                  <c:v>4.7344173742390784E-2</c:v>
                </c:pt>
                <c:pt idx="5">
                  <c:v>6.6281843239347063E-2</c:v>
                </c:pt>
                <c:pt idx="6">
                  <c:v>8.4358709577350838E-2</c:v>
                </c:pt>
                <c:pt idx="7">
                  <c:v>9.8418494506909315E-2</c:v>
                </c:pt>
                <c:pt idx="8">
                  <c:v>0.10598914793051767</c:v>
                </c:pt>
                <c:pt idx="9">
                  <c:v>0.10598914793051767</c:v>
                </c:pt>
                <c:pt idx="10">
                  <c:v>9.8923204735149928E-2</c:v>
                </c:pt>
                <c:pt idx="11">
                  <c:v>8.655780414325609E-2</c:v>
                </c:pt>
                <c:pt idx="12">
                  <c:v>7.1282897529740263E-2</c:v>
                </c:pt>
                <c:pt idx="13">
                  <c:v>5.5442253634242489E-2</c:v>
                </c:pt>
                <c:pt idx="14">
                  <c:v>4.0852186888389319E-2</c:v>
                </c:pt>
                <c:pt idx="15">
                  <c:v>2.8596530821872412E-2</c:v>
                </c:pt>
                <c:pt idx="16">
                  <c:v>1.9064353881248275E-2</c:v>
                </c:pt>
                <c:pt idx="17">
                  <c:v>1.2131861560794377E-2</c:v>
                </c:pt>
                <c:pt idx="18">
                  <c:v>7.3846113848314854E-3</c:v>
                </c:pt>
                <c:pt idx="19">
                  <c:v>4.3076899744848296E-3</c:v>
                </c:pt>
              </c:numCache>
            </c:numRef>
          </c:val>
        </c:ser>
        <c:ser>
          <c:idx val="8"/>
          <c:order val="3"/>
          <c:tx>
            <c:strRef>
              <c:f>ACHEIVE!$B$46</c:f>
              <c:strCache>
                <c:ptCount val="1"/>
                <c:pt idx="0">
                  <c:v>DEI</c:v>
                </c:pt>
              </c:strCache>
            </c:strRef>
          </c:tx>
          <c:spPr>
            <a:ln>
              <a:solidFill>
                <a:schemeClr val="accent1"/>
              </a:solidFill>
            </a:ln>
          </c:spPr>
          <c:marker>
            <c:symbol val="none"/>
          </c:marker>
          <c:val>
            <c:numRef>
              <c:f>ACHEIVE!$C$46:$V$46</c:f>
              <c:numCache>
                <c:formatCode>0.0%</c:formatCode>
                <c:ptCount val="20"/>
                <c:pt idx="0">
                  <c:v>0.01</c:v>
                </c:pt>
                <c:pt idx="1">
                  <c:v>1.6E-2</c:v>
                </c:pt>
                <c:pt idx="2">
                  <c:v>2.1999999999999999E-2</c:v>
                </c:pt>
                <c:pt idx="3">
                  <c:v>0.03</c:v>
                </c:pt>
                <c:pt idx="4">
                  <c:v>3.5000000000000003E-2</c:v>
                </c:pt>
                <c:pt idx="5">
                  <c:v>0.04</c:v>
                </c:pt>
                <c:pt idx="6">
                  <c:v>4.4999999999999998E-2</c:v>
                </c:pt>
                <c:pt idx="7">
                  <c:v>4.8000000000000001E-2</c:v>
                </c:pt>
                <c:pt idx="8">
                  <c:v>5.0999999999999997E-2</c:v>
                </c:pt>
                <c:pt idx="9">
                  <c:v>5.3999999999999999E-2</c:v>
                </c:pt>
                <c:pt idx="10">
                  <c:v>5.7000000000000002E-2</c:v>
                </c:pt>
                <c:pt idx="11">
                  <c:v>0.06</c:v>
                </c:pt>
                <c:pt idx="12">
                  <c:v>0.06</c:v>
                </c:pt>
                <c:pt idx="13">
                  <c:v>0.06</c:v>
                </c:pt>
                <c:pt idx="14">
                  <c:v>0.06</c:v>
                </c:pt>
                <c:pt idx="15">
                  <c:v>0.06</c:v>
                </c:pt>
                <c:pt idx="16">
                  <c:v>0.06</c:v>
                </c:pt>
                <c:pt idx="17">
                  <c:v>0.06</c:v>
                </c:pt>
                <c:pt idx="18">
                  <c:v>0.06</c:v>
                </c:pt>
                <c:pt idx="19">
                  <c:v>0.06</c:v>
                </c:pt>
              </c:numCache>
            </c:numRef>
          </c:val>
        </c:ser>
        <c:marker val="1"/>
        <c:axId val="274428288"/>
        <c:axId val="274429824"/>
      </c:lineChart>
      <c:catAx>
        <c:axId val="274428288"/>
        <c:scaling>
          <c:orientation val="minMax"/>
        </c:scaling>
        <c:axPos val="b"/>
        <c:tickLblPos val="nextTo"/>
        <c:crossAx val="274429824"/>
        <c:crosses val="autoZero"/>
        <c:auto val="1"/>
        <c:lblAlgn val="ctr"/>
        <c:lblOffset val="100"/>
      </c:catAx>
      <c:valAx>
        <c:axId val="274429824"/>
        <c:scaling>
          <c:orientation val="minMax"/>
          <c:max val="0.2"/>
        </c:scaling>
        <c:axPos val="l"/>
        <c:majorGridlines/>
        <c:numFmt formatCode="General" sourceLinked="1"/>
        <c:tickLblPos val="nextTo"/>
        <c:crossAx val="274428288"/>
        <c:crosses val="autoZero"/>
        <c:crossBetween val="between"/>
      </c:valAx>
    </c:plotArea>
    <c:legend>
      <c:legendPos val="r"/>
    </c:legend>
    <c:plotVisOnly val="1"/>
  </c:chart>
  <c:printSettings>
    <c:headerFooter/>
    <c:pageMargins b="0.75000000000000278" l="0.70000000000000062" r="0.70000000000000062" t="0.75000000000000278" header="0.30000000000000032" footer="0.30000000000000032"/>
    <c:pageSetup/>
  </c:printSettings>
</c:chartSpac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11</xdr:col>
      <xdr:colOff>28575</xdr:colOff>
      <xdr:row>17</xdr:row>
      <xdr:rowOff>152400</xdr:rowOff>
    </xdr:from>
    <xdr:to>
      <xdr:col>23</xdr:col>
      <xdr:colOff>342900</xdr:colOff>
      <xdr:row>35</xdr:row>
      <xdr:rowOff>47625</xdr:rowOff>
    </xdr:to>
    <xdr:sp macro="" textlink="">
      <xdr:nvSpPr>
        <xdr:cNvPr id="2" name="TextBox 1"/>
        <xdr:cNvSpPr txBox="1"/>
      </xdr:nvSpPr>
      <xdr:spPr>
        <a:xfrm>
          <a:off x="7153275" y="3276600"/>
          <a:ext cx="7629525" cy="2809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latin typeface="+mn-lt"/>
              <a:ea typeface="+mn-ea"/>
              <a:cs typeface="+mn-cs"/>
            </a:rPr>
            <a:t>Notes from call with Dan Johnson at Avista:  </a:t>
          </a:r>
        </a:p>
        <a:p>
          <a:pPr marL="0" marR="0" indent="0" defTabSz="914400" eaLnBrk="1" fontAlgn="auto" latinLnBrk="0" hangingPunct="1">
            <a:lnSpc>
              <a:spcPct val="100000"/>
            </a:lnSpc>
            <a:spcBef>
              <a:spcPts val="0"/>
            </a:spcBef>
            <a:spcAft>
              <a:spcPts val="0"/>
            </a:spcAft>
            <a:buClrTx/>
            <a:buSzTx/>
            <a:buFontTx/>
            <a:buNone/>
            <a:tabLst/>
            <a:defRPr/>
          </a:pPr>
          <a:endParaRPr lang="en-US"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latin typeface="+mn-lt"/>
              <a:ea typeface="+mn-ea"/>
              <a:cs typeface="+mn-cs"/>
            </a:rPr>
            <a:t>Total</a:t>
          </a:r>
          <a:r>
            <a:rPr lang="en-US" sz="1100" baseline="0">
              <a:solidFill>
                <a:schemeClr val="dk1"/>
              </a:solidFill>
              <a:latin typeface="+mn-lt"/>
              <a:ea typeface="+mn-ea"/>
              <a:cs typeface="+mn-cs"/>
            </a:rPr>
            <a:t> </a:t>
          </a:r>
          <a:r>
            <a:rPr lang="en-US" sz="1100">
              <a:solidFill>
                <a:schemeClr val="dk1"/>
              </a:solidFill>
              <a:latin typeface="+mn-lt"/>
              <a:ea typeface="+mn-ea"/>
              <a:cs typeface="+mn-cs"/>
            </a:rPr>
            <a:t>13 feeders in Pullman selected as site location for demonstration project (represents 100% of feeders in Pullman).  Another 59 in Spokane are the "core metro area" in Spokane (a rectangle around the center of Spokane consisting of the N &amp; S, and a little E &amp; W).  High density.  100% of system captured within the "rectangle" area around the core of Spokane.  </a:t>
          </a:r>
        </a:p>
        <a:p>
          <a:pPr marL="0" marR="0" indent="0" defTabSz="914400" eaLnBrk="1" fontAlgn="auto" latinLnBrk="0" hangingPunct="1">
            <a:lnSpc>
              <a:spcPct val="100000"/>
            </a:lnSpc>
            <a:spcBef>
              <a:spcPts val="0"/>
            </a:spcBef>
            <a:spcAft>
              <a:spcPts val="0"/>
            </a:spcAft>
            <a:buClrTx/>
            <a:buSzTx/>
            <a:buFontTx/>
            <a:buNone/>
            <a:tabLst/>
            <a:defRPr/>
          </a:pPr>
          <a:endParaRPr lang="en-US"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latin typeface="+mn-lt"/>
              <a:ea typeface="+mn-ea"/>
              <a:cs typeface="+mn-cs"/>
            </a:rPr>
            <a:t>Remote switching, cap banks, etc.  No smart transformers or smart meters here, but yes in Pullman (so deeper, "EOL" savings in Pullman vs Spokane; note: Dan thought the Navigant evaluation only looked at one Pullman feeder for day-on, day-off and extrapolated to remaining 71-ish feeders to get program savings - a rough estimate).  </a:t>
          </a:r>
        </a:p>
        <a:p>
          <a:pPr marL="0" marR="0" indent="0" defTabSz="914400" eaLnBrk="1" fontAlgn="auto" latinLnBrk="0" hangingPunct="1">
            <a:lnSpc>
              <a:spcPct val="100000"/>
            </a:lnSpc>
            <a:spcBef>
              <a:spcPts val="0"/>
            </a:spcBef>
            <a:spcAft>
              <a:spcPts val="0"/>
            </a:spcAft>
            <a:buClrTx/>
            <a:buSzTx/>
            <a:buFontTx/>
            <a:buNone/>
            <a:tabLst/>
            <a:defRPr/>
          </a:pPr>
          <a:endParaRPr lang="en-US"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latin typeface="+mn-lt"/>
              <a:ea typeface="+mn-ea"/>
              <a:cs typeface="+mn-cs"/>
            </a:rPr>
            <a:t>The 72 feeders roughly represents 20% of system (~300+ feeders in total system).  Not all feeders are "grid mod ready".  Next step: Sandpoint.  Probably not payback on rural feeders (maybe 50% or 60% of system would work, total - a total WAG on his part).  Pace: accomplish next 20% or 30% of system in 10 or 20 years (assuming no regulation to speed things up beyond that pace).  Both projects (Pullman and Spokane) were $40 million each (1/2 of each was ARRA grant).</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605872</xdr:colOff>
      <xdr:row>51</xdr:row>
      <xdr:rowOff>133775</xdr:rowOff>
    </xdr:from>
    <xdr:to>
      <xdr:col>10</xdr:col>
      <xdr:colOff>277881</xdr:colOff>
      <xdr:row>71</xdr:row>
      <xdr:rowOff>142874</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554934</xdr:colOff>
      <xdr:row>52</xdr:row>
      <xdr:rowOff>29403</xdr:rowOff>
    </xdr:from>
    <xdr:to>
      <xdr:col>21</xdr:col>
      <xdr:colOff>152400</xdr:colOff>
      <xdr:row>72</xdr:row>
      <xdr:rowOff>9524</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276226</xdr:colOff>
      <xdr:row>74</xdr:row>
      <xdr:rowOff>85725</xdr:rowOff>
    </xdr:from>
    <xdr:to>
      <xdr:col>21</xdr:col>
      <xdr:colOff>552450</xdr:colOff>
      <xdr:row>98</xdr:row>
      <xdr:rowOff>142875</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eventhPlan/Conservation%20Analysis/Global%20EE%20Inputs/Units%20Forecasts/7P%20Forecasts%20D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eventhPlan/Conservation%20Analysis/Com/Com_Master_7P.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DE_Master_7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RTFStandardInformationWorkbook_v2_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RegionWideSubstations201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SeventhPlan/Conservation%20Analysis/Global%20EE%20Inputs/Units%20Forecasts/ACHIEV_v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grist\AppData\Local\Temp\Temp1_DE_Master_7P.zip\DE_Master_7P.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LOG"/>
      <sheetName val="Forecast Switchboard"/>
      <sheetName val="Lists&amp;Tables"/>
      <sheetName val="Res Forecast (Low)"/>
      <sheetName val="Res Forecast (Base Case)"/>
      <sheetName val="Res Forecast (High)"/>
      <sheetName val="Com Forecast (Low)"/>
      <sheetName val="Com Forecast (Base Case)"/>
      <sheetName val="Com Forecast (High)"/>
      <sheetName val="Ind Forecast (Low)"/>
      <sheetName val="Ind Forecast (Base Case)"/>
      <sheetName val="Ind Forecast (High)"/>
      <sheetName val="Ag Forecast (Low)"/>
      <sheetName val="Ag Forecast (Base Case)"/>
      <sheetName val="Ag Forecast (High)"/>
      <sheetName val="Pop Forecast (High)"/>
      <sheetName val="Pop Forecast (Base Case)"/>
      <sheetName val="Pop Forecast (Low)"/>
      <sheetName val="DEI (Base Case)"/>
      <sheetName val="Dairy Forecast (Base Case)"/>
      <sheetName val="Dairy Forecast (Low)"/>
      <sheetName val="Dairy Forecast (High)"/>
      <sheetName val="EV Forecast (Base Case)"/>
      <sheetName val="EV Forecast (Low)"/>
      <sheetName val="EV Forecast (High)"/>
      <sheetName val="DEI Forecast (Base Case)"/>
      <sheetName val="DEI Forecast (High)"/>
      <sheetName val="DEI Forecast (Low)"/>
      <sheetName val="DataCenter Forecast (Base Case)"/>
      <sheetName val="DataCenter Forecast (High)"/>
      <sheetName val="DataCenter Forecast (Low)"/>
    </sheetNames>
    <definedNames>
      <definedName name="rng_ForecastColumnLookup" refersTo="='Forecast Switchboard'!$H$21:$AE$21"/>
      <definedName name="rng_ForecastRowLookup" refersTo="='Forecast Switchboard'!$G$22:$G$502"/>
      <definedName name="switch_ForecastScenario" refersTo="='Forecast Switchboard'!$H$3"/>
      <definedName name="switch_ForecastState" refersTo="='Forecast Switchboard'!$H$4"/>
      <definedName name="tbl_Forecast" refersTo="='Forecast Switchboard'!$H$22:$AE$502"/>
    </definedNames>
    <sheetDataSet>
      <sheetData sheetId="0"/>
      <sheetData sheetId="1">
        <row r="3">
          <cell r="H3" t="str">
            <v>Base</v>
          </cell>
        </row>
        <row r="4">
          <cell r="H4" t="str">
            <v>Region</v>
          </cell>
        </row>
        <row r="21">
          <cell r="H21" t="str">
            <v>Sector</v>
          </cell>
          <cell r="I21" t="str">
            <v>Building/Industry Type</v>
          </cell>
          <cell r="J21" t="str">
            <v>Vintage / Subcategory</v>
          </cell>
          <cell r="K21" t="str">
            <v>Forecast Units</v>
          </cell>
          <cell r="L21">
            <v>2016</v>
          </cell>
          <cell r="M21">
            <v>2017</v>
          </cell>
          <cell r="N21">
            <v>2018</v>
          </cell>
          <cell r="O21">
            <v>2019</v>
          </cell>
          <cell r="P21">
            <v>2020</v>
          </cell>
          <cell r="Q21">
            <v>2021</v>
          </cell>
          <cell r="R21">
            <v>2022</v>
          </cell>
          <cell r="S21">
            <v>2023</v>
          </cell>
          <cell r="T21">
            <v>2024</v>
          </cell>
          <cell r="U21">
            <v>2025</v>
          </cell>
          <cell r="V21">
            <v>2026</v>
          </cell>
          <cell r="W21">
            <v>2027</v>
          </cell>
          <cell r="X21">
            <v>2028</v>
          </cell>
          <cell r="Y21">
            <v>2029</v>
          </cell>
          <cell r="Z21">
            <v>2030</v>
          </cell>
          <cell r="AA21">
            <v>2031</v>
          </cell>
          <cell r="AB21">
            <v>2032</v>
          </cell>
          <cell r="AC21">
            <v>2033</v>
          </cell>
          <cell r="AD21">
            <v>2034</v>
          </cell>
          <cell r="AE21">
            <v>2035</v>
          </cell>
        </row>
        <row r="22">
          <cell r="G22" t="str">
            <v>RegionSingle FamilyNew</v>
          </cell>
          <cell r="H22" t="str">
            <v>Res</v>
          </cell>
          <cell r="I22" t="str">
            <v>Single Family</v>
          </cell>
          <cell r="J22" t="str">
            <v>New</v>
          </cell>
          <cell r="K22" t="str">
            <v>Buildings</v>
          </cell>
          <cell r="L22">
            <v>62685.758999999998</v>
          </cell>
          <cell r="M22">
            <v>59961.781000000003</v>
          </cell>
          <cell r="N22">
            <v>56834.012000000002</v>
          </cell>
          <cell r="O22">
            <v>54985.192999999999</v>
          </cell>
          <cell r="P22">
            <v>53507.474000000002</v>
          </cell>
          <cell r="Q22">
            <v>50982.05</v>
          </cell>
          <cell r="R22">
            <v>49561.669000000002</v>
          </cell>
          <cell r="S22">
            <v>49324.517999999996</v>
          </cell>
          <cell r="T22">
            <v>48815.77</v>
          </cell>
          <cell r="U22">
            <v>49683.252</v>
          </cell>
          <cell r="V22">
            <v>50030.137000000002</v>
          </cell>
          <cell r="W22">
            <v>49387.762999999999</v>
          </cell>
          <cell r="X22">
            <v>48079.345999999998</v>
          </cell>
          <cell r="Y22">
            <v>48129.050999999999</v>
          </cell>
          <cell r="Z22">
            <v>48690.569000000003</v>
          </cell>
          <cell r="AA22">
            <v>48482.864000000001</v>
          </cell>
          <cell r="AB22">
            <v>46879.000999999997</v>
          </cell>
          <cell r="AC22">
            <v>46798.777999999998</v>
          </cell>
          <cell r="AD22">
            <v>46917.627</v>
          </cell>
          <cell r="AE22">
            <v>47236.144999999997</v>
          </cell>
        </row>
        <row r="23">
          <cell r="G23" t="str">
            <v>RegionMultifamily - Low RiseNew</v>
          </cell>
          <cell r="H23" t="str">
            <v>Res</v>
          </cell>
          <cell r="I23" t="str">
            <v>Multifamily - Low Rise</v>
          </cell>
          <cell r="J23" t="str">
            <v>New</v>
          </cell>
          <cell r="K23" t="str">
            <v>Buildings</v>
          </cell>
          <cell r="L23">
            <v>23280.347100904564</v>
          </cell>
          <cell r="M23">
            <v>23017.418106038647</v>
          </cell>
          <cell r="N23">
            <v>22811.60852767331</v>
          </cell>
          <cell r="O23">
            <v>22085.916378202593</v>
          </cell>
          <cell r="P23">
            <v>20817.853908138593</v>
          </cell>
          <cell r="Q23">
            <v>20070.279329962508</v>
          </cell>
          <cell r="R23">
            <v>19887.831284331631</v>
          </cell>
          <cell r="S23">
            <v>20257.583209811291</v>
          </cell>
          <cell r="T23">
            <v>20750.368029493613</v>
          </cell>
          <cell r="U23">
            <v>21314.334279744231</v>
          </cell>
          <cell r="V23">
            <v>21403.286239774712</v>
          </cell>
          <cell r="W23">
            <v>21409.137516518917</v>
          </cell>
          <cell r="X23">
            <v>21443.358292282628</v>
          </cell>
          <cell r="Y23">
            <v>21209.865626522758</v>
          </cell>
          <cell r="Z23">
            <v>20954.17798283829</v>
          </cell>
          <cell r="AA23">
            <v>20525.44023202754</v>
          </cell>
          <cell r="AB23">
            <v>20175.505597554071</v>
          </cell>
          <cell r="AC23">
            <v>19919.723927484571</v>
          </cell>
          <cell r="AD23">
            <v>19536.194066416414</v>
          </cell>
          <cell r="AE23">
            <v>19462.287131015248</v>
          </cell>
        </row>
        <row r="24">
          <cell r="G24" t="str">
            <v>RegionMultifamily - High RiseNew</v>
          </cell>
          <cell r="H24" t="str">
            <v>Res</v>
          </cell>
          <cell r="I24" t="str">
            <v>Multifamily - High Rise</v>
          </cell>
          <cell r="J24" t="str">
            <v>New</v>
          </cell>
          <cell r="K24" t="str">
            <v>Buildings</v>
          </cell>
          <cell r="L24">
            <v>5226.2387411561367</v>
          </cell>
          <cell r="M24">
            <v>5239.95312759432</v>
          </cell>
          <cell r="N24">
            <v>5271.2612760989568</v>
          </cell>
          <cell r="O24">
            <v>4985.883552972361</v>
          </cell>
          <cell r="P24">
            <v>4608.5912035798974</v>
          </cell>
          <cell r="Q24">
            <v>4509.6375960361838</v>
          </cell>
          <cell r="R24">
            <v>4481.760351096189</v>
          </cell>
          <cell r="S24">
            <v>4621.8312800578688</v>
          </cell>
          <cell r="T24">
            <v>4700.9782942419988</v>
          </cell>
          <cell r="U24">
            <v>4828.2391631488581</v>
          </cell>
          <cell r="V24">
            <v>4790.0249139778334</v>
          </cell>
          <cell r="W24">
            <v>4782.0649962402858</v>
          </cell>
          <cell r="X24">
            <v>4748.3908346265653</v>
          </cell>
          <cell r="Y24">
            <v>4733.4823682495089</v>
          </cell>
          <cell r="Z24">
            <v>4698.697177079107</v>
          </cell>
          <cell r="AA24">
            <v>4599.2987885998937</v>
          </cell>
          <cell r="AB24">
            <v>4526.3104216428001</v>
          </cell>
          <cell r="AC24">
            <v>4422.0600452822764</v>
          </cell>
          <cell r="AD24">
            <v>4405.182362066379</v>
          </cell>
          <cell r="AE24">
            <v>4385.1136986120664</v>
          </cell>
        </row>
        <row r="25">
          <cell r="G25" t="str">
            <v>RegionManufacturedNew</v>
          </cell>
          <cell r="H25" t="str">
            <v>Res</v>
          </cell>
          <cell r="I25" t="str">
            <v>Manufactured</v>
          </cell>
          <cell r="J25" t="str">
            <v>New</v>
          </cell>
          <cell r="K25" t="str">
            <v>Buildings</v>
          </cell>
          <cell r="L25">
            <v>1869.5754050925925</v>
          </cell>
          <cell r="M25">
            <v>1881.796305941358</v>
          </cell>
          <cell r="N25">
            <v>1949.1340235982509</v>
          </cell>
          <cell r="O25">
            <v>2021.1963608646258</v>
          </cell>
          <cell r="P25">
            <v>1959.5061710087307</v>
          </cell>
          <cell r="Q25">
            <v>1928.5764356212967</v>
          </cell>
          <cell r="R25">
            <v>1934.9641170211423</v>
          </cell>
          <cell r="S25">
            <v>1945.862235675901</v>
          </cell>
          <cell r="T25">
            <v>1956.539890631658</v>
          </cell>
          <cell r="U25">
            <v>1957.7742018038925</v>
          </cell>
          <cell r="V25">
            <v>1947.2038419604366</v>
          </cell>
          <cell r="W25">
            <v>1945.153453785721</v>
          </cell>
          <cell r="X25">
            <v>1947.9162901464586</v>
          </cell>
          <cell r="Y25">
            <v>1950.0749856673444</v>
          </cell>
          <cell r="Z25">
            <v>1950.7771106659191</v>
          </cell>
          <cell r="AA25">
            <v>1949.8166473382953</v>
          </cell>
          <cell r="AB25">
            <v>1948.4903882606959</v>
          </cell>
          <cell r="AC25">
            <v>1948.7048126440727</v>
          </cell>
          <cell r="AD25">
            <v>1949.296705787131</v>
          </cell>
          <cell r="AE25">
            <v>1949.5267750605763</v>
          </cell>
        </row>
        <row r="26">
          <cell r="G26" t="str">
            <v>RegionSingle FamilyExisting</v>
          </cell>
          <cell r="H26" t="str">
            <v>Res</v>
          </cell>
          <cell r="I26" t="str">
            <v>Single Family</v>
          </cell>
          <cell r="J26" t="str">
            <v>Existing</v>
          </cell>
          <cell r="K26" t="str">
            <v>Buildings</v>
          </cell>
          <cell r="L26">
            <v>4203528.2719999999</v>
          </cell>
          <cell r="M26">
            <v>4193982.9785983553</v>
          </cell>
          <cell r="N26">
            <v>4184459.3604704877</v>
          </cell>
          <cell r="O26">
            <v>4174957.36839659</v>
          </cell>
          <cell r="P26">
            <v>4165476.9532686244</v>
          </cell>
          <cell r="Q26">
            <v>4156018.0660900641</v>
          </cell>
          <cell r="R26">
            <v>4146580.6579756448</v>
          </cell>
          <cell r="S26">
            <v>4137164.6801511091</v>
          </cell>
          <cell r="T26">
            <v>4127770.0839529554</v>
          </cell>
          <cell r="U26">
            <v>4118396.8208281873</v>
          </cell>
          <cell r="V26">
            <v>4109044.8423340586</v>
          </cell>
          <cell r="W26">
            <v>4099714.1001378288</v>
          </cell>
          <cell r="X26">
            <v>4090404.5460165106</v>
          </cell>
          <cell r="Y26">
            <v>4081116.1318566194</v>
          </cell>
          <cell r="Z26">
            <v>4071848.8096539262</v>
          </cell>
          <cell r="AA26">
            <v>4062602.5315132081</v>
          </cell>
          <cell r="AB26">
            <v>4053377.2496480034</v>
          </cell>
          <cell r="AC26">
            <v>4044172.9163803621</v>
          </cell>
          <cell r="AD26">
            <v>4034989.4841406001</v>
          </cell>
          <cell r="AE26">
            <v>4025826.9054670548</v>
          </cell>
        </row>
        <row r="27">
          <cell r="G27" t="str">
            <v>RegionMultifamily - Low RiseExisting</v>
          </cell>
          <cell r="H27" t="str">
            <v>Res</v>
          </cell>
          <cell r="I27" t="str">
            <v>Multifamily - Low Rise</v>
          </cell>
          <cell r="J27" t="str">
            <v>Existing</v>
          </cell>
          <cell r="K27" t="str">
            <v>Buildings</v>
          </cell>
          <cell r="L27">
            <v>926243.25609262148</v>
          </cell>
          <cell r="M27">
            <v>924139.92640956037</v>
          </cell>
          <cell r="N27">
            <v>922041.3730050053</v>
          </cell>
          <cell r="O27">
            <v>919947.58503289847</v>
          </cell>
          <cell r="P27">
            <v>917858.55167181045</v>
          </cell>
          <cell r="Q27">
            <v>915774.26212488639</v>
          </cell>
          <cell r="R27">
            <v>913694.70561978838</v>
          </cell>
          <cell r="S27">
            <v>911619.87140864041</v>
          </cell>
          <cell r="T27">
            <v>909549.74876797362</v>
          </cell>
          <cell r="U27">
            <v>907484.32699866977</v>
          </cell>
          <cell r="V27">
            <v>905423.59542590659</v>
          </cell>
          <cell r="W27">
            <v>903367.54339910217</v>
          </cell>
          <cell r="X27">
            <v>901316.16029185988</v>
          </cell>
          <cell r="Y27">
            <v>899269.43550191447</v>
          </cell>
          <cell r="Z27">
            <v>897227.35845107585</v>
          </cell>
          <cell r="AA27">
            <v>895189.9185851753</v>
          </cell>
          <cell r="AB27">
            <v>893157.10537401051</v>
          </cell>
          <cell r="AC27">
            <v>891128.90831129183</v>
          </cell>
          <cell r="AD27">
            <v>889105.31691458682</v>
          </cell>
          <cell r="AE27">
            <v>887086.32072526717</v>
          </cell>
        </row>
        <row r="28">
          <cell r="G28" t="str">
            <v>RegionMultifamily - High RiseExisting</v>
          </cell>
          <cell r="H28" t="str">
            <v>Res</v>
          </cell>
          <cell r="I28" t="str">
            <v>Multifamily - High Rise</v>
          </cell>
          <cell r="J28" t="str">
            <v>Existing</v>
          </cell>
          <cell r="K28" t="str">
            <v>Buildings</v>
          </cell>
          <cell r="L28">
            <v>211180.07985625503</v>
          </cell>
          <cell r="M28">
            <v>210700.52836963299</v>
          </cell>
          <cell r="N28">
            <v>210222.06585706791</v>
          </cell>
          <cell r="O28">
            <v>209744.68984569819</v>
          </cell>
          <cell r="P28">
            <v>209268.39786827751</v>
          </cell>
          <cell r="Q28">
            <v>208793.18746316229</v>
          </cell>
          <cell r="R28">
            <v>208319.05617429892</v>
          </cell>
          <cell r="S28">
            <v>207846.00155121088</v>
          </cell>
          <cell r="T28">
            <v>207374.0211489865</v>
          </cell>
          <cell r="U28">
            <v>206903.11252826577</v>
          </cell>
          <cell r="V28">
            <v>206433.27325522827</v>
          </cell>
          <cell r="W28">
            <v>205964.50090158021</v>
          </cell>
          <cell r="X28">
            <v>205496.79304454199</v>
          </cell>
          <cell r="Y28">
            <v>205030.14726683579</v>
          </cell>
          <cell r="Z28">
            <v>204564.56115667295</v>
          </cell>
          <cell r="AA28">
            <v>204100.03230774152</v>
          </cell>
          <cell r="AB28">
            <v>203636.55831919383</v>
          </cell>
          <cell r="AC28">
            <v>203174.13679563423</v>
          </cell>
          <cell r="AD28">
            <v>202712.76534710638</v>
          </cell>
          <cell r="AE28">
            <v>202252.44158908122</v>
          </cell>
        </row>
        <row r="29">
          <cell r="G29" t="str">
            <v>RegionManufacturedExisting</v>
          </cell>
          <cell r="H29" t="str">
            <v>Res</v>
          </cell>
          <cell r="I29" t="str">
            <v>Manufactured</v>
          </cell>
          <cell r="J29" t="str">
            <v>Existing</v>
          </cell>
          <cell r="K29" t="str">
            <v>Buildings</v>
          </cell>
          <cell r="L29">
            <v>572006.3278356482</v>
          </cell>
          <cell r="M29">
            <v>565893.30394507048</v>
          </cell>
          <cell r="N29">
            <v>559845.60985814757</v>
          </cell>
          <cell r="O29">
            <v>553862.54739615123</v>
          </cell>
          <cell r="P29">
            <v>547943.42584177968</v>
          </cell>
          <cell r="Q29">
            <v>542087.56185941794</v>
          </cell>
          <cell r="R29">
            <v>536294.27941624937</v>
          </cell>
          <cell r="S29">
            <v>530562.90970421082</v>
          </cell>
          <cell r="T29">
            <v>524892.79106278194</v>
          </cell>
          <cell r="U29">
            <v>519283.26890259917</v>
          </cell>
          <cell r="V29">
            <v>513733.69562988722</v>
          </cell>
          <cell r="W29">
            <v>508243.4305716962</v>
          </cell>
          <cell r="X29">
            <v>502811.8399019395</v>
          </cell>
          <cell r="Y29">
            <v>497438.2965682213</v>
          </cell>
          <cell r="Z29">
            <v>492122.18021944637</v>
          </cell>
          <cell r="AA29">
            <v>486862.87713420321</v>
          </cell>
          <cell r="AB29">
            <v>481659.78014991269</v>
          </cell>
          <cell r="AC29">
            <v>476512.28859273402</v>
          </cell>
          <cell r="AD29">
            <v>471419.80820821953</v>
          </cell>
          <cell r="AE29">
            <v>466381.75109271082</v>
          </cell>
        </row>
        <row r="30">
          <cell r="G30" t="str">
            <v>RegionLarge OffNew</v>
          </cell>
          <cell r="H30" t="str">
            <v>Com</v>
          </cell>
          <cell r="I30" t="str">
            <v>Large Off</v>
          </cell>
          <cell r="J30" t="str">
            <v>New</v>
          </cell>
          <cell r="K30" t="str">
            <v>Millions SqFt</v>
          </cell>
          <cell r="L30">
            <v>7.8066550111953834</v>
          </cell>
          <cell r="M30">
            <v>5.9496992573140863</v>
          </cell>
          <cell r="N30">
            <v>5.890903545908837</v>
          </cell>
          <cell r="O30">
            <v>6.8915688291332424</v>
          </cell>
          <cell r="P30">
            <v>6.6410191533148355</v>
          </cell>
          <cell r="Q30">
            <v>5.4382226791221893</v>
          </cell>
          <cell r="R30">
            <v>6.9236851515846078</v>
          </cell>
          <cell r="S30">
            <v>6.040566884985755</v>
          </cell>
          <cell r="T30">
            <v>5.8620040343764588</v>
          </cell>
          <cell r="U30">
            <v>6.6048352977963205</v>
          </cell>
          <cell r="V30">
            <v>6.6081856774849808</v>
          </cell>
          <cell r="W30">
            <v>7.2276230030590352</v>
          </cell>
          <cell r="X30">
            <v>7.9321378463678132</v>
          </cell>
          <cell r="Y30">
            <v>7.2590370336019197</v>
          </cell>
          <cell r="Z30">
            <v>7.9122271387396417</v>
          </cell>
          <cell r="AA30">
            <v>7.7623340380974311</v>
          </cell>
          <cell r="AB30">
            <v>7.6402299023279152</v>
          </cell>
          <cell r="AC30">
            <v>7.1724831299946894</v>
          </cell>
          <cell r="AD30">
            <v>7.0810470955732994</v>
          </cell>
          <cell r="AE30">
            <v>7.4281005850341701</v>
          </cell>
        </row>
        <row r="31">
          <cell r="G31" t="str">
            <v>RegionMedium OffNew</v>
          </cell>
          <cell r="H31" t="str">
            <v>Com</v>
          </cell>
          <cell r="I31" t="str">
            <v>Medium Off</v>
          </cell>
          <cell r="J31" t="str">
            <v>New</v>
          </cell>
          <cell r="K31" t="str">
            <v>Millions SqFt</v>
          </cell>
          <cell r="L31">
            <v>6.3306892326899415</v>
          </cell>
          <cell r="M31">
            <v>4.6245517962703104</v>
          </cell>
          <cell r="N31">
            <v>4.6954401235311058</v>
          </cell>
          <cell r="O31">
            <v>5.5561738496820645</v>
          </cell>
          <cell r="P31">
            <v>5.2903315868283292</v>
          </cell>
          <cell r="Q31">
            <v>4.0954748538564614</v>
          </cell>
          <cell r="R31">
            <v>5.6166455086822502</v>
          </cell>
          <cell r="S31">
            <v>4.8928421056079552</v>
          </cell>
          <cell r="T31">
            <v>4.6489885594062974</v>
          </cell>
          <cell r="U31">
            <v>5.3600762751998365</v>
          </cell>
          <cell r="V31">
            <v>5.3451061612370649</v>
          </cell>
          <cell r="W31">
            <v>5.7169042762389006</v>
          </cell>
          <cell r="X31">
            <v>6.1644080859749115</v>
          </cell>
          <cell r="Y31">
            <v>5.8003829082546376</v>
          </cell>
          <cell r="Z31">
            <v>6.4331999103991837</v>
          </cell>
          <cell r="AA31">
            <v>6.1077443299386847</v>
          </cell>
          <cell r="AB31">
            <v>6.3133258324543373</v>
          </cell>
          <cell r="AC31">
            <v>5.5403053352108875</v>
          </cell>
          <cell r="AD31">
            <v>5.5266028757425794</v>
          </cell>
          <cell r="AE31">
            <v>5.9833355534459063</v>
          </cell>
        </row>
        <row r="32">
          <cell r="G32" t="str">
            <v>RegionSmall OffNew</v>
          </cell>
          <cell r="H32" t="str">
            <v>Com</v>
          </cell>
          <cell r="I32" t="str">
            <v>Small Off</v>
          </cell>
          <cell r="J32" t="str">
            <v>New</v>
          </cell>
          <cell r="K32" t="str">
            <v>Millions SqFt</v>
          </cell>
          <cell r="L32">
            <v>1.6621196768024407</v>
          </cell>
          <cell r="M32">
            <v>1.2170657423442173</v>
          </cell>
          <cell r="N32">
            <v>1.2444333527444498</v>
          </cell>
          <cell r="O32">
            <v>1.4586094503549032</v>
          </cell>
          <cell r="P32">
            <v>1.4004070058555529</v>
          </cell>
          <cell r="Q32">
            <v>1.0787722980410579</v>
          </cell>
          <cell r="R32">
            <v>1.4747976167420549</v>
          </cell>
          <cell r="S32">
            <v>1.2896357804774434</v>
          </cell>
          <cell r="T32">
            <v>1.2239291307589197</v>
          </cell>
          <cell r="U32">
            <v>1.4012443744673324</v>
          </cell>
          <cell r="V32">
            <v>1.3991315932028052</v>
          </cell>
          <cell r="W32">
            <v>1.4996248899933684</v>
          </cell>
          <cell r="X32">
            <v>1.6197763904689295</v>
          </cell>
          <cell r="Y32">
            <v>1.5187400891362097</v>
          </cell>
          <cell r="Z32">
            <v>1.6890757136254622</v>
          </cell>
          <cell r="AA32">
            <v>1.5972356158259797</v>
          </cell>
          <cell r="AB32">
            <v>1.640465747141107</v>
          </cell>
          <cell r="AC32">
            <v>1.4565955217811706</v>
          </cell>
          <cell r="AD32">
            <v>1.4531741906643101</v>
          </cell>
          <cell r="AE32">
            <v>1.5648660344158036</v>
          </cell>
        </row>
        <row r="33">
          <cell r="G33" t="str">
            <v>RegionXLarge RetNew</v>
          </cell>
          <cell r="H33" t="str">
            <v>Com</v>
          </cell>
          <cell r="I33" t="str">
            <v>XLarge Ret</v>
          </cell>
          <cell r="J33" t="str">
            <v>New</v>
          </cell>
          <cell r="K33" t="str">
            <v>Millions SqFt</v>
          </cell>
          <cell r="L33">
            <v>1.799418169017593</v>
          </cell>
          <cell r="M33">
            <v>1.485755176968429</v>
          </cell>
          <cell r="N33">
            <v>0.89794362681754358</v>
          </cell>
          <cell r="O33">
            <v>0.91201694404352718</v>
          </cell>
          <cell r="P33">
            <v>0.85125423267540556</v>
          </cell>
          <cell r="Q33">
            <v>0.73204497427617965</v>
          </cell>
          <cell r="R33">
            <v>0.73428349109996394</v>
          </cell>
          <cell r="S33">
            <v>0.71341173425108251</v>
          </cell>
          <cell r="T33">
            <v>0.89455902577447755</v>
          </cell>
          <cell r="U33">
            <v>1.032083805968905</v>
          </cell>
          <cell r="V33">
            <v>1.0963398187475875</v>
          </cell>
          <cell r="W33">
            <v>1.617287860192538</v>
          </cell>
          <cell r="X33">
            <v>1.8239074921539626</v>
          </cell>
          <cell r="Y33">
            <v>1.6267354909009817</v>
          </cell>
          <cell r="Z33">
            <v>1.5970323938843554</v>
          </cell>
          <cell r="AA33">
            <v>1.5393396581386409</v>
          </cell>
          <cell r="AB33">
            <v>1.2960530677092543</v>
          </cell>
          <cell r="AC33">
            <v>1.3176455108269955</v>
          </cell>
          <cell r="AD33">
            <v>1.2469979474733393</v>
          </cell>
          <cell r="AE33">
            <v>1.3540449607593745</v>
          </cell>
        </row>
        <row r="34">
          <cell r="G34" t="str">
            <v>RegionLarge RetNew</v>
          </cell>
          <cell r="H34" t="str">
            <v>Com</v>
          </cell>
          <cell r="I34" t="str">
            <v>Large Ret</v>
          </cell>
          <cell r="J34" t="str">
            <v>New</v>
          </cell>
          <cell r="K34" t="str">
            <v>Millions SqFt</v>
          </cell>
          <cell r="L34">
            <v>0.71960427219664069</v>
          </cell>
          <cell r="M34">
            <v>0.59647847099566831</v>
          </cell>
          <cell r="N34">
            <v>0.36611838042447359</v>
          </cell>
          <cell r="O34">
            <v>0.3731768350638246</v>
          </cell>
          <cell r="P34">
            <v>0.34504559304633386</v>
          </cell>
          <cell r="Q34">
            <v>0.2928623587115301</v>
          </cell>
          <cell r="R34">
            <v>0.29376294298921468</v>
          </cell>
          <cell r="S34">
            <v>0.28416308329236456</v>
          </cell>
          <cell r="T34">
            <v>0.36455471421578001</v>
          </cell>
          <cell r="U34">
            <v>0.42646627810709853</v>
          </cell>
          <cell r="V34">
            <v>0.44956380488737768</v>
          </cell>
          <cell r="W34">
            <v>0.65213839834683018</v>
          </cell>
          <cell r="X34">
            <v>0.73353807331773047</v>
          </cell>
          <cell r="Y34">
            <v>0.65560780242911365</v>
          </cell>
          <cell r="Z34">
            <v>0.64604928436358278</v>
          </cell>
          <cell r="AA34">
            <v>0.62178261445398098</v>
          </cell>
          <cell r="AB34">
            <v>0.52554853465709617</v>
          </cell>
          <cell r="AC34">
            <v>0.53266253778165396</v>
          </cell>
          <cell r="AD34">
            <v>0.50454130308386236</v>
          </cell>
          <cell r="AE34">
            <v>0.54553111610891503</v>
          </cell>
        </row>
        <row r="35">
          <cell r="G35" t="str">
            <v>RegionMedium RetNew</v>
          </cell>
          <cell r="H35" t="str">
            <v>Com</v>
          </cell>
          <cell r="I35" t="str">
            <v>Medium Ret</v>
          </cell>
          <cell r="J35" t="str">
            <v>New</v>
          </cell>
          <cell r="K35" t="str">
            <v>Millions SqFt</v>
          </cell>
          <cell r="L35">
            <v>2.7275899469990224</v>
          </cell>
          <cell r="M35">
            <v>2.2451802625726844</v>
          </cell>
          <cell r="N35">
            <v>1.3846551620328988</v>
          </cell>
          <cell r="O35">
            <v>1.414332931216091</v>
          </cell>
          <cell r="P35">
            <v>1.3048976182463843</v>
          </cell>
          <cell r="Q35">
            <v>1.1035456427042536</v>
          </cell>
          <cell r="R35">
            <v>1.0932193385059683</v>
          </cell>
          <cell r="S35">
            <v>1.0602010304011045</v>
          </cell>
          <cell r="T35">
            <v>1.3687417218066935</v>
          </cell>
          <cell r="U35">
            <v>1.6102119957699914</v>
          </cell>
          <cell r="V35">
            <v>1.7014476793012303</v>
          </cell>
          <cell r="W35">
            <v>2.4475448442766612</v>
          </cell>
          <cell r="X35">
            <v>2.7642584104961641</v>
          </cell>
          <cell r="Y35">
            <v>2.4645092385842489</v>
          </cell>
          <cell r="Z35">
            <v>2.435211674558635</v>
          </cell>
          <cell r="AA35">
            <v>2.3436666024455817</v>
          </cell>
          <cell r="AB35">
            <v>1.9970991421399598</v>
          </cell>
          <cell r="AC35">
            <v>2.0220850932468024</v>
          </cell>
          <cell r="AD35">
            <v>1.9074632582746243</v>
          </cell>
          <cell r="AE35">
            <v>2.0633846520749657</v>
          </cell>
        </row>
        <row r="36">
          <cell r="G36" t="str">
            <v>RegionSmall RetNew</v>
          </cell>
          <cell r="H36" t="str">
            <v>Com</v>
          </cell>
          <cell r="I36" t="str">
            <v>Small Ret</v>
          </cell>
          <cell r="J36" t="str">
            <v>New</v>
          </cell>
          <cell r="K36" t="str">
            <v>Millions SqFt</v>
          </cell>
          <cell r="L36">
            <v>0.86249938561661099</v>
          </cell>
          <cell r="M36">
            <v>0.71243811393533818</v>
          </cell>
          <cell r="N36">
            <v>0.43988135050703958</v>
          </cell>
          <cell r="O36">
            <v>0.44879648252082133</v>
          </cell>
          <cell r="P36">
            <v>0.41374173801952452</v>
          </cell>
          <cell r="Q36">
            <v>0.34301620014224921</v>
          </cell>
          <cell r="R36">
            <v>0.33946657261656726</v>
          </cell>
          <cell r="S36">
            <v>0.32965754978673117</v>
          </cell>
          <cell r="T36">
            <v>0.43689232903555525</v>
          </cell>
          <cell r="U36">
            <v>0.51886957722704219</v>
          </cell>
          <cell r="V36">
            <v>0.54817313334918127</v>
          </cell>
          <cell r="W36">
            <v>0.77969532117377649</v>
          </cell>
          <cell r="X36">
            <v>0.87858644381951334</v>
          </cell>
          <cell r="Y36">
            <v>0.78420074698109388</v>
          </cell>
          <cell r="Z36">
            <v>0.77728841592354081</v>
          </cell>
          <cell r="AA36">
            <v>0.74886674252534069</v>
          </cell>
          <cell r="AB36">
            <v>0.63964179951326661</v>
          </cell>
          <cell r="AC36">
            <v>0.64714740319049269</v>
          </cell>
          <cell r="AD36">
            <v>0.61166389038687663</v>
          </cell>
          <cell r="AE36">
            <v>0.66242443593788758</v>
          </cell>
        </row>
        <row r="37">
          <cell r="G37" t="str">
            <v>RegionSchool K-12New</v>
          </cell>
          <cell r="H37" t="str">
            <v>Com</v>
          </cell>
          <cell r="I37" t="str">
            <v>School K-12</v>
          </cell>
          <cell r="J37" t="str">
            <v>New</v>
          </cell>
          <cell r="K37" t="str">
            <v>Millions SqFt</v>
          </cell>
          <cell r="L37">
            <v>0.49337113702797691</v>
          </cell>
          <cell r="M37">
            <v>1.1029723159217257</v>
          </cell>
          <cell r="N37">
            <v>0.94992456965043459</v>
          </cell>
          <cell r="O37">
            <v>0.71720701164062661</v>
          </cell>
          <cell r="P37">
            <v>0.7442281187428561</v>
          </cell>
          <cell r="Q37">
            <v>0.85140099810585501</v>
          </cell>
          <cell r="R37">
            <v>0.99139466996200198</v>
          </cell>
          <cell r="S37">
            <v>1.5014629353162949</v>
          </cell>
          <cell r="T37">
            <v>1.8697826256608596</v>
          </cell>
          <cell r="U37">
            <v>1.6452707482432332</v>
          </cell>
          <cell r="V37">
            <v>1.6753181172445872</v>
          </cell>
          <cell r="W37">
            <v>1.7943041099264481</v>
          </cell>
          <cell r="X37">
            <v>1.8624299937819393</v>
          </cell>
          <cell r="Y37">
            <v>1.7489264522150836</v>
          </cell>
          <cell r="Z37">
            <v>1.7975598556031414</v>
          </cell>
          <cell r="AA37">
            <v>1.6195220459723754</v>
          </cell>
          <cell r="AB37">
            <v>1.8221433074925411</v>
          </cell>
          <cell r="AC37">
            <v>1.6336676691608698</v>
          </cell>
          <cell r="AD37">
            <v>1.7826242149357872</v>
          </cell>
          <cell r="AE37">
            <v>1.6891002859244486</v>
          </cell>
        </row>
        <row r="38">
          <cell r="G38" t="str">
            <v>RegionUniversityNew</v>
          </cell>
          <cell r="H38" t="str">
            <v>Com</v>
          </cell>
          <cell r="I38" t="str">
            <v>University</v>
          </cell>
          <cell r="J38" t="str">
            <v>New</v>
          </cell>
          <cell r="K38" t="str">
            <v>Millions SqFt</v>
          </cell>
          <cell r="L38">
            <v>0.2800209986196866</v>
          </cell>
          <cell r="M38">
            <v>0.29719871383536939</v>
          </cell>
          <cell r="N38">
            <v>0.58203115602335975</v>
          </cell>
          <cell r="O38">
            <v>0.83189457735737737</v>
          </cell>
          <cell r="P38">
            <v>0.66610454718876777</v>
          </cell>
          <cell r="Q38">
            <v>0.73648247778559484</v>
          </cell>
          <cell r="R38">
            <v>0.64334185638367225</v>
          </cell>
          <cell r="S38">
            <v>0.97289424291238524</v>
          </cell>
          <cell r="T38">
            <v>1.1820978013224126</v>
          </cell>
          <cell r="U38">
            <v>1.1785313924254113</v>
          </cell>
          <cell r="V38">
            <v>1.2952038876416079</v>
          </cell>
          <cell r="W38">
            <v>1.3229243736280945</v>
          </cell>
          <cell r="X38">
            <v>1.422909455419719</v>
          </cell>
          <cell r="Y38">
            <v>1.4430187909981058</v>
          </cell>
          <cell r="Z38">
            <v>1.2923971403480323</v>
          </cell>
          <cell r="AA38">
            <v>1.1785050733908478</v>
          </cell>
          <cell r="AB38">
            <v>1.3433889489273994</v>
          </cell>
          <cell r="AC38">
            <v>1.2265545990556588</v>
          </cell>
          <cell r="AD38">
            <v>1.2571458643971927</v>
          </cell>
          <cell r="AE38">
            <v>1.2979913333963795</v>
          </cell>
        </row>
        <row r="39">
          <cell r="G39" t="str">
            <v>RegionWarehouseNew</v>
          </cell>
          <cell r="H39" t="str">
            <v>Com</v>
          </cell>
          <cell r="I39" t="str">
            <v>Warehouse</v>
          </cell>
          <cell r="J39" t="str">
            <v>New</v>
          </cell>
          <cell r="K39" t="str">
            <v>Millions SqFt</v>
          </cell>
          <cell r="L39">
            <v>7.6586609772993617</v>
          </cell>
          <cell r="M39">
            <v>7.5774552212762423</v>
          </cell>
          <cell r="N39">
            <v>5.6453939930651131</v>
          </cell>
          <cell r="O39">
            <v>4.800793231843981</v>
          </cell>
          <cell r="P39">
            <v>3.5881391412601156</v>
          </cell>
          <cell r="Q39">
            <v>3.1529819033971824</v>
          </cell>
          <cell r="R39">
            <v>4.0691744688008198</v>
          </cell>
          <cell r="S39">
            <v>4.5400289951106014</v>
          </cell>
          <cell r="T39">
            <v>4.8555474587969272</v>
          </cell>
          <cell r="U39">
            <v>4.6966359797376018</v>
          </cell>
          <cell r="V39">
            <v>4.8557170740974245</v>
          </cell>
          <cell r="W39">
            <v>4.451750056135543</v>
          </cell>
          <cell r="X39">
            <v>3.8657972013430704</v>
          </cell>
          <cell r="Y39">
            <v>3.9817445148405937</v>
          </cell>
          <cell r="Z39">
            <v>3.9951806948216846</v>
          </cell>
          <cell r="AA39">
            <v>4.4738164673360306</v>
          </cell>
          <cell r="AB39">
            <v>4.2737219736102183</v>
          </cell>
          <cell r="AC39">
            <v>4.0870251812551333</v>
          </cell>
          <cell r="AD39">
            <v>4.137725578117939</v>
          </cell>
          <cell r="AE39">
            <v>3.6922064696454697</v>
          </cell>
        </row>
        <row r="40">
          <cell r="G40" t="str">
            <v>RegionSupermarketNew</v>
          </cell>
          <cell r="H40" t="str">
            <v>Com</v>
          </cell>
          <cell r="I40" t="str">
            <v>Supermarket</v>
          </cell>
          <cell r="J40" t="str">
            <v>New</v>
          </cell>
          <cell r="K40" t="str">
            <v>Millions SqFt</v>
          </cell>
          <cell r="L40">
            <v>0.38924897939746522</v>
          </cell>
          <cell r="M40">
            <v>0.34341311895347121</v>
          </cell>
          <cell r="N40">
            <v>0.29927348040561341</v>
          </cell>
          <cell r="O40">
            <v>0.29688874456634085</v>
          </cell>
          <cell r="P40">
            <v>0.29379933994281465</v>
          </cell>
          <cell r="Q40">
            <v>0.29041766271303127</v>
          </cell>
          <cell r="R40">
            <v>0.28614144770449462</v>
          </cell>
          <cell r="S40">
            <v>0.28163861967746157</v>
          </cell>
          <cell r="T40">
            <v>0.27688800876616482</v>
          </cell>
          <cell r="U40">
            <v>0.27357754310134663</v>
          </cell>
          <cell r="V40">
            <v>0.27063184585003941</v>
          </cell>
          <cell r="W40">
            <v>0.26801411864303953</v>
          </cell>
          <cell r="X40">
            <v>0.26660240614409092</v>
          </cell>
          <cell r="Y40">
            <v>0.25138198684402913</v>
          </cell>
          <cell r="Z40">
            <v>0.26455339135243683</v>
          </cell>
          <cell r="AA40">
            <v>0.26299167309250365</v>
          </cell>
          <cell r="AB40">
            <v>0.26140909607327911</v>
          </cell>
          <cell r="AC40">
            <v>0.25947687815142023</v>
          </cell>
          <cell r="AD40">
            <v>0.25750619496776178</v>
          </cell>
          <cell r="AE40">
            <v>0.25562560804995926</v>
          </cell>
        </row>
        <row r="41">
          <cell r="G41" t="str">
            <v>RegionMiniMartNew</v>
          </cell>
          <cell r="H41" t="str">
            <v>Com</v>
          </cell>
          <cell r="I41" t="str">
            <v>MiniMart</v>
          </cell>
          <cell r="J41" t="str">
            <v>New</v>
          </cell>
          <cell r="K41" t="str">
            <v>Millions SqFt</v>
          </cell>
          <cell r="L41">
            <v>0.19765540078516197</v>
          </cell>
          <cell r="M41">
            <v>0.18600542935034625</v>
          </cell>
          <cell r="N41">
            <v>9.5760802585072302E-2</v>
          </cell>
          <cell r="O41">
            <v>0.10062051473914659</v>
          </cell>
          <cell r="P41">
            <v>8.5646792534183808E-2</v>
          </cell>
          <cell r="Q41">
            <v>6.5415041923045286E-2</v>
          </cell>
          <cell r="R41">
            <v>5.7242996146950373E-2</v>
          </cell>
          <cell r="S41">
            <v>5.5087150941189433E-2</v>
          </cell>
          <cell r="T41">
            <v>7.3916214299540497E-2</v>
          </cell>
          <cell r="U41">
            <v>9.2056169088318471E-2</v>
          </cell>
          <cell r="V41">
            <v>0.10393709432109566</v>
          </cell>
          <cell r="W41">
            <v>0.15172170448022598</v>
          </cell>
          <cell r="X41">
            <v>0.15706997726929292</v>
          </cell>
          <cell r="Y41">
            <v>0.14510580631504899</v>
          </cell>
          <cell r="Z41">
            <v>0.15272706829792246</v>
          </cell>
          <cell r="AA41">
            <v>0.14104647748606622</v>
          </cell>
          <cell r="AB41">
            <v>0.11700741064540764</v>
          </cell>
          <cell r="AC41">
            <v>0.1200067315077773</v>
          </cell>
          <cell r="AD41">
            <v>0.11457442878633581</v>
          </cell>
          <cell r="AE41">
            <v>0.1211768182439132</v>
          </cell>
        </row>
        <row r="42">
          <cell r="G42" t="str">
            <v>RegionRestaurantNew</v>
          </cell>
          <cell r="H42" t="str">
            <v>Com</v>
          </cell>
          <cell r="I42" t="str">
            <v>Restaurant</v>
          </cell>
          <cell r="J42" t="str">
            <v>New</v>
          </cell>
          <cell r="K42" t="str">
            <v>Millions SqFt</v>
          </cell>
          <cell r="L42">
            <v>0.46894871790011039</v>
          </cell>
          <cell r="M42">
            <v>0.47387410836125871</v>
          </cell>
          <cell r="N42">
            <v>0.45144590813821411</v>
          </cell>
          <cell r="O42">
            <v>0.4505136151455652</v>
          </cell>
          <cell r="P42">
            <v>0.44778046039172248</v>
          </cell>
          <cell r="Q42">
            <v>0.44523396067124349</v>
          </cell>
          <cell r="R42">
            <v>0.44273536313864043</v>
          </cell>
          <cell r="S42">
            <v>0.4399078135546039</v>
          </cell>
          <cell r="T42">
            <v>0.43708606600163591</v>
          </cell>
          <cell r="U42">
            <v>0.43513915585550955</v>
          </cell>
          <cell r="V42">
            <v>0.43580404899906589</v>
          </cell>
          <cell r="W42">
            <v>0.59161866303702282</v>
          </cell>
          <cell r="X42">
            <v>0.66467702134516005</v>
          </cell>
          <cell r="Y42">
            <v>0.65353995366480533</v>
          </cell>
          <cell r="Z42">
            <v>0.676060915960916</v>
          </cell>
          <cell r="AA42">
            <v>0.70559825286541389</v>
          </cell>
          <cell r="AB42">
            <v>0.63206878506691044</v>
          </cell>
          <cell r="AC42">
            <v>0.63726309269471215</v>
          </cell>
          <cell r="AD42">
            <v>0.5828366650853003</v>
          </cell>
          <cell r="AE42">
            <v>0.63928201324113043</v>
          </cell>
        </row>
        <row r="43">
          <cell r="G43" t="str">
            <v>RegionLodgingNew</v>
          </cell>
          <cell r="H43" t="str">
            <v>Com</v>
          </cell>
          <cell r="I43" t="str">
            <v>Lodging</v>
          </cell>
          <cell r="J43" t="str">
            <v>New</v>
          </cell>
          <cell r="K43" t="str">
            <v>Millions SqFt</v>
          </cell>
          <cell r="L43">
            <v>1.0326774321313152</v>
          </cell>
          <cell r="M43">
            <v>1.0158776160943388</v>
          </cell>
          <cell r="N43">
            <v>0.74304915446037911</v>
          </cell>
          <cell r="O43">
            <v>0.76054102414226543</v>
          </cell>
          <cell r="P43">
            <v>0.65616402459427536</v>
          </cell>
          <cell r="Q43">
            <v>0.62755023267601961</v>
          </cell>
          <cell r="R43">
            <v>0.61023293273354484</v>
          </cell>
          <cell r="S43">
            <v>0.60571699788717037</v>
          </cell>
          <cell r="T43">
            <v>0.65097903457434547</v>
          </cell>
          <cell r="U43">
            <v>0.69319811486407867</v>
          </cell>
          <cell r="V43">
            <v>0.78843795894088464</v>
          </cell>
          <cell r="W43">
            <v>1.3645659476947984</v>
          </cell>
          <cell r="X43">
            <v>1.6032227373726178</v>
          </cell>
          <cell r="Y43">
            <v>1.6412696995684901</v>
          </cell>
          <cell r="Z43">
            <v>1.670283030615213</v>
          </cell>
          <cell r="AA43">
            <v>1.755661848186447</v>
          </cell>
          <cell r="AB43">
            <v>1.4871375295645746</v>
          </cell>
          <cell r="AC43">
            <v>1.4400033906080374</v>
          </cell>
          <cell r="AD43">
            <v>1.3499648074414823</v>
          </cell>
          <cell r="AE43">
            <v>1.4487057151095009</v>
          </cell>
        </row>
        <row r="44">
          <cell r="G44" t="str">
            <v>RegionHospitalNew</v>
          </cell>
          <cell r="H44" t="str">
            <v>Com</v>
          </cell>
          <cell r="I44" t="str">
            <v>Hospital</v>
          </cell>
          <cell r="J44" t="str">
            <v>New</v>
          </cell>
          <cell r="K44" t="str">
            <v>Millions SqFt</v>
          </cell>
          <cell r="L44">
            <v>4.1336070304911159</v>
          </cell>
          <cell r="M44">
            <v>3.5601449453189118</v>
          </cell>
          <cell r="N44">
            <v>3.2007770264658664</v>
          </cell>
          <cell r="O44">
            <v>2.6531465767673241</v>
          </cell>
          <cell r="P44">
            <v>1.8730082465149496</v>
          </cell>
          <cell r="Q44">
            <v>1.6467285324389391</v>
          </cell>
          <cell r="R44">
            <v>1.5196240263467067</v>
          </cell>
          <cell r="S44">
            <v>1.3328145698119136</v>
          </cell>
          <cell r="T44">
            <v>1.3372342578617185</v>
          </cell>
          <cell r="U44">
            <v>1.4086686461757902</v>
          </cell>
          <cell r="V44">
            <v>1.6725933548501446</v>
          </cell>
          <cell r="W44">
            <v>2.0158466086985318</v>
          </cell>
          <cell r="X44">
            <v>2.3033709594417431</v>
          </cell>
          <cell r="Y44">
            <v>2.063930246052466</v>
          </cell>
          <cell r="Z44">
            <v>1.9880083370090949</v>
          </cell>
          <cell r="AA44">
            <v>1.9342270452860566</v>
          </cell>
          <cell r="AB44">
            <v>1.774507966199161</v>
          </cell>
          <cell r="AC44">
            <v>1.6723841845019074</v>
          </cell>
          <cell r="AD44">
            <v>1.5414284807799123</v>
          </cell>
          <cell r="AE44">
            <v>1.5563040522680198</v>
          </cell>
        </row>
        <row r="45">
          <cell r="G45" t="str">
            <v>RegionResidential CareNew</v>
          </cell>
          <cell r="H45" t="str">
            <v>Com</v>
          </cell>
          <cell r="I45" t="str">
            <v>Residential Care</v>
          </cell>
          <cell r="J45" t="str">
            <v>New</v>
          </cell>
          <cell r="K45" t="str">
            <v>Millions SqFt</v>
          </cell>
          <cell r="L45">
            <v>4.5029406937179912</v>
          </cell>
          <cell r="M45">
            <v>4.0786070344439063</v>
          </cell>
          <cell r="N45">
            <v>3.5919834720533679</v>
          </cell>
          <cell r="O45">
            <v>3.0400934926407626</v>
          </cell>
          <cell r="P45">
            <v>2.3018670718031324</v>
          </cell>
          <cell r="Q45">
            <v>2.1321468422073435</v>
          </cell>
          <cell r="R45">
            <v>1.9771504564110642</v>
          </cell>
          <cell r="S45">
            <v>1.8096072137015302</v>
          </cell>
          <cell r="T45">
            <v>1.9023478055732992</v>
          </cell>
          <cell r="U45">
            <v>2.0129777404511922</v>
          </cell>
          <cell r="V45">
            <v>2.304026079874093</v>
          </cell>
          <cell r="W45">
            <v>2.7992417645016405</v>
          </cell>
          <cell r="X45">
            <v>3.0682339807477179</v>
          </cell>
          <cell r="Y45">
            <v>2.7441690138981158</v>
          </cell>
          <cell r="Z45">
            <v>2.8046561391012603</v>
          </cell>
          <cell r="AA45">
            <v>2.7282838662201567</v>
          </cell>
          <cell r="AB45">
            <v>2.4959637785038216</v>
          </cell>
          <cell r="AC45">
            <v>2.4392052334479857</v>
          </cell>
          <cell r="AD45">
            <v>2.3386950979959957</v>
          </cell>
          <cell r="AE45">
            <v>2.3103955399373803</v>
          </cell>
        </row>
        <row r="46">
          <cell r="G46" t="str">
            <v>RegionAssemblyNew</v>
          </cell>
          <cell r="H46" t="str">
            <v>Com</v>
          </cell>
          <cell r="I46" t="str">
            <v>Assembly</v>
          </cell>
          <cell r="J46" t="str">
            <v>New</v>
          </cell>
          <cell r="K46" t="str">
            <v>Millions SqFt</v>
          </cell>
          <cell r="L46">
            <v>3.1854829351393543</v>
          </cell>
          <cell r="M46">
            <v>3.1699057451518957</v>
          </cell>
          <cell r="N46">
            <v>2.2628528186826316</v>
          </cell>
          <cell r="O46">
            <v>2.6023617076700645</v>
          </cell>
          <cell r="P46">
            <v>2.2919684786454506</v>
          </cell>
          <cell r="Q46">
            <v>2.1556450092355899</v>
          </cell>
          <cell r="R46">
            <v>1.4820394508668711</v>
          </cell>
          <cell r="S46">
            <v>1.5603361472368396</v>
          </cell>
          <cell r="T46">
            <v>2.3546097038898557</v>
          </cell>
          <cell r="U46">
            <v>3.2740386396924066</v>
          </cell>
          <cell r="V46">
            <v>3.6241751874536021</v>
          </cell>
          <cell r="W46">
            <v>4.4420137300219826</v>
          </cell>
          <cell r="X46">
            <v>5.8224273473135861</v>
          </cell>
          <cell r="Y46">
            <v>6.4604400946422142</v>
          </cell>
          <cell r="Z46">
            <v>6.9014803298142597</v>
          </cell>
          <cell r="AA46">
            <v>6.748515751490312</v>
          </cell>
          <cell r="AB46">
            <v>6.4364694734288266</v>
          </cell>
          <cell r="AC46">
            <v>6.3053235195290611</v>
          </cell>
          <cell r="AD46">
            <v>6.2236620394663484</v>
          </cell>
          <cell r="AE46">
            <v>6.0386522880717726</v>
          </cell>
        </row>
        <row r="47">
          <cell r="G47" t="str">
            <v>RegionOtherNew</v>
          </cell>
          <cell r="H47" t="str">
            <v>Com</v>
          </cell>
          <cell r="I47" t="str">
            <v>Other</v>
          </cell>
          <cell r="J47" t="str">
            <v>New</v>
          </cell>
          <cell r="K47" t="str">
            <v>Millions SqFt</v>
          </cell>
          <cell r="L47">
            <v>12.863107129152304</v>
          </cell>
          <cell r="M47">
            <v>10.7220378193485</v>
          </cell>
          <cell r="N47">
            <v>10.142128438066296</v>
          </cell>
          <cell r="O47">
            <v>9.4611923499879236</v>
          </cell>
          <cell r="P47">
            <v>7.3638556881373223</v>
          </cell>
          <cell r="Q47">
            <v>8.1591439254269407</v>
          </cell>
          <cell r="R47">
            <v>7.9603673258815011</v>
          </cell>
          <cell r="S47">
            <v>8.6026166911432824</v>
          </cell>
          <cell r="T47">
            <v>9.3207800366095146</v>
          </cell>
          <cell r="U47">
            <v>9.0572786632714859</v>
          </cell>
          <cell r="V47">
            <v>10.184423730877143</v>
          </cell>
          <cell r="W47">
            <v>10.787657533789663</v>
          </cell>
          <cell r="X47">
            <v>11.005378574708409</v>
          </cell>
          <cell r="Y47">
            <v>10.267063981307951</v>
          </cell>
          <cell r="Z47">
            <v>11.027475862918971</v>
          </cell>
          <cell r="AA47">
            <v>9.9609233822623686</v>
          </cell>
          <cell r="AB47">
            <v>10.340047869658916</v>
          </cell>
          <cell r="AC47">
            <v>9.8383849729989699</v>
          </cell>
          <cell r="AD47">
            <v>9.3282989614436094</v>
          </cell>
          <cell r="AE47">
            <v>9.0355729282982153</v>
          </cell>
        </row>
        <row r="48">
          <cell r="G48" t="str">
            <v>RegionLarge OffStock 2016</v>
          </cell>
          <cell r="H48" t="str">
            <v>Com</v>
          </cell>
          <cell r="I48" t="str">
            <v>Large Off</v>
          </cell>
          <cell r="J48" t="str">
            <v>Stock 2016</v>
          </cell>
          <cell r="K48" t="str">
            <v>Millions SqFt</v>
          </cell>
          <cell r="L48">
            <v>380.08828477966154</v>
          </cell>
          <cell r="M48">
            <v>378.94801992532251</v>
          </cell>
          <cell r="N48">
            <v>377.81117586554655</v>
          </cell>
          <cell r="O48">
            <v>376.67774233794995</v>
          </cell>
          <cell r="P48">
            <v>375.54770911093607</v>
          </cell>
          <cell r="Q48">
            <v>374.42106598360328</v>
          </cell>
          <cell r="R48">
            <v>373.29780278565244</v>
          </cell>
          <cell r="S48">
            <v>372.17790937729552</v>
          </cell>
          <cell r="T48">
            <v>371.06137564916361</v>
          </cell>
          <cell r="U48">
            <v>369.94819152221612</v>
          </cell>
          <cell r="V48">
            <v>368.83834694764948</v>
          </cell>
          <cell r="W48">
            <v>367.73183190680658</v>
          </cell>
          <cell r="X48">
            <v>366.62863641108612</v>
          </cell>
          <cell r="Y48">
            <v>365.52875050185287</v>
          </cell>
          <cell r="Z48">
            <v>364.43216425034728</v>
          </cell>
          <cell r="AA48">
            <v>363.33886775759629</v>
          </cell>
          <cell r="AB48">
            <v>362.24885115432346</v>
          </cell>
          <cell r="AC48">
            <v>361.16210460086046</v>
          </cell>
          <cell r="AD48">
            <v>360.07861828705791</v>
          </cell>
          <cell r="AE48">
            <v>358.99838243219671</v>
          </cell>
        </row>
        <row r="49">
          <cell r="G49" t="str">
            <v>RegionMedium OffStock 2016</v>
          </cell>
          <cell r="H49" t="str">
            <v>Com</v>
          </cell>
          <cell r="I49" t="str">
            <v>Medium Off</v>
          </cell>
          <cell r="J49" t="str">
            <v>Stock 2016</v>
          </cell>
          <cell r="K49" t="str">
            <v>Millions SqFt</v>
          </cell>
          <cell r="L49">
            <v>190.73687138333023</v>
          </cell>
          <cell r="M49">
            <v>190.16466076918024</v>
          </cell>
          <cell r="N49">
            <v>189.59416678687271</v>
          </cell>
          <cell r="O49">
            <v>189.02538428651209</v>
          </cell>
          <cell r="P49">
            <v>188.45830813365254</v>
          </cell>
          <cell r="Q49">
            <v>187.89293320925157</v>
          </cell>
          <cell r="R49">
            <v>187.32925440962381</v>
          </cell>
          <cell r="S49">
            <v>186.76726664639497</v>
          </cell>
          <cell r="T49">
            <v>186.20696484645578</v>
          </cell>
          <cell r="U49">
            <v>185.64834395191642</v>
          </cell>
          <cell r="V49">
            <v>185.09139892006067</v>
          </cell>
          <cell r="W49">
            <v>184.5361247233005</v>
          </cell>
          <cell r="X49">
            <v>183.98251634913058</v>
          </cell>
          <cell r="Y49">
            <v>183.43056880008319</v>
          </cell>
          <cell r="Z49">
            <v>182.88027709368296</v>
          </cell>
          <cell r="AA49">
            <v>182.33163626240187</v>
          </cell>
          <cell r="AB49">
            <v>181.78464135361469</v>
          </cell>
          <cell r="AC49">
            <v>181.23928742955383</v>
          </cell>
          <cell r="AD49">
            <v>180.69556956726515</v>
          </cell>
          <cell r="AE49">
            <v>180.15348285856339</v>
          </cell>
        </row>
        <row r="50">
          <cell r="G50" t="str">
            <v>RegionSmall OffStock 2016</v>
          </cell>
          <cell r="H50" t="str">
            <v>Com</v>
          </cell>
          <cell r="I50" t="str">
            <v>Small Off</v>
          </cell>
          <cell r="J50" t="str">
            <v>Stock 2016</v>
          </cell>
          <cell r="K50" t="str">
            <v>Millions SqFt</v>
          </cell>
          <cell r="L50">
            <v>184.0913556049378</v>
          </cell>
          <cell r="M50">
            <v>183.53908153812301</v>
          </cell>
          <cell r="N50">
            <v>182.98846429350866</v>
          </cell>
          <cell r="O50">
            <v>182.43949890062811</v>
          </cell>
          <cell r="P50">
            <v>181.89218040392623</v>
          </cell>
          <cell r="Q50">
            <v>181.34650386271446</v>
          </cell>
          <cell r="R50">
            <v>180.80246435112633</v>
          </cell>
          <cell r="S50">
            <v>180.26005695807294</v>
          </cell>
          <cell r="T50">
            <v>179.71927678719871</v>
          </cell>
          <cell r="U50">
            <v>179.18011895683713</v>
          </cell>
          <cell r="V50">
            <v>178.64257859996661</v>
          </cell>
          <cell r="W50">
            <v>178.10665086416668</v>
          </cell>
          <cell r="X50">
            <v>177.57233091157423</v>
          </cell>
          <cell r="Y50">
            <v>177.03961391883951</v>
          </cell>
          <cell r="Z50">
            <v>176.50849507708296</v>
          </cell>
          <cell r="AA50">
            <v>175.97896959185172</v>
          </cell>
          <cell r="AB50">
            <v>175.45103268307616</v>
          </cell>
          <cell r="AC50">
            <v>174.92467958502692</v>
          </cell>
          <cell r="AD50">
            <v>174.39990554627184</v>
          </cell>
          <cell r="AE50">
            <v>173.87670582963304</v>
          </cell>
        </row>
        <row r="51">
          <cell r="G51" t="str">
            <v>RegionXLarge RetStock 2016</v>
          </cell>
          <cell r="H51" t="str">
            <v>Com</v>
          </cell>
          <cell r="I51" t="str">
            <v>XLarge Ret</v>
          </cell>
          <cell r="J51" t="str">
            <v>Stock 2016</v>
          </cell>
          <cell r="K51" t="str">
            <v>Millions SqFt</v>
          </cell>
          <cell r="L51">
            <v>138.35734062238015</v>
          </cell>
          <cell r="M51">
            <v>137.7208968555172</v>
          </cell>
          <cell r="N51">
            <v>137.08738072998179</v>
          </cell>
          <cell r="O51">
            <v>136.45677877862389</v>
          </cell>
          <cell r="P51">
            <v>135.8290775962422</v>
          </cell>
          <cell r="Q51">
            <v>135.20426383929947</v>
          </cell>
          <cell r="R51">
            <v>134.5823242256387</v>
          </cell>
          <cell r="S51">
            <v>133.96324553420075</v>
          </cell>
          <cell r="T51">
            <v>133.34701460474344</v>
          </cell>
          <cell r="U51">
            <v>132.73361833756161</v>
          </cell>
          <cell r="V51">
            <v>132.12304369320884</v>
          </cell>
          <cell r="W51">
            <v>131.51527769222005</v>
          </cell>
          <cell r="X51">
            <v>130.91030741483584</v>
          </cell>
          <cell r="Y51">
            <v>130.3081200007276</v>
          </cell>
          <cell r="Z51">
            <v>129.70870264872423</v>
          </cell>
          <cell r="AA51">
            <v>129.11204261654012</v>
          </cell>
          <cell r="AB51">
            <v>128.51812722050403</v>
          </cell>
          <cell r="AC51">
            <v>127.92694383528971</v>
          </cell>
          <cell r="AD51">
            <v>127.33847989364737</v>
          </cell>
          <cell r="AE51">
            <v>126.75272288613657</v>
          </cell>
        </row>
        <row r="52">
          <cell r="G52" t="str">
            <v>RegionLarge RetStock 2016</v>
          </cell>
          <cell r="H52" t="str">
            <v>Com</v>
          </cell>
          <cell r="I52" t="str">
            <v>Large Ret</v>
          </cell>
          <cell r="J52" t="str">
            <v>Stock 2016</v>
          </cell>
          <cell r="K52" t="str">
            <v>Millions SqFt</v>
          </cell>
          <cell r="L52">
            <v>208.9574509880029</v>
          </cell>
          <cell r="M52">
            <v>207.99624671345808</v>
          </cell>
          <cell r="N52">
            <v>207.03946397857615</v>
          </cell>
          <cell r="O52">
            <v>206.0870824442747</v>
          </cell>
          <cell r="P52">
            <v>205.13908186503102</v>
          </cell>
          <cell r="Q52">
            <v>204.1954420884519</v>
          </cell>
          <cell r="R52">
            <v>203.25614305484498</v>
          </cell>
          <cell r="S52">
            <v>202.32116479679266</v>
          </cell>
          <cell r="T52">
            <v>201.3904874387274</v>
          </cell>
          <cell r="U52">
            <v>200.46409119650929</v>
          </cell>
          <cell r="V52">
            <v>199.54195637700533</v>
          </cell>
          <cell r="W52">
            <v>198.62406337767112</v>
          </cell>
          <cell r="X52">
            <v>197.71039268613379</v>
          </cell>
          <cell r="Y52">
            <v>196.8009248797776</v>
          </cell>
          <cell r="Z52">
            <v>195.8956406253306</v>
          </cell>
          <cell r="AA52">
            <v>194.99452067845405</v>
          </cell>
          <cell r="AB52">
            <v>194.09754588333314</v>
          </cell>
          <cell r="AC52">
            <v>193.20469717226982</v>
          </cell>
          <cell r="AD52">
            <v>192.31595556527733</v>
          </cell>
          <cell r="AE52">
            <v>191.43130216967708</v>
          </cell>
        </row>
        <row r="53">
          <cell r="G53" t="str">
            <v>RegionMedium RetStock 2016</v>
          </cell>
          <cell r="H53" t="str">
            <v>Com</v>
          </cell>
          <cell r="I53" t="str">
            <v>Medium Ret</v>
          </cell>
          <cell r="J53" t="str">
            <v>Stock 2016</v>
          </cell>
          <cell r="K53" t="str">
            <v>Millions SqFt</v>
          </cell>
          <cell r="L53">
            <v>97.115689913224898</v>
          </cell>
          <cell r="M53">
            <v>96.668957739624062</v>
          </cell>
          <cell r="N53">
            <v>96.224280534021787</v>
          </cell>
          <cell r="O53">
            <v>95.781648843565293</v>
          </cell>
          <cell r="P53">
            <v>95.34105325888487</v>
          </cell>
          <cell r="Q53">
            <v>94.902484413894001</v>
          </cell>
          <cell r="R53">
            <v>94.465932985590086</v>
          </cell>
          <cell r="S53">
            <v>94.031389693856369</v>
          </cell>
          <cell r="T53">
            <v>93.598845301264618</v>
          </cell>
          <cell r="U53">
            <v>93.168290612878806</v>
          </cell>
          <cell r="V53">
            <v>92.739716476059556</v>
          </cell>
          <cell r="W53">
            <v>92.313113780269674</v>
          </cell>
          <cell r="X53">
            <v>91.888473456880433</v>
          </cell>
          <cell r="Y53">
            <v>91.465786478978771</v>
          </cell>
          <cell r="Z53">
            <v>91.045043861175472</v>
          </cell>
          <cell r="AA53">
            <v>90.626236659414062</v>
          </cell>
          <cell r="AB53">
            <v>90.209355970780734</v>
          </cell>
          <cell r="AC53">
            <v>89.794392933315152</v>
          </cell>
          <cell r="AD53">
            <v>89.381338725821905</v>
          </cell>
          <cell r="AE53">
            <v>88.97018456768312</v>
          </cell>
        </row>
        <row r="54">
          <cell r="G54" t="str">
            <v>RegionSmall RetStock 2016</v>
          </cell>
          <cell r="H54" t="str">
            <v>Com</v>
          </cell>
          <cell r="I54" t="str">
            <v>Small Ret</v>
          </cell>
          <cell r="J54" t="str">
            <v>Stock 2016</v>
          </cell>
          <cell r="K54" t="str">
            <v>Millions SqFt</v>
          </cell>
          <cell r="L54">
            <v>109.47966092768364</v>
          </cell>
          <cell r="M54">
            <v>108.97605448741629</v>
          </cell>
          <cell r="N54">
            <v>108.47476463677417</v>
          </cell>
          <cell r="O54">
            <v>107.975780719445</v>
          </cell>
          <cell r="P54">
            <v>107.47909212813555</v>
          </cell>
          <cell r="Q54">
            <v>106.98468830434612</v>
          </cell>
          <cell r="R54">
            <v>106.49255873814613</v>
          </cell>
          <cell r="S54">
            <v>106.00269296795065</v>
          </cell>
          <cell r="T54">
            <v>105.51508058029808</v>
          </cell>
          <cell r="U54">
            <v>105.0297112096287</v>
          </cell>
          <cell r="V54">
            <v>104.54657453806439</v>
          </cell>
          <cell r="W54">
            <v>104.0656602951893</v>
          </cell>
          <cell r="X54">
            <v>103.58695825783141</v>
          </cell>
          <cell r="Y54">
            <v>103.11045824984539</v>
          </cell>
          <cell r="Z54">
            <v>102.6361501418961</v>
          </cell>
          <cell r="AA54">
            <v>102.16402385124337</v>
          </cell>
          <cell r="AB54">
            <v>101.69406934152764</v>
          </cell>
          <cell r="AC54">
            <v>101.2262766225566</v>
          </cell>
          <cell r="AD54">
            <v>100.76063575009285</v>
          </cell>
          <cell r="AE54">
            <v>100.29713682564241</v>
          </cell>
        </row>
        <row r="55">
          <cell r="G55" t="str">
            <v>RegionSchool K-12Stock 2016</v>
          </cell>
          <cell r="H55" t="str">
            <v>Com</v>
          </cell>
          <cell r="I55" t="str">
            <v>School K-12</v>
          </cell>
          <cell r="J55" t="str">
            <v>Stock 2016</v>
          </cell>
          <cell r="K55" t="str">
            <v>Millions SqFt</v>
          </cell>
          <cell r="L55">
            <v>241.11763975818661</v>
          </cell>
          <cell r="M55">
            <v>240.12905743517803</v>
          </cell>
          <cell r="N55">
            <v>239.14452829969383</v>
          </cell>
          <cell r="O55">
            <v>238.16403573366509</v>
          </cell>
          <cell r="P55">
            <v>237.18756318715711</v>
          </cell>
          <cell r="Q55">
            <v>236.21509417808971</v>
          </cell>
          <cell r="R55">
            <v>235.24661229195956</v>
          </cell>
          <cell r="S55">
            <v>234.28210118156252</v>
          </cell>
          <cell r="T55">
            <v>233.32154456671807</v>
          </cell>
          <cell r="U55">
            <v>232.36492623399457</v>
          </cell>
          <cell r="V55">
            <v>231.41223003643518</v>
          </cell>
          <cell r="W55">
            <v>230.46343989328579</v>
          </cell>
          <cell r="X55">
            <v>229.51853978972335</v>
          </cell>
          <cell r="Y55">
            <v>228.57751377658545</v>
          </cell>
          <cell r="Z55">
            <v>227.64034597010144</v>
          </cell>
          <cell r="AA55">
            <v>226.70702055162403</v>
          </cell>
          <cell r="AB55">
            <v>225.77752176736234</v>
          </cell>
          <cell r="AC55">
            <v>224.85183392811618</v>
          </cell>
          <cell r="AD55">
            <v>223.92994140901092</v>
          </cell>
          <cell r="AE55">
            <v>223.01182864923393</v>
          </cell>
        </row>
        <row r="56">
          <cell r="G56" t="str">
            <v>RegionUniversityStock 2016</v>
          </cell>
          <cell r="H56" t="str">
            <v>Com</v>
          </cell>
          <cell r="I56" t="str">
            <v>University</v>
          </cell>
          <cell r="J56" t="str">
            <v>Stock 2016</v>
          </cell>
          <cell r="K56" t="str">
            <v>Millions SqFt</v>
          </cell>
          <cell r="L56">
            <v>122.15340627232256</v>
          </cell>
          <cell r="M56">
            <v>121.65257730660603</v>
          </cell>
          <cell r="N56">
            <v>121.15380173964894</v>
          </cell>
          <cell r="O56">
            <v>120.65707115251638</v>
          </cell>
          <cell r="P56">
            <v>120.16237716079107</v>
          </cell>
          <cell r="Q56">
            <v>119.66971141443182</v>
          </cell>
          <cell r="R56">
            <v>119.17906559763266</v>
          </cell>
          <cell r="S56">
            <v>118.69043142868237</v>
          </cell>
          <cell r="T56">
            <v>118.20380065982476</v>
          </cell>
          <cell r="U56">
            <v>117.71916507711948</v>
          </cell>
          <cell r="V56">
            <v>117.23651650030328</v>
          </cell>
          <cell r="W56">
            <v>116.75584678265207</v>
          </cell>
          <cell r="X56">
            <v>116.27714781084319</v>
          </cell>
          <cell r="Y56">
            <v>115.80041150481873</v>
          </cell>
          <cell r="Z56">
            <v>115.32562981764897</v>
          </cell>
          <cell r="AA56">
            <v>114.8527947353966</v>
          </cell>
          <cell r="AB56">
            <v>114.38189827698147</v>
          </cell>
          <cell r="AC56">
            <v>113.91293249404585</v>
          </cell>
          <cell r="AD56">
            <v>113.44588947082025</v>
          </cell>
          <cell r="AE56">
            <v>112.98076132398991</v>
          </cell>
        </row>
        <row r="57">
          <cell r="G57" t="str">
            <v>RegionWarehouseStock 2016</v>
          </cell>
          <cell r="H57" t="str">
            <v>Com</v>
          </cell>
          <cell r="I57" t="str">
            <v>Warehouse</v>
          </cell>
          <cell r="J57" t="str">
            <v>Stock 2016</v>
          </cell>
          <cell r="K57" t="str">
            <v>Millions SqFt</v>
          </cell>
          <cell r="L57">
            <v>448.69829599576161</v>
          </cell>
          <cell r="M57">
            <v>447.03811230057732</v>
          </cell>
          <cell r="N57">
            <v>445.3840712850652</v>
          </cell>
          <cell r="O57">
            <v>443.73615022131042</v>
          </cell>
          <cell r="P57">
            <v>442.09432646549152</v>
          </cell>
          <cell r="Q57">
            <v>440.45857745756916</v>
          </cell>
          <cell r="R57">
            <v>438.82888072097626</v>
          </cell>
          <cell r="S57">
            <v>437.2052138623086</v>
          </cell>
          <cell r="T57">
            <v>435.58755457101802</v>
          </cell>
          <cell r="U57">
            <v>433.97588061910528</v>
          </cell>
          <cell r="V57">
            <v>432.37016986081449</v>
          </cell>
          <cell r="W57">
            <v>430.77040023232951</v>
          </cell>
          <cell r="X57">
            <v>429.17654975146979</v>
          </cell>
          <cell r="Y57">
            <v>427.58859651738936</v>
          </cell>
          <cell r="Z57">
            <v>426.00651871027503</v>
          </cell>
          <cell r="AA57">
            <v>424.43029459104702</v>
          </cell>
          <cell r="AB57">
            <v>422.85990250106011</v>
          </cell>
          <cell r="AC57">
            <v>421.2953208618062</v>
          </cell>
          <cell r="AD57">
            <v>419.73652817461749</v>
          </cell>
          <cell r="AE57">
            <v>418.18350302037135</v>
          </cell>
        </row>
        <row r="58">
          <cell r="G58" t="str">
            <v>RegionSupermarketStock 2016</v>
          </cell>
          <cell r="H58" t="str">
            <v>Com</v>
          </cell>
          <cell r="I58" t="str">
            <v>Supermarket</v>
          </cell>
          <cell r="J58" t="str">
            <v>Stock 2016</v>
          </cell>
          <cell r="K58" t="str">
            <v>Millions SqFt</v>
          </cell>
          <cell r="L58">
            <v>53.720939527021244</v>
          </cell>
          <cell r="M58">
            <v>53.237451071278059</v>
          </cell>
          <cell r="N58">
            <v>52.758314011636557</v>
          </cell>
          <cell r="O58">
            <v>52.283489185531828</v>
          </cell>
          <cell r="P58">
            <v>51.812937782862043</v>
          </cell>
          <cell r="Q58">
            <v>51.346621342816277</v>
          </cell>
          <cell r="R58">
            <v>50.884501750730934</v>
          </cell>
          <cell r="S58">
            <v>50.426541234974358</v>
          </cell>
          <cell r="T58">
            <v>49.97270236385959</v>
          </cell>
          <cell r="U58">
            <v>49.522948042584851</v>
          </cell>
          <cell r="V58">
            <v>49.077241510201581</v>
          </cell>
          <cell r="W58">
            <v>48.635546336609778</v>
          </cell>
          <cell r="X58">
            <v>48.197826419580288</v>
          </cell>
          <cell r="Y58">
            <v>47.76404598180406</v>
          </cell>
          <cell r="Z58">
            <v>47.33416956796782</v>
          </cell>
          <cell r="AA58">
            <v>46.908162041856116</v>
          </cell>
          <cell r="AB58">
            <v>46.485988583479411</v>
          </cell>
          <cell r="AC58">
            <v>46.067614686228097</v>
          </cell>
          <cell r="AD58">
            <v>45.653006154052044</v>
          </cell>
          <cell r="AE58">
            <v>45.242129098665572</v>
          </cell>
        </row>
        <row r="59">
          <cell r="G59" t="str">
            <v>RegionMiniMartStock 2016</v>
          </cell>
          <cell r="H59" t="str">
            <v>Com</v>
          </cell>
          <cell r="I59" t="str">
            <v>MiniMart</v>
          </cell>
          <cell r="J59" t="str">
            <v>Stock 2016</v>
          </cell>
          <cell r="K59" t="str">
            <v>Millions SqFt</v>
          </cell>
          <cell r="L59">
            <v>22.491017060912501</v>
          </cell>
          <cell r="M59">
            <v>22.384859460384995</v>
          </cell>
          <cell r="N59">
            <v>22.279202923731983</v>
          </cell>
          <cell r="O59">
            <v>22.174045085931969</v>
          </cell>
          <cell r="P59">
            <v>22.069383593126368</v>
          </cell>
          <cell r="Q59">
            <v>21.965216102566814</v>
          </cell>
          <cell r="R59">
            <v>21.8615402825627</v>
          </cell>
          <cell r="S59">
            <v>21.758353812429004</v>
          </cell>
          <cell r="T59">
            <v>21.655654382434342</v>
          </cell>
          <cell r="U59">
            <v>21.553439693749251</v>
          </cell>
          <cell r="V59">
            <v>21.451707458394754</v>
          </cell>
          <cell r="W59">
            <v>21.350455399191134</v>
          </cell>
          <cell r="X59">
            <v>21.249681249706953</v>
          </cell>
          <cell r="Y59">
            <v>21.149382754208336</v>
          </cell>
          <cell r="Z59">
            <v>21.049557667608472</v>
          </cell>
          <cell r="AA59">
            <v>20.950203755417366</v>
          </cell>
          <cell r="AB59">
            <v>20.851318793691796</v>
          </cell>
          <cell r="AC59">
            <v>20.75290056898557</v>
          </cell>
          <cell r="AD59">
            <v>20.654946878299963</v>
          </cell>
          <cell r="AE59">
            <v>20.557455529034385</v>
          </cell>
        </row>
        <row r="60">
          <cell r="G60" t="str">
            <v>RegionRestaurantStock 2016</v>
          </cell>
          <cell r="H60" t="str">
            <v>Com</v>
          </cell>
          <cell r="I60" t="str">
            <v>Restaurant</v>
          </cell>
          <cell r="J60" t="str">
            <v>Stock 2016</v>
          </cell>
          <cell r="K60" t="str">
            <v>Millions SqFt</v>
          </cell>
          <cell r="L60">
            <v>51.550857208753726</v>
          </cell>
          <cell r="M60">
            <v>51.307537162728408</v>
          </cell>
          <cell r="N60">
            <v>51.065365587320336</v>
          </cell>
          <cell r="O60">
            <v>50.824337061748189</v>
          </cell>
          <cell r="P60">
            <v>50.584446190816735</v>
          </cell>
          <cell r="Q60">
            <v>50.345687604796083</v>
          </cell>
          <cell r="R60">
            <v>50.108055959301453</v>
          </cell>
          <cell r="S60">
            <v>49.871545935173543</v>
          </cell>
          <cell r="T60">
            <v>49.636152238359529</v>
          </cell>
          <cell r="U60">
            <v>49.40186959979448</v>
          </cell>
          <cell r="V60">
            <v>49.168692775283453</v>
          </cell>
          <cell r="W60">
            <v>48.936616545384119</v>
          </cell>
          <cell r="X60">
            <v>48.705635715289908</v>
          </cell>
          <cell r="Y60">
            <v>48.475745114713739</v>
          </cell>
          <cell r="Z60">
            <v>48.246939597772297</v>
          </cell>
          <cell r="AA60">
            <v>48.019214042870807</v>
          </cell>
          <cell r="AB60">
            <v>47.792563352588466</v>
          </cell>
          <cell r="AC60">
            <v>47.56698245356425</v>
          </cell>
          <cell r="AD60">
            <v>47.342466296383435</v>
          </cell>
          <cell r="AE60">
            <v>47.119009855464505</v>
          </cell>
        </row>
        <row r="61">
          <cell r="G61" t="str">
            <v>RegionLodgingStock 2016</v>
          </cell>
          <cell r="H61" t="str">
            <v>Com</v>
          </cell>
          <cell r="I61" t="str">
            <v>Lodging</v>
          </cell>
          <cell r="J61" t="str">
            <v>Stock 2016</v>
          </cell>
          <cell r="K61" t="str">
            <v>Millions SqFt</v>
          </cell>
          <cell r="L61">
            <v>170.15189589049527</v>
          </cell>
          <cell r="M61">
            <v>169.74353134035809</v>
          </cell>
          <cell r="N61">
            <v>169.33614686514122</v>
          </cell>
          <cell r="O61">
            <v>168.92974011266489</v>
          </cell>
          <cell r="P61">
            <v>168.52430873639449</v>
          </cell>
          <cell r="Q61">
            <v>168.11985039542716</v>
          </cell>
          <cell r="R61">
            <v>167.71636275447813</v>
          </cell>
          <cell r="S61">
            <v>167.31384348386743</v>
          </cell>
          <cell r="T61">
            <v>166.91229025950614</v>
          </cell>
          <cell r="U61">
            <v>166.51170076288332</v>
          </cell>
          <cell r="V61">
            <v>166.11207268105238</v>
          </cell>
          <cell r="W61">
            <v>165.7134037066179</v>
          </cell>
          <cell r="X61">
            <v>165.31569153772202</v>
          </cell>
          <cell r="Y61">
            <v>164.91893387803151</v>
          </cell>
          <cell r="Z61">
            <v>164.52312843672422</v>
          </cell>
          <cell r="AA61">
            <v>164.12827292847609</v>
          </cell>
          <cell r="AB61">
            <v>163.73436507344778</v>
          </cell>
          <cell r="AC61">
            <v>163.3414025972715</v>
          </cell>
          <cell r="AD61">
            <v>162.94938323103807</v>
          </cell>
          <cell r="AE61">
            <v>162.55830471128357</v>
          </cell>
        </row>
        <row r="62">
          <cell r="G62" t="str">
            <v>RegionHospitalStock 2016</v>
          </cell>
          <cell r="H62" t="str">
            <v>Com</v>
          </cell>
          <cell r="I62" t="str">
            <v>Hospital</v>
          </cell>
          <cell r="J62" t="str">
            <v>Stock 2016</v>
          </cell>
          <cell r="K62" t="str">
            <v>Millions SqFt</v>
          </cell>
          <cell r="L62">
            <v>105.02947953487826</v>
          </cell>
          <cell r="M62">
            <v>104.80891762785501</v>
          </cell>
          <cell r="N62">
            <v>104.58881890083651</v>
          </cell>
          <cell r="O62">
            <v>104.36918238114475</v>
          </cell>
          <cell r="P62">
            <v>104.15000709814436</v>
          </cell>
          <cell r="Q62">
            <v>103.93129208323826</v>
          </cell>
          <cell r="R62">
            <v>103.71303636986346</v>
          </cell>
          <cell r="S62">
            <v>103.49523899348674</v>
          </cell>
          <cell r="T62">
            <v>103.27789899160042</v>
          </cell>
          <cell r="U62">
            <v>103.06101540371807</v>
          </cell>
          <cell r="V62">
            <v>102.84458727137024</v>
          </cell>
          <cell r="W62">
            <v>102.62861363810038</v>
          </cell>
          <cell r="X62">
            <v>102.41309354946036</v>
          </cell>
          <cell r="Y62">
            <v>102.19802605300649</v>
          </cell>
          <cell r="Z62">
            <v>101.98341019829519</v>
          </cell>
          <cell r="AA62">
            <v>101.76924503687877</v>
          </cell>
          <cell r="AB62">
            <v>101.55552962230132</v>
          </cell>
          <cell r="AC62">
            <v>101.3422630100945</v>
          </cell>
          <cell r="AD62">
            <v>101.1294442577733</v>
          </cell>
          <cell r="AE62">
            <v>100.91707242483197</v>
          </cell>
        </row>
        <row r="63">
          <cell r="G63" t="str">
            <v>RegionResidential CareStock 2016</v>
          </cell>
          <cell r="H63" t="str">
            <v>Com</v>
          </cell>
          <cell r="I63" t="str">
            <v>Residential Care</v>
          </cell>
          <cell r="J63" t="str">
            <v>Stock 2016</v>
          </cell>
          <cell r="K63" t="str">
            <v>Millions SqFt</v>
          </cell>
          <cell r="L63">
            <v>128.74820917277606</v>
          </cell>
          <cell r="M63">
            <v>128.43921347076139</v>
          </cell>
          <cell r="N63">
            <v>128.1309593584316</v>
          </cell>
          <cell r="O63">
            <v>127.82344505597135</v>
          </cell>
          <cell r="P63">
            <v>127.51666878783702</v>
          </cell>
          <cell r="Q63">
            <v>127.21062878274621</v>
          </cell>
          <cell r="R63">
            <v>126.90532327366765</v>
          </cell>
          <cell r="S63">
            <v>126.60075049781085</v>
          </cell>
          <cell r="T63">
            <v>126.29690869661611</v>
          </cell>
          <cell r="U63">
            <v>125.99379611574425</v>
          </cell>
          <cell r="V63">
            <v>125.69141100506647</v>
          </cell>
          <cell r="W63">
            <v>125.3897516186543</v>
          </cell>
          <cell r="X63">
            <v>125.08881621476955</v>
          </cell>
          <cell r="Y63">
            <v>124.78860305585408</v>
          </cell>
          <cell r="Z63">
            <v>124.48911040852005</v>
          </cell>
          <cell r="AA63">
            <v>124.1903365435396</v>
          </cell>
          <cell r="AB63">
            <v>123.8922797358351</v>
          </cell>
          <cell r="AC63">
            <v>123.59493826446912</v>
          </cell>
          <cell r="AD63">
            <v>123.29831041263438</v>
          </cell>
          <cell r="AE63">
            <v>123.00239446764408</v>
          </cell>
        </row>
        <row r="64">
          <cell r="G64" t="str">
            <v>RegionAssemblyStock 2016</v>
          </cell>
          <cell r="H64" t="str">
            <v>Com</v>
          </cell>
          <cell r="I64" t="str">
            <v>Assembly</v>
          </cell>
          <cell r="J64" t="str">
            <v>Stock 2016</v>
          </cell>
          <cell r="K64" t="str">
            <v>Millions SqFt</v>
          </cell>
          <cell r="L64">
            <v>375.90224900649127</v>
          </cell>
          <cell r="M64">
            <v>374.21570091594884</v>
          </cell>
          <cell r="N64">
            <v>372.53671980450594</v>
          </cell>
          <cell r="O64">
            <v>370.86527172164978</v>
          </cell>
          <cell r="P64">
            <v>369.20132286919198</v>
          </cell>
          <cell r="Q64">
            <v>367.54483960058553</v>
          </cell>
          <cell r="R64">
            <v>365.89578842024423</v>
          </cell>
          <cell r="S64">
            <v>364.25413598286536</v>
          </cell>
          <cell r="T64">
            <v>362.6198490927556</v>
          </cell>
          <cell r="U64">
            <v>360.99289470315949</v>
          </cell>
          <cell r="V64">
            <v>359.37323991559134</v>
          </cell>
          <cell r="W64">
            <v>357.76085197917007</v>
          </cell>
          <cell r="X64">
            <v>356.15569828995689</v>
          </cell>
          <cell r="Y64">
            <v>354.55774639029596</v>
          </cell>
          <cell r="Z64">
            <v>352.96696396815821</v>
          </cell>
          <cell r="AA64">
            <v>351.38331885648773</v>
          </cell>
          <cell r="AB64">
            <v>349.80677903255156</v>
          </cell>
          <cell r="AC64">
            <v>348.23731261729228</v>
          </cell>
          <cell r="AD64">
            <v>346.67488787468267</v>
          </cell>
          <cell r="AE64">
            <v>345.11947321108494</v>
          </cell>
        </row>
        <row r="65">
          <cell r="G65" t="str">
            <v>RegionOtherStock 2016</v>
          </cell>
          <cell r="H65" t="str">
            <v>Com</v>
          </cell>
          <cell r="I65" t="str">
            <v>Other</v>
          </cell>
          <cell r="J65" t="str">
            <v>Stock 2016</v>
          </cell>
          <cell r="K65" t="str">
            <v>Millions SqFt</v>
          </cell>
          <cell r="L65">
            <v>342.64988330108076</v>
          </cell>
          <cell r="M65">
            <v>339.56603435137106</v>
          </cell>
          <cell r="N65">
            <v>336.50994004220871</v>
          </cell>
          <cell r="O65">
            <v>333.48135058182885</v>
          </cell>
          <cell r="P65">
            <v>330.48001842659238</v>
          </cell>
          <cell r="Q65">
            <v>327.50569826075304</v>
          </cell>
          <cell r="R65">
            <v>324.55814697640625</v>
          </cell>
          <cell r="S65">
            <v>321.63712365361863</v>
          </cell>
          <cell r="T65">
            <v>318.7423895407361</v>
          </cell>
          <cell r="U65">
            <v>315.87370803486942</v>
          </cell>
          <cell r="V65">
            <v>313.03084466255564</v>
          </cell>
          <cell r="W65">
            <v>310.21356706059254</v>
          </cell>
          <cell r="X65">
            <v>307.42164495704725</v>
          </cell>
          <cell r="Y65">
            <v>304.65485015243382</v>
          </cell>
          <cell r="Z65">
            <v>301.9129565010619</v>
          </cell>
          <cell r="AA65">
            <v>299.19573989255235</v>
          </cell>
          <cell r="AB65">
            <v>296.50297823351934</v>
          </cell>
          <cell r="AC65">
            <v>293.83445142941764</v>
          </cell>
          <cell r="AD65">
            <v>291.18994136655289</v>
          </cell>
          <cell r="AE65">
            <v>288.5692318942539</v>
          </cell>
        </row>
        <row r="66">
          <cell r="G66" t="str">
            <v>RegionIdahoStock</v>
          </cell>
          <cell r="H66" t="str">
            <v>Ag</v>
          </cell>
          <cell r="I66" t="str">
            <v>Idaho</v>
          </cell>
          <cell r="J66" t="str">
            <v>Stock</v>
          </cell>
          <cell r="K66" t="str">
            <v>% Growth</v>
          </cell>
          <cell r="L66">
            <v>0</v>
          </cell>
          <cell r="M66">
            <v>1.2504100211369894E-4</v>
          </cell>
          <cell r="N66">
            <v>1.7375879514796466E-4</v>
          </cell>
          <cell r="O66">
            <v>6.1210927779177624E-4</v>
          </cell>
          <cell r="P66">
            <v>8.8127487458086599E-4</v>
          </cell>
          <cell r="Q66">
            <v>1.1201972174019578E-3</v>
          </cell>
          <cell r="R66">
            <v>1.2717867360821197E-3</v>
          </cell>
          <cell r="S66">
            <v>1.4404642508513471E-3</v>
          </cell>
          <cell r="T66">
            <v>1.5874396385228723E-3</v>
          </cell>
          <cell r="U66">
            <v>1.7204636459112381E-3</v>
          </cell>
          <cell r="V66">
            <v>1.8289050040785739E-3</v>
          </cell>
          <cell r="W66">
            <v>1.9377539743383628E-3</v>
          </cell>
          <cell r="X66">
            <v>2.0316119038316116E-3</v>
          </cell>
          <cell r="Y66">
            <v>2.128079506222659E-3</v>
          </cell>
          <cell r="Z66">
            <v>2.2126572758413075E-3</v>
          </cell>
          <cell r="AA66">
            <v>2.2578225416429688E-3</v>
          </cell>
          <cell r="AB66">
            <v>2.3464540176612314E-3</v>
          </cell>
          <cell r="AC66">
            <v>2.414467009038601E-3</v>
          </cell>
          <cell r="AD66">
            <v>2.4848313911262653E-3</v>
          </cell>
          <cell r="AE66">
            <v>2.5344116000376449E-3</v>
          </cell>
        </row>
        <row r="67">
          <cell r="G67" t="str">
            <v>RegionMontanaStock</v>
          </cell>
          <cell r="H67" t="str">
            <v>Ag</v>
          </cell>
          <cell r="I67" t="str">
            <v>Montana</v>
          </cell>
          <cell r="J67" t="str">
            <v>Stock</v>
          </cell>
          <cell r="K67" t="str">
            <v>% Growth</v>
          </cell>
          <cell r="L67">
            <v>0</v>
          </cell>
          <cell r="M67">
            <v>1.0848242299839954E-2</v>
          </cell>
          <cell r="N67">
            <v>1.059267655252486E-2</v>
          </cell>
          <cell r="O67">
            <v>1.0752312089181865E-2</v>
          </cell>
          <cell r="P67">
            <v>1.075849831916186E-2</v>
          </cell>
          <cell r="Q67">
            <v>7.6567396067742733E-3</v>
          </cell>
          <cell r="R67">
            <v>7.6532068711881581E-3</v>
          </cell>
          <cell r="S67">
            <v>7.9235679867256659E-3</v>
          </cell>
          <cell r="T67">
            <v>8.1459053842477987E-3</v>
          </cell>
          <cell r="U67">
            <v>8.331284422267278E-3</v>
          </cell>
          <cell r="V67">
            <v>8.47135846405455E-3</v>
          </cell>
          <cell r="W67">
            <v>8.5938864965773454E-3</v>
          </cell>
          <cell r="X67">
            <v>8.6866032784890905E-3</v>
          </cell>
          <cell r="Y67">
            <v>8.7680800681235963E-3</v>
          </cell>
          <cell r="Z67">
            <v>8.8271867856936984E-3</v>
          </cell>
          <cell r="AA67">
            <v>8.8355566433926322E-3</v>
          </cell>
          <cell r="AB67">
            <v>8.8812025924713319E-3</v>
          </cell>
          <cell r="AC67">
            <v>8.8979055290069331E-3</v>
          </cell>
          <cell r="AD67">
            <v>8.9118787925779024E-3</v>
          </cell>
          <cell r="AE67">
            <v>8.9015256915168112E-3</v>
          </cell>
        </row>
        <row r="68">
          <cell r="G68" t="str">
            <v>RegionOregonStock</v>
          </cell>
          <cell r="H68" t="str">
            <v>Ag</v>
          </cell>
          <cell r="I68" t="str">
            <v>Oregon</v>
          </cell>
          <cell r="J68" t="str">
            <v>Stock</v>
          </cell>
          <cell r="K68" t="str">
            <v>% Growth</v>
          </cell>
          <cell r="L68">
            <v>0</v>
          </cell>
          <cell r="M68">
            <v>1.0110842680911804E-2</v>
          </cell>
          <cell r="N68">
            <v>1.0059217505089263E-2</v>
          </cell>
          <cell r="O68">
            <v>1.1176866051223918E-2</v>
          </cell>
          <cell r="P68">
            <v>1.9803102619340613E-2</v>
          </cell>
          <cell r="Q68">
            <v>1.2078828157499845E-2</v>
          </cell>
          <cell r="R68">
            <v>1.2074917420983849E-2</v>
          </cell>
          <cell r="S68">
            <v>1.2823009061012478E-2</v>
          </cell>
          <cell r="T68">
            <v>1.2064646132519813E-2</v>
          </cell>
          <cell r="U68">
            <v>2.1359830411811859E-2</v>
          </cell>
          <cell r="V68">
            <v>1.1864279678250279E-2</v>
          </cell>
          <cell r="W68">
            <v>1.1811806122028052E-2</v>
          </cell>
          <cell r="X68">
            <v>1.1060463245174785E-2</v>
          </cell>
          <cell r="Y68">
            <v>1.1689201211084101E-2</v>
          </cell>
          <cell r="Z68">
            <v>1.9623204602959039E-2</v>
          </cell>
          <cell r="AA68">
            <v>1.2054155221857031E-2</v>
          </cell>
          <cell r="AB68">
            <v>1.2615728823653952E-2</v>
          </cell>
          <cell r="AC68">
            <v>1.2496481187089379E-2</v>
          </cell>
          <cell r="AD68">
            <v>1.1753415892541448E-2</v>
          </cell>
          <cell r="AE68">
            <v>2.0946064887122692E-2</v>
          </cell>
        </row>
        <row r="69">
          <cell r="G69" t="str">
            <v>RegionWashingtonStock</v>
          </cell>
          <cell r="H69" t="str">
            <v>Ag</v>
          </cell>
          <cell r="I69" t="str">
            <v>Washington</v>
          </cell>
          <cell r="J69" t="str">
            <v>Stock</v>
          </cell>
          <cell r="K69" t="str">
            <v>% Growth</v>
          </cell>
          <cell r="L69">
            <v>0</v>
          </cell>
          <cell r="M69">
            <v>1.0662122206220235E-2</v>
          </cell>
          <cell r="N69">
            <v>1.0931258902780325E-2</v>
          </cell>
          <cell r="O69">
            <v>1.1173761515183053E-2</v>
          </cell>
          <cell r="P69">
            <v>1.811439906784525E-2</v>
          </cell>
          <cell r="Q69">
            <v>1.2399989211989764E-2</v>
          </cell>
          <cell r="R69">
            <v>1.1939862954954953E-2</v>
          </cell>
          <cell r="S69">
            <v>1.2288284859874222E-2</v>
          </cell>
          <cell r="T69">
            <v>1.1842226253476947E-2</v>
          </cell>
          <cell r="U69">
            <v>1.9682157833762929E-2</v>
          </cell>
          <cell r="V69">
            <v>1.1592234987503456E-2</v>
          </cell>
          <cell r="W69">
            <v>1.1147844023716795E-2</v>
          </cell>
          <cell r="X69">
            <v>1.1425985017752077E-2</v>
          </cell>
          <cell r="Y69">
            <v>1.0985810035676221E-2</v>
          </cell>
          <cell r="Z69">
            <v>1.7930228386922677E-2</v>
          </cell>
          <cell r="AA69">
            <v>1.1736355426763144E-2</v>
          </cell>
          <cell r="AB69">
            <v>1.1982095590114178E-2</v>
          </cell>
          <cell r="AC69">
            <v>1.1862624139313738E-2</v>
          </cell>
          <cell r="AD69">
            <v>1.1418033334772959E-2</v>
          </cell>
          <cell r="AE69">
            <v>1.8838157687553127E-2</v>
          </cell>
        </row>
        <row r="70">
          <cell r="G70" t="str">
            <v>RegionIdahoDairyStock</v>
          </cell>
          <cell r="H70" t="str">
            <v>Dairy</v>
          </cell>
          <cell r="I70" t="str">
            <v>IdahoDairy</v>
          </cell>
          <cell r="J70" t="str">
            <v>Stock</v>
          </cell>
          <cell r="K70" t="str">
            <v>1000lbs</v>
          </cell>
          <cell r="L70">
            <v>13629.012110609969</v>
          </cell>
          <cell r="M70">
            <v>13842.907114251881</v>
          </cell>
          <cell r="N70">
            <v>14023.216425344392</v>
          </cell>
          <cell r="O70">
            <v>14266.319353967396</v>
          </cell>
          <cell r="P70">
            <v>14513.683501515552</v>
          </cell>
          <cell r="Q70">
            <v>14784.738793280194</v>
          </cell>
          <cell r="R70">
            <v>15048.82150982591</v>
          </cell>
          <cell r="S70">
            <v>15351.081667959821</v>
          </cell>
          <cell r="T70">
            <v>15676.70161423125</v>
          </cell>
          <cell r="U70">
            <v>16022.910400199034</v>
          </cell>
          <cell r="V70">
            <v>16435.334001552066</v>
          </cell>
          <cell r="W70">
            <v>16796.9270935268</v>
          </cell>
          <cell r="X70">
            <v>17186.008838626629</v>
          </cell>
          <cell r="Y70">
            <v>17509.663776252026</v>
          </cell>
          <cell r="Z70">
            <v>17849.045518001847</v>
          </cell>
          <cell r="AA70">
            <v>18205.116228437721</v>
          </cell>
          <cell r="AB70">
            <v>18533.843580326749</v>
          </cell>
          <cell r="AC70">
            <v>18839.457555909743</v>
          </cell>
          <cell r="AD70">
            <v>19186.22471079613</v>
          </cell>
          <cell r="AE70">
            <v>19422.392838095242</v>
          </cell>
        </row>
        <row r="71">
          <cell r="G71" t="str">
            <v>RegionMontanaDairyStock</v>
          </cell>
          <cell r="H71" t="str">
            <v>Dairy</v>
          </cell>
          <cell r="I71" t="str">
            <v>MontanaDairy</v>
          </cell>
          <cell r="J71" t="str">
            <v>Stock</v>
          </cell>
          <cell r="K71" t="str">
            <v>1000lbs</v>
          </cell>
          <cell r="L71">
            <v>90.74529582059904</v>
          </cell>
          <cell r="M71">
            <v>90.898327903457215</v>
          </cell>
          <cell r="N71">
            <v>90.899562515809663</v>
          </cell>
          <cell r="O71">
            <v>91.013237267303055</v>
          </cell>
          <cell r="P71">
            <v>90.967755259326395</v>
          </cell>
          <cell r="Q71">
            <v>90.924506050749457</v>
          </cell>
          <cell r="R71">
            <v>91.025748037140048</v>
          </cell>
          <cell r="S71">
            <v>91.099301040678228</v>
          </cell>
          <cell r="T71">
            <v>90.915023147811965</v>
          </cell>
          <cell r="U71">
            <v>90.903023153329187</v>
          </cell>
          <cell r="V71">
            <v>90.903850245090197</v>
          </cell>
          <cell r="W71">
            <v>90.425722269176404</v>
          </cell>
          <cell r="X71">
            <v>90.371471553755299</v>
          </cell>
          <cell r="Y71">
            <v>90.264014484201496</v>
          </cell>
          <cell r="Z71">
            <v>90.097051493259059</v>
          </cell>
          <cell r="AA71">
            <v>89.896800203896433</v>
          </cell>
          <cell r="AB71">
            <v>89.896456479218287</v>
          </cell>
          <cell r="AC71">
            <v>89.606519803497406</v>
          </cell>
          <cell r="AD71">
            <v>89.325294250105614</v>
          </cell>
          <cell r="AE71">
            <v>89.328380794090677</v>
          </cell>
        </row>
        <row r="72">
          <cell r="G72" t="str">
            <v>RegionOregonDairyStock</v>
          </cell>
          <cell r="H72" t="str">
            <v>Dairy</v>
          </cell>
          <cell r="I72" t="str">
            <v>OregonDairy</v>
          </cell>
          <cell r="J72" t="str">
            <v>Stock</v>
          </cell>
          <cell r="K72" t="str">
            <v>1000lbs</v>
          </cell>
          <cell r="L72">
            <v>2744.180551622544</v>
          </cell>
          <cell r="M72">
            <v>2781.3253166710429</v>
          </cell>
          <cell r="N72">
            <v>2817.8028576592669</v>
          </cell>
          <cell r="O72">
            <v>2852.4466796581391</v>
          </cell>
          <cell r="P72">
            <v>2887.2703785501863</v>
          </cell>
          <cell r="Q72">
            <v>2923.2055190854799</v>
          </cell>
          <cell r="R72">
            <v>2963.8717110873577</v>
          </cell>
          <cell r="S72">
            <v>3007.9285968792492</v>
          </cell>
          <cell r="T72">
            <v>3054.4586648127197</v>
          </cell>
          <cell r="U72">
            <v>3103.2723514737127</v>
          </cell>
          <cell r="V72">
            <v>3155.2926430989965</v>
          </cell>
          <cell r="W72">
            <v>3205.2179835947745</v>
          </cell>
          <cell r="X72">
            <v>3255.0785902298294</v>
          </cell>
          <cell r="Y72">
            <v>3304.2085620815005</v>
          </cell>
          <cell r="Z72">
            <v>3359.7128554945239</v>
          </cell>
          <cell r="AA72">
            <v>3405.0605171911329</v>
          </cell>
          <cell r="AB72">
            <v>3454.1652559274162</v>
          </cell>
          <cell r="AC72">
            <v>3509.2005551615157</v>
          </cell>
          <cell r="AD72">
            <v>3557.2266817524842</v>
          </cell>
          <cell r="AE72">
            <v>3610.3576666465606</v>
          </cell>
        </row>
        <row r="73">
          <cell r="G73" t="str">
            <v>RegionWashingtonDairyStock</v>
          </cell>
          <cell r="H73" t="str">
            <v>Dairy</v>
          </cell>
          <cell r="I73" t="str">
            <v>WashingtonDairy</v>
          </cell>
          <cell r="J73" t="str">
            <v>Stock</v>
          </cell>
          <cell r="K73" t="str">
            <v>1000lbs</v>
          </cell>
          <cell r="L73">
            <v>6417.4166624736044</v>
          </cell>
          <cell r="M73">
            <v>6527.6845985495966</v>
          </cell>
          <cell r="N73">
            <v>6648.0748527559354</v>
          </cell>
          <cell r="O73">
            <v>6750.5768396680051</v>
          </cell>
          <cell r="P73">
            <v>6858.9947023924851</v>
          </cell>
          <cell r="Q73">
            <v>6950.9448303929594</v>
          </cell>
          <cell r="R73">
            <v>7066.5055116132971</v>
          </cell>
          <cell r="S73">
            <v>7154.1963866384513</v>
          </cell>
          <cell r="T73">
            <v>7260.5595150379595</v>
          </cell>
          <cell r="U73">
            <v>7382.1828771063319</v>
          </cell>
          <cell r="V73">
            <v>7515.612457778011</v>
          </cell>
          <cell r="W73">
            <v>7658.3815592644387</v>
          </cell>
          <cell r="X73">
            <v>7790.6041619373518</v>
          </cell>
          <cell r="Y73">
            <v>7925.9535611829233</v>
          </cell>
          <cell r="Z73">
            <v>8056.1594585167277</v>
          </cell>
          <cell r="AA73">
            <v>8212.3413257643278</v>
          </cell>
          <cell r="AB73">
            <v>8359.6360208598271</v>
          </cell>
          <cell r="AC73">
            <v>8487.3604780857568</v>
          </cell>
          <cell r="AD73">
            <v>8647.4216609802097</v>
          </cell>
          <cell r="AE73">
            <v>8766.8632794861296</v>
          </cell>
        </row>
        <row r="74">
          <cell r="G74" t="str">
            <v>RegionMechanical PulpStock</v>
          </cell>
          <cell r="H74" t="str">
            <v>Ind</v>
          </cell>
          <cell r="I74" t="str">
            <v>Mechanical Pulp</v>
          </cell>
          <cell r="J74" t="str">
            <v>Stock</v>
          </cell>
          <cell r="K74" t="str">
            <v>Consumption (MWh)</v>
          </cell>
          <cell r="L74">
            <v>3758422.9515033378</v>
          </cell>
          <cell r="M74">
            <v>3846371.717457301</v>
          </cell>
          <cell r="N74">
            <v>3968374.1915052147</v>
          </cell>
          <cell r="O74">
            <v>4090510.3824295267</v>
          </cell>
          <cell r="P74">
            <v>4250302.9154343279</v>
          </cell>
          <cell r="Q74">
            <v>4334033.2977658212</v>
          </cell>
          <cell r="R74">
            <v>4456327.439187984</v>
          </cell>
          <cell r="S74">
            <v>4578789.2711511394</v>
          </cell>
          <cell r="T74">
            <v>4701360.1942719091</v>
          </cell>
          <cell r="U74">
            <v>4824313.8733196864</v>
          </cell>
          <cell r="V74">
            <v>4947352.2681518989</v>
          </cell>
          <cell r="W74">
            <v>5070668.4941239785</v>
          </cell>
          <cell r="X74">
            <v>5241393.4127492504</v>
          </cell>
          <cell r="Y74">
            <v>5317320.3001071345</v>
          </cell>
          <cell r="Z74">
            <v>5440661.5619043242</v>
          </cell>
          <cell r="AA74">
            <v>5564018.2642552005</v>
          </cell>
          <cell r="AB74">
            <v>5739586.1964683067</v>
          </cell>
          <cell r="AC74">
            <v>5811280.9684790904</v>
          </cell>
          <cell r="AD74">
            <v>5935246.9976805374</v>
          </cell>
          <cell r="AE74">
            <v>6059032.0232603503</v>
          </cell>
        </row>
        <row r="75">
          <cell r="G75" t="str">
            <v>RegionKraft PulpStock</v>
          </cell>
          <cell r="H75" t="str">
            <v>Ind</v>
          </cell>
          <cell r="I75" t="str">
            <v>Kraft Pulp</v>
          </cell>
          <cell r="J75" t="str">
            <v>Stock</v>
          </cell>
          <cell r="K75" t="str">
            <v>Consumption (MWh)</v>
          </cell>
          <cell r="L75">
            <v>2773481.4382196674</v>
          </cell>
          <cell r="M75">
            <v>2819427.5750914654</v>
          </cell>
          <cell r="N75">
            <v>2890507.7097985409</v>
          </cell>
          <cell r="O75">
            <v>2962071.1114584161</v>
          </cell>
          <cell r="P75">
            <v>3059997.7868964532</v>
          </cell>
          <cell r="Q75">
            <v>3103655.7832492976</v>
          </cell>
          <cell r="R75">
            <v>3174966.0896720556</v>
          </cell>
          <cell r="S75">
            <v>3246510.2403896889</v>
          </cell>
          <cell r="T75">
            <v>3318080.388651574</v>
          </cell>
          <cell r="U75">
            <v>3389982.4618547466</v>
          </cell>
          <cell r="V75">
            <v>3462131.4738810235</v>
          </cell>
          <cell r="W75">
            <v>3534707.6510694856</v>
          </cell>
          <cell r="X75">
            <v>3640109.6347631621</v>
          </cell>
          <cell r="Y75">
            <v>3679903.4172538687</v>
          </cell>
          <cell r="Z75">
            <v>3752596.4740436999</v>
          </cell>
          <cell r="AA75">
            <v>3825294.7476344355</v>
          </cell>
          <cell r="AB75">
            <v>3934104.1351328893</v>
          </cell>
          <cell r="AC75">
            <v>3971456.2759534372</v>
          </cell>
          <cell r="AD75">
            <v>4044721.9040998006</v>
          </cell>
          <cell r="AE75">
            <v>4117951.8072271077</v>
          </cell>
        </row>
        <row r="76">
          <cell r="G76" t="str">
            <v>RegionPaperStock</v>
          </cell>
          <cell r="H76" t="str">
            <v>Ind</v>
          </cell>
          <cell r="I76" t="str">
            <v>Paper</v>
          </cell>
          <cell r="J76" t="str">
            <v>Stock</v>
          </cell>
          <cell r="K76" t="str">
            <v>Consumption (MWh)</v>
          </cell>
          <cell r="L76">
            <v>909695.70566164097</v>
          </cell>
          <cell r="M76">
            <v>929841.98736761883</v>
          </cell>
          <cell r="N76">
            <v>958296.9900283548</v>
          </cell>
          <cell r="O76">
            <v>986772.46541472664</v>
          </cell>
          <cell r="P76">
            <v>1024503.2482359634</v>
          </cell>
          <cell r="Q76">
            <v>1043814.269249864</v>
          </cell>
          <cell r="R76">
            <v>1072416.0473229263</v>
          </cell>
          <cell r="S76">
            <v>1101138.6289797227</v>
          </cell>
          <cell r="T76">
            <v>1129827.4252453854</v>
          </cell>
          <cell r="U76">
            <v>1158615.4096222189</v>
          </cell>
          <cell r="V76">
            <v>1187381.7412163604</v>
          </cell>
          <cell r="W76">
            <v>1216221.7351596826</v>
          </cell>
          <cell r="X76">
            <v>1256359.4314945252</v>
          </cell>
          <cell r="Y76">
            <v>1273754.7023949234</v>
          </cell>
          <cell r="Z76">
            <v>1302557.2241510332</v>
          </cell>
          <cell r="AA76">
            <v>1331330.2770174742</v>
          </cell>
          <cell r="AB76">
            <v>1372605.4069409962</v>
          </cell>
          <cell r="AC76">
            <v>1388979.5459728481</v>
          </cell>
          <cell r="AD76">
            <v>1417876.2653212347</v>
          </cell>
          <cell r="AE76">
            <v>1446660.9687985121</v>
          </cell>
        </row>
        <row r="77">
          <cell r="G77" t="str">
            <v>RegionFoundriesStock</v>
          </cell>
          <cell r="H77" t="str">
            <v>Ind</v>
          </cell>
          <cell r="I77" t="str">
            <v>Foundries</v>
          </cell>
          <cell r="J77" t="str">
            <v>Stock</v>
          </cell>
          <cell r="K77" t="str">
            <v>Consumption (MWh)</v>
          </cell>
          <cell r="L77">
            <v>2911780.7125423807</v>
          </cell>
          <cell r="M77">
            <v>2836711.9420544878</v>
          </cell>
          <cell r="N77">
            <v>2789583.7208478679</v>
          </cell>
          <cell r="O77">
            <v>2744161.1652043322</v>
          </cell>
          <cell r="P77">
            <v>2724138.9595719618</v>
          </cell>
          <cell r="Q77">
            <v>2657920.4757749322</v>
          </cell>
          <cell r="R77">
            <v>2617304.9227809869</v>
          </cell>
          <cell r="S77">
            <v>2577672.8738681655</v>
          </cell>
          <cell r="T77">
            <v>2539470.2769998731</v>
          </cell>
          <cell r="U77">
            <v>2502370.6800410077</v>
          </cell>
          <cell r="V77">
            <v>2466328.7382904179</v>
          </cell>
          <cell r="W77">
            <v>2431145.5854122876</v>
          </cell>
          <cell r="X77">
            <v>2419072.5388772879</v>
          </cell>
          <cell r="Y77">
            <v>2363410.6682392037</v>
          </cell>
          <cell r="Z77">
            <v>2330315.4302864787</v>
          </cell>
          <cell r="AA77">
            <v>2297818.1106687617</v>
          </cell>
          <cell r="AB77">
            <v>2286770.7986101452</v>
          </cell>
          <cell r="AC77">
            <v>2234701.6262630955</v>
          </cell>
          <cell r="AD77">
            <v>2204017.8086585626</v>
          </cell>
          <cell r="AE77">
            <v>2173546.4494459317</v>
          </cell>
        </row>
        <row r="78">
          <cell r="G78" t="str">
            <v>RegionFrozen FoodStock</v>
          </cell>
          <cell r="H78" t="str">
            <v>Ind</v>
          </cell>
          <cell r="I78" t="str">
            <v>Frozen Food</v>
          </cell>
          <cell r="J78" t="str">
            <v>Stock</v>
          </cell>
          <cell r="K78" t="str">
            <v>Consumption (MWh)</v>
          </cell>
          <cell r="L78">
            <v>1237117.9151862806</v>
          </cell>
          <cell r="M78">
            <v>1256265.8697824469</v>
          </cell>
          <cell r="N78">
            <v>1286638.141562406</v>
          </cell>
          <cell r="O78">
            <v>1317026.0249685342</v>
          </cell>
          <cell r="P78">
            <v>1359372.6119707115</v>
          </cell>
          <cell r="Q78">
            <v>1377450.5956346455</v>
          </cell>
          <cell r="R78">
            <v>1407752.7747509496</v>
          </cell>
          <cell r="S78">
            <v>1438031.0417962291</v>
          </cell>
          <cell r="T78">
            <v>1468359.9477337729</v>
          </cell>
          <cell r="U78">
            <v>1498806.1175902041</v>
          </cell>
          <cell r="V78">
            <v>1529247.5005361729</v>
          </cell>
          <cell r="W78">
            <v>1559755.0254088808</v>
          </cell>
          <cell r="X78">
            <v>1604695.7181381483</v>
          </cell>
          <cell r="Y78">
            <v>1620685.0488578391</v>
          </cell>
          <cell r="Z78">
            <v>1651120.4927678995</v>
          </cell>
          <cell r="AA78">
            <v>1681526.4060613776</v>
          </cell>
          <cell r="AB78">
            <v>1727706.9650814079</v>
          </cell>
          <cell r="AC78">
            <v>1742468.2976748645</v>
          </cell>
          <cell r="AD78">
            <v>1772999.536528415</v>
          </cell>
          <cell r="AE78">
            <v>1803423.3883706611</v>
          </cell>
        </row>
        <row r="79">
          <cell r="G79" t="str">
            <v>RegionOther FoodStock</v>
          </cell>
          <cell r="H79" t="str">
            <v>Ind</v>
          </cell>
          <cell r="I79" t="str">
            <v>Other Food</v>
          </cell>
          <cell r="J79" t="str">
            <v>Stock</v>
          </cell>
          <cell r="K79" t="str">
            <v>Consumption (MWh)</v>
          </cell>
          <cell r="L79">
            <v>2189215.7914933185</v>
          </cell>
          <cell r="M79">
            <v>2225714.4170001475</v>
          </cell>
          <cell r="N79">
            <v>2281801.3842795906</v>
          </cell>
          <cell r="O79">
            <v>2337878.4662610777</v>
          </cell>
          <cell r="P79">
            <v>2414859.5617400161</v>
          </cell>
          <cell r="Q79">
            <v>2449639.2617126312</v>
          </cell>
          <cell r="R79">
            <v>2505916.452109566</v>
          </cell>
          <cell r="S79">
            <v>2561919.8701418121</v>
          </cell>
          <cell r="T79">
            <v>2618248.9470964097</v>
          </cell>
          <cell r="U79">
            <v>2674706.0878431001</v>
          </cell>
          <cell r="V79">
            <v>2731406.8457201738</v>
          </cell>
          <cell r="W79">
            <v>2788145.294466868</v>
          </cell>
          <cell r="X79">
            <v>2870921.2322274465</v>
          </cell>
          <cell r="Y79">
            <v>2901825.3565548556</v>
          </cell>
          <cell r="Z79">
            <v>2958750.6188529818</v>
          </cell>
          <cell r="AA79">
            <v>3015584.6219987967</v>
          </cell>
          <cell r="AB79">
            <v>3100853.4167639203</v>
          </cell>
          <cell r="AC79">
            <v>3129759.8328607553</v>
          </cell>
          <cell r="AD79">
            <v>3187110.5829028329</v>
          </cell>
          <cell r="AE79">
            <v>3244229.8759716363</v>
          </cell>
        </row>
        <row r="80">
          <cell r="G80" t="str">
            <v>RegionWood - LumberStock</v>
          </cell>
          <cell r="H80" t="str">
            <v>Ind</v>
          </cell>
          <cell r="I80" t="str">
            <v>Wood - Lumber</v>
          </cell>
          <cell r="J80" t="str">
            <v>Stock</v>
          </cell>
          <cell r="K80" t="str">
            <v>Consumption (MWh)</v>
          </cell>
          <cell r="L80">
            <v>1161963.8217505382</v>
          </cell>
          <cell r="M80">
            <v>1117769.5487595289</v>
          </cell>
          <cell r="N80">
            <v>1084874.9921310821</v>
          </cell>
          <cell r="O80">
            <v>1052791.9192047431</v>
          </cell>
          <cell r="P80">
            <v>1030397.4491679214</v>
          </cell>
          <cell r="Q80">
            <v>990879.29279742646</v>
          </cell>
          <cell r="R80">
            <v>961065.17490868072</v>
          </cell>
          <cell r="S80">
            <v>931730.64036078285</v>
          </cell>
          <cell r="T80">
            <v>903080.08419384609</v>
          </cell>
          <cell r="U80">
            <v>874945.75211344392</v>
          </cell>
          <cell r="V80">
            <v>847310.7915088681</v>
          </cell>
          <cell r="W80">
            <v>820119.00687699113</v>
          </cell>
          <cell r="X80">
            <v>800618.32318729174</v>
          </cell>
          <cell r="Y80">
            <v>766954.27095195896</v>
          </cell>
          <cell r="Z80">
            <v>740908.22274123156</v>
          </cell>
          <cell r="AA80">
            <v>715106.45172531332</v>
          </cell>
          <cell r="AB80">
            <v>696028.08762583928</v>
          </cell>
          <cell r="AC80">
            <v>664509.97671853204</v>
          </cell>
          <cell r="AD80">
            <v>639621.04956848687</v>
          </cell>
          <cell r="AE80">
            <v>614946.99745740264</v>
          </cell>
        </row>
        <row r="81">
          <cell r="G81" t="str">
            <v>RegionWood - PanelStock</v>
          </cell>
          <cell r="H81" t="str">
            <v>Ind</v>
          </cell>
          <cell r="I81" t="str">
            <v>Wood - Panel</v>
          </cell>
          <cell r="J81" t="str">
            <v>Stock</v>
          </cell>
          <cell r="K81" t="str">
            <v>Consumption (MWh)</v>
          </cell>
          <cell r="L81">
            <v>551950.18982134352</v>
          </cell>
          <cell r="M81">
            <v>528731.18450453493</v>
          </cell>
          <cell r="N81">
            <v>510838.63702842174</v>
          </cell>
          <cell r="O81">
            <v>493229.56048375246</v>
          </cell>
          <cell r="P81">
            <v>480200.65450609016</v>
          </cell>
          <cell r="Q81">
            <v>458869.67437759304</v>
          </cell>
          <cell r="R81">
            <v>442034.77624590963</v>
          </cell>
          <cell r="S81">
            <v>425381.84725157876</v>
          </cell>
          <cell r="T81">
            <v>408945.79607863171</v>
          </cell>
          <cell r="U81">
            <v>392669.02882158436</v>
          </cell>
          <cell r="V81">
            <v>376527.17230508296</v>
          </cell>
          <cell r="W81">
            <v>360540.83558473963</v>
          </cell>
          <cell r="X81">
            <v>347793.23494737077</v>
          </cell>
          <cell r="Y81">
            <v>328864.0423583783</v>
          </cell>
          <cell r="Z81">
            <v>313174.70380282239</v>
          </cell>
          <cell r="AA81">
            <v>297578.74522290094</v>
          </cell>
          <cell r="AB81">
            <v>284693.91308797692</v>
          </cell>
          <cell r="AC81">
            <v>266695.50893493497</v>
          </cell>
          <cell r="AD81">
            <v>251377.16659093063</v>
          </cell>
          <cell r="AE81">
            <v>236121.41095945257</v>
          </cell>
        </row>
        <row r="82">
          <cell r="G82" t="str">
            <v>RegionWood - OtherStock</v>
          </cell>
          <cell r="H82" t="str">
            <v>Ind</v>
          </cell>
          <cell r="I82" t="str">
            <v>Wood - Other</v>
          </cell>
          <cell r="J82" t="str">
            <v>Stock</v>
          </cell>
          <cell r="K82" t="str">
            <v>Consumption (MWh)</v>
          </cell>
          <cell r="L82">
            <v>870727.85506649863</v>
          </cell>
          <cell r="M82">
            <v>839735.03037413268</v>
          </cell>
          <cell r="N82">
            <v>817265.57122340729</v>
          </cell>
          <cell r="O82">
            <v>795421.70406258584</v>
          </cell>
          <cell r="P82">
            <v>780923.07506947254</v>
          </cell>
          <cell r="Q82">
            <v>753146.51005964773</v>
          </cell>
          <cell r="R82">
            <v>732820.97518292943</v>
          </cell>
          <cell r="S82">
            <v>712886.70561548509</v>
          </cell>
          <cell r="T82">
            <v>693400.22734523669</v>
          </cell>
          <cell r="U82">
            <v>674308.65124034672</v>
          </cell>
          <cell r="V82">
            <v>655534.95057322702</v>
          </cell>
          <cell r="W82">
            <v>637111.60144566628</v>
          </cell>
          <cell r="X82">
            <v>624630.92244216194</v>
          </cell>
          <cell r="Y82">
            <v>601103.42928001995</v>
          </cell>
          <cell r="Z82">
            <v>583449.38612394244</v>
          </cell>
          <cell r="AA82">
            <v>565997.72271073016</v>
          </cell>
          <cell r="AB82">
            <v>553823.1943250458</v>
          </cell>
          <cell r="AC82">
            <v>531773.35758124199</v>
          </cell>
          <cell r="AD82">
            <v>514944.55152005563</v>
          </cell>
          <cell r="AE82">
            <v>498286.13824063755</v>
          </cell>
        </row>
        <row r="83">
          <cell r="G83" t="str">
            <v>RegionSugarStock</v>
          </cell>
          <cell r="H83" t="str">
            <v>Ind</v>
          </cell>
          <cell r="I83" t="str">
            <v>Sugar</v>
          </cell>
          <cell r="J83" t="str">
            <v>Stock</v>
          </cell>
          <cell r="K83" t="str">
            <v>Consumption (MWh)</v>
          </cell>
          <cell r="L83">
            <v>475136.72478012781</v>
          </cell>
          <cell r="M83">
            <v>478944.05758966133</v>
          </cell>
          <cell r="N83">
            <v>486819.48116772674</v>
          </cell>
          <cell r="O83">
            <v>494591.38634116278</v>
          </cell>
          <cell r="P83">
            <v>506508.14130214165</v>
          </cell>
          <cell r="Q83">
            <v>510023.29432266601</v>
          </cell>
          <cell r="R83">
            <v>517787.90058012598</v>
          </cell>
          <cell r="S83">
            <v>525332.27094640187</v>
          </cell>
          <cell r="T83">
            <v>532962.59651115292</v>
          </cell>
          <cell r="U83">
            <v>540559.14188859914</v>
          </cell>
          <cell r="V83">
            <v>548264.64271890977</v>
          </cell>
          <cell r="W83">
            <v>555867.220442908</v>
          </cell>
          <cell r="X83">
            <v>568632.32789277437</v>
          </cell>
          <cell r="Y83">
            <v>571112.91942260799</v>
          </cell>
          <cell r="Z83">
            <v>578836.54771749349</v>
          </cell>
          <cell r="AA83">
            <v>586399.91803551139</v>
          </cell>
          <cell r="AB83">
            <v>599561.512214605</v>
          </cell>
          <cell r="AC83">
            <v>601661.01637638209</v>
          </cell>
          <cell r="AD83">
            <v>609371.99258243595</v>
          </cell>
          <cell r="AE83">
            <v>616906.35518594901</v>
          </cell>
        </row>
        <row r="84">
          <cell r="G84" t="str">
            <v>RegionHi Tech - Chip FabStock</v>
          </cell>
          <cell r="H84" t="str">
            <v>Ind</v>
          </cell>
          <cell r="I84" t="str">
            <v>Hi Tech - Chip Fab</v>
          </cell>
          <cell r="J84" t="str">
            <v>Stock</v>
          </cell>
          <cell r="K84" t="str">
            <v>Consumption (MWh)</v>
          </cell>
          <cell r="L84">
            <v>441794.88875823218</v>
          </cell>
          <cell r="M84">
            <v>432626.39847364998</v>
          </cell>
          <cell r="N84">
            <v>427242.98054352769</v>
          </cell>
          <cell r="O84">
            <v>422213.82213962206</v>
          </cell>
          <cell r="P84">
            <v>421920.64066734893</v>
          </cell>
          <cell r="Q84">
            <v>413709.06623231358</v>
          </cell>
          <cell r="R84">
            <v>410212.7518948018</v>
          </cell>
          <cell r="S84">
            <v>406355.09832970693</v>
          </cell>
          <cell r="T84">
            <v>403296.23418868397</v>
          </cell>
          <cell r="U84">
            <v>399924.4240136806</v>
          </cell>
          <cell r="V84">
            <v>397295.90252843429</v>
          </cell>
          <cell r="W84">
            <v>394316.89382121537</v>
          </cell>
          <cell r="X84">
            <v>395623.44895442144</v>
          </cell>
          <cell r="Y84">
            <v>389392.69605832879</v>
          </cell>
          <cell r="Z84">
            <v>386892.14662184619</v>
          </cell>
          <cell r="AA84">
            <v>385025.31464219192</v>
          </cell>
          <cell r="AB84">
            <v>386311.31539104413</v>
          </cell>
          <cell r="AC84">
            <v>381213.1101798673</v>
          </cell>
          <cell r="AD84">
            <v>379233.88825255015</v>
          </cell>
          <cell r="AE84">
            <v>377804.18623239076</v>
          </cell>
        </row>
        <row r="85">
          <cell r="G85" t="str">
            <v>RegionHi Tech - SiliconStock</v>
          </cell>
          <cell r="H85" t="str">
            <v>Ind</v>
          </cell>
          <cell r="I85" t="str">
            <v>Hi Tech - Silicon</v>
          </cell>
          <cell r="J85" t="str">
            <v>Stock</v>
          </cell>
          <cell r="K85" t="str">
            <v>Consumption (MWh)</v>
          </cell>
          <cell r="L85">
            <v>226900.615461001</v>
          </cell>
          <cell r="M85">
            <v>224036.45332402681</v>
          </cell>
          <cell r="N85">
            <v>223197.60670939417</v>
          </cell>
          <cell r="O85">
            <v>222435.67348639047</v>
          </cell>
          <cell r="P85">
            <v>223898.4301459378</v>
          </cell>
          <cell r="Q85">
            <v>221368.38696638378</v>
          </cell>
          <cell r="R85">
            <v>221129.95798393188</v>
          </cell>
          <cell r="S85">
            <v>220786.11584318019</v>
          </cell>
          <cell r="T85">
            <v>220661.22741685802</v>
          </cell>
          <cell r="U85">
            <v>220514.6104276102</v>
          </cell>
          <cell r="V85">
            <v>220566.57724116242</v>
          </cell>
          <cell r="W85">
            <v>220582.85570889112</v>
          </cell>
          <cell r="X85">
            <v>222786.93799954746</v>
          </cell>
          <cell r="Y85">
            <v>220925.37261965938</v>
          </cell>
          <cell r="Z85">
            <v>221135.24104542725</v>
          </cell>
          <cell r="AA85">
            <v>221470.75488217658</v>
          </cell>
          <cell r="AB85">
            <v>223814.68962733069</v>
          </cell>
          <cell r="AC85">
            <v>222220.65723257174</v>
          </cell>
          <cell r="AD85">
            <v>222629.30420924808</v>
          </cell>
          <cell r="AE85">
            <v>223146.84657001842</v>
          </cell>
        </row>
        <row r="86">
          <cell r="G86" t="str">
            <v>RegionMetal FabStock</v>
          </cell>
          <cell r="H86" t="str">
            <v>Ind</v>
          </cell>
          <cell r="I86" t="str">
            <v>Metal Fab</v>
          </cell>
          <cell r="J86" t="str">
            <v>Stock</v>
          </cell>
          <cell r="K86" t="str">
            <v>Consumption (MWh)</v>
          </cell>
          <cell r="L86">
            <v>909892.68701188185</v>
          </cell>
          <cell r="M86">
            <v>891825.25809582323</v>
          </cell>
          <cell r="N86">
            <v>882508.80442902481</v>
          </cell>
          <cell r="O86">
            <v>873727.53576770169</v>
          </cell>
          <cell r="P86">
            <v>873074.20336348354</v>
          </cell>
          <cell r="Q86">
            <v>857353.78829031112</v>
          </cell>
          <cell r="R86">
            <v>849920.96028251934</v>
          </cell>
          <cell r="S86">
            <v>842747.12140389089</v>
          </cell>
          <cell r="T86">
            <v>835992.11174095876</v>
          </cell>
          <cell r="U86">
            <v>829585.10375461576</v>
          </cell>
          <cell r="V86">
            <v>823489.91083828453</v>
          </cell>
          <cell r="W86">
            <v>817657.03435069101</v>
          </cell>
          <cell r="X86">
            <v>819465.35455238761</v>
          </cell>
          <cell r="Y86">
            <v>806647.75437978934</v>
          </cell>
          <cell r="Z86">
            <v>801457.62846863491</v>
          </cell>
          <cell r="AA86">
            <v>796415.70090358355</v>
          </cell>
          <cell r="AB86">
            <v>798860.24754177267</v>
          </cell>
          <cell r="AC86">
            <v>786961.84080937004</v>
          </cell>
          <cell r="AD86">
            <v>782499.53998716734</v>
          </cell>
          <cell r="AE86">
            <v>778123.72130174015</v>
          </cell>
        </row>
        <row r="87">
          <cell r="G87" t="str">
            <v>RegionTransportation, EquipStock</v>
          </cell>
          <cell r="H87" t="str">
            <v>Ind</v>
          </cell>
          <cell r="I87" t="str">
            <v>Transportation, Equip</v>
          </cell>
          <cell r="J87" t="str">
            <v>Stock</v>
          </cell>
          <cell r="K87" t="str">
            <v>Consumption (MWh)</v>
          </cell>
          <cell r="L87">
            <v>1804273.4320914866</v>
          </cell>
          <cell r="M87">
            <v>1764444.7092744687</v>
          </cell>
          <cell r="N87">
            <v>1742380.5060862801</v>
          </cell>
          <cell r="O87">
            <v>1721734.2919262978</v>
          </cell>
          <cell r="P87">
            <v>1717290.0100661237</v>
          </cell>
          <cell r="Q87">
            <v>1684212.3577429946</v>
          </cell>
          <cell r="R87">
            <v>1667572.9872876552</v>
          </cell>
          <cell r="S87">
            <v>1651915.7655637239</v>
          </cell>
          <cell r="T87">
            <v>1637404.0605393937</v>
          </cell>
          <cell r="U87">
            <v>1624039.8539685637</v>
          </cell>
          <cell r="V87">
            <v>1611571.7582730576</v>
          </cell>
          <cell r="W87">
            <v>1599938.1807304013</v>
          </cell>
          <cell r="X87">
            <v>1603782.6234504275</v>
          </cell>
          <cell r="Y87">
            <v>1579189.4507664458</v>
          </cell>
          <cell r="Z87">
            <v>1569848.0280781442</v>
          </cell>
          <cell r="AA87">
            <v>1560977.4194455137</v>
          </cell>
          <cell r="AB87">
            <v>1566945.462049291</v>
          </cell>
          <cell r="AC87">
            <v>1545218.7396206472</v>
          </cell>
          <cell r="AD87">
            <v>1538099.8647244556</v>
          </cell>
          <cell r="AE87">
            <v>1531589.7574381533</v>
          </cell>
        </row>
        <row r="88">
          <cell r="G88" t="str">
            <v>RegionRefineryStock</v>
          </cell>
          <cell r="H88" t="str">
            <v>Ind</v>
          </cell>
          <cell r="I88" t="str">
            <v>Refinery</v>
          </cell>
          <cell r="J88" t="str">
            <v>Stock</v>
          </cell>
          <cell r="K88" t="str">
            <v>Consumption (MWh)</v>
          </cell>
          <cell r="L88">
            <v>1881024.91962965</v>
          </cell>
          <cell r="M88">
            <v>1909117.5467978129</v>
          </cell>
          <cell r="N88">
            <v>1951995.6132668965</v>
          </cell>
          <cell r="O88">
            <v>1997111.8831124087</v>
          </cell>
          <cell r="P88">
            <v>2057483.6301056999</v>
          </cell>
          <cell r="Q88">
            <v>2084336.8416466711</v>
          </cell>
          <cell r="R88">
            <v>2127809.677560756</v>
          </cell>
          <cell r="S88">
            <v>2172413.8365607024</v>
          </cell>
          <cell r="T88">
            <v>2215960.2386478884</v>
          </cell>
          <cell r="U88">
            <v>2261195.6605773838</v>
          </cell>
          <cell r="V88">
            <v>2305708.6406222372</v>
          </cell>
          <cell r="W88">
            <v>2351421.030442731</v>
          </cell>
          <cell r="X88">
            <v>2417809.3733545281</v>
          </cell>
          <cell r="Y88">
            <v>2441973.3932293397</v>
          </cell>
          <cell r="Z88">
            <v>2486737.3300964865</v>
          </cell>
          <cell r="AA88">
            <v>2532907.6529900534</v>
          </cell>
          <cell r="AB88">
            <v>2601624.7146502738</v>
          </cell>
          <cell r="AC88">
            <v>2625012.9439967307</v>
          </cell>
          <cell r="AD88">
            <v>2670463.7864335729</v>
          </cell>
          <cell r="AE88">
            <v>2717337.6347862268</v>
          </cell>
        </row>
        <row r="89">
          <cell r="G89" t="str">
            <v>RegionCold StorageStock</v>
          </cell>
          <cell r="H89" t="str">
            <v>Ind</v>
          </cell>
          <cell r="I89" t="str">
            <v>Cold Storage</v>
          </cell>
          <cell r="J89" t="str">
            <v>Stock</v>
          </cell>
          <cell r="K89" t="str">
            <v>Consumption (MWh)</v>
          </cell>
          <cell r="L89">
            <v>78154.236827670538</v>
          </cell>
          <cell r="M89">
            <v>79453.458629044515</v>
          </cell>
          <cell r="N89">
            <v>81462.364882615439</v>
          </cell>
          <cell r="O89">
            <v>83477.500671992908</v>
          </cell>
          <cell r="P89">
            <v>86245.581369176958</v>
          </cell>
          <cell r="Q89">
            <v>87478.747599680457</v>
          </cell>
          <cell r="R89">
            <v>89494.311122657688</v>
          </cell>
          <cell r="S89">
            <v>91509.020390414968</v>
          </cell>
          <cell r="T89">
            <v>93532.504764969955</v>
          </cell>
          <cell r="U89">
            <v>95564.382084683428</v>
          </cell>
          <cell r="V89">
            <v>97600.983939128768</v>
          </cell>
          <cell r="W89">
            <v>99644.634467322845</v>
          </cell>
          <cell r="X89">
            <v>102618.3524040958</v>
          </cell>
          <cell r="Y89">
            <v>103741.81616097505</v>
          </cell>
          <cell r="Z89">
            <v>105788.43696882724</v>
          </cell>
          <cell r="AA89">
            <v>107838.05913011087</v>
          </cell>
          <cell r="AB89">
            <v>110898.73263363529</v>
          </cell>
          <cell r="AC89">
            <v>111951.72686476028</v>
          </cell>
          <cell r="AD89">
            <v>114014.96377503965</v>
          </cell>
          <cell r="AE89">
            <v>116079.01640209509</v>
          </cell>
        </row>
        <row r="90">
          <cell r="G90" t="str">
            <v>RegionFruit StorageStock</v>
          </cell>
          <cell r="H90" t="str">
            <v>Ind</v>
          </cell>
          <cell r="I90" t="str">
            <v>Fruit Storage</v>
          </cell>
          <cell r="J90" t="str">
            <v>Stock</v>
          </cell>
          <cell r="K90" t="str">
            <v>Consumption (MWh)</v>
          </cell>
          <cell r="L90">
            <v>199395.43790713095</v>
          </cell>
          <cell r="M90">
            <v>204115.10690708214</v>
          </cell>
          <cell r="N90">
            <v>210634.84781997796</v>
          </cell>
          <cell r="O90">
            <v>217141.49063609194</v>
          </cell>
          <cell r="P90">
            <v>225683.75101923331</v>
          </cell>
          <cell r="Q90">
            <v>230234.36323329096</v>
          </cell>
          <cell r="R90">
            <v>236796.95219371072</v>
          </cell>
          <cell r="S90">
            <v>243349.21918638356</v>
          </cell>
          <cell r="T90">
            <v>249921.80671927828</v>
          </cell>
          <cell r="U90">
            <v>256506.98239189648</v>
          </cell>
          <cell r="V90">
            <v>263096.35269472009</v>
          </cell>
          <cell r="W90">
            <v>269693.66215315415</v>
          </cell>
          <cell r="X90">
            <v>278797.26062516763</v>
          </cell>
          <cell r="Y90">
            <v>282842.82237701409</v>
          </cell>
          <cell r="Z90">
            <v>289419.35664982459</v>
          </cell>
          <cell r="AA90">
            <v>295994.31165490975</v>
          </cell>
          <cell r="AB90">
            <v>305366.03036291245</v>
          </cell>
          <cell r="AC90">
            <v>309179.84460456396</v>
          </cell>
          <cell r="AD90">
            <v>315794.71629056305</v>
          </cell>
          <cell r="AE90">
            <v>322364.98084319307</v>
          </cell>
        </row>
        <row r="91">
          <cell r="G91" t="str">
            <v>RegionChemicalStock</v>
          </cell>
          <cell r="H91" t="str">
            <v>Ind</v>
          </cell>
          <cell r="I91" t="str">
            <v>Chemical</v>
          </cell>
          <cell r="J91" t="str">
            <v>Stock</v>
          </cell>
          <cell r="K91" t="str">
            <v>Consumption (MWh)</v>
          </cell>
          <cell r="L91">
            <v>3305004.1605836996</v>
          </cell>
          <cell r="M91">
            <v>3443789.6934345411</v>
          </cell>
          <cell r="N91">
            <v>3609021.9884613133</v>
          </cell>
          <cell r="O91">
            <v>3771046.7677251906</v>
          </cell>
          <cell r="P91">
            <v>3927253.9609524435</v>
          </cell>
          <cell r="Q91">
            <v>4037395.7085911199</v>
          </cell>
          <cell r="R91">
            <v>4188643.2636367837</v>
          </cell>
          <cell r="S91">
            <v>4340984.9755713558</v>
          </cell>
          <cell r="T91">
            <v>4493975.9194887662</v>
          </cell>
          <cell r="U91">
            <v>4646018.0745007796</v>
          </cell>
          <cell r="V91">
            <v>4797371.3042631764</v>
          </cell>
          <cell r="W91">
            <v>4947813.7264089147</v>
          </cell>
          <cell r="X91">
            <v>5144107.7969676936</v>
          </cell>
          <cell r="Y91">
            <v>5246402.7802377427</v>
          </cell>
          <cell r="Z91">
            <v>5394857.0622515492</v>
          </cell>
          <cell r="AA91">
            <v>5541714.6108995685</v>
          </cell>
          <cell r="AB91">
            <v>5740442.2061493713</v>
          </cell>
          <cell r="AC91">
            <v>5833788.3063517585</v>
          </cell>
          <cell r="AD91">
            <v>5979638.453419812</v>
          </cell>
          <cell r="AE91">
            <v>6123880.4660364473</v>
          </cell>
        </row>
        <row r="92">
          <cell r="G92" t="str">
            <v>RegionMisc ManfStock</v>
          </cell>
          <cell r="H92" t="str">
            <v>Ind</v>
          </cell>
          <cell r="I92" t="str">
            <v>Misc Manf</v>
          </cell>
          <cell r="J92" t="str">
            <v>Stock</v>
          </cell>
          <cell r="K92" t="str">
            <v>Consumption (MWh)</v>
          </cell>
          <cell r="L92">
            <v>4209556.472488177</v>
          </cell>
          <cell r="M92">
            <v>4334633.1165770665</v>
          </cell>
          <cell r="N92">
            <v>4496807.6122477548</v>
          </cell>
          <cell r="O92">
            <v>4658950.5636732625</v>
          </cell>
          <cell r="P92">
            <v>4833902.8390341504</v>
          </cell>
          <cell r="Q92">
            <v>4939547.3871582579</v>
          </cell>
          <cell r="R92">
            <v>5095859.5790590979</v>
          </cell>
          <cell r="S92">
            <v>5254063.1713875132</v>
          </cell>
          <cell r="T92">
            <v>5413802.5084346561</v>
          </cell>
          <cell r="U92">
            <v>5573463.6928148605</v>
          </cell>
          <cell r="V92">
            <v>5733797.7617043415</v>
          </cell>
          <cell r="W92">
            <v>5893374.3310838528</v>
          </cell>
          <cell r="X92">
            <v>6108755.4059702102</v>
          </cell>
          <cell r="Y92">
            <v>6213044.4648437528</v>
          </cell>
          <cell r="Z92">
            <v>6372313.332896472</v>
          </cell>
          <cell r="AA92">
            <v>6531884.2745853113</v>
          </cell>
          <cell r="AB92">
            <v>6752077.3183153793</v>
          </cell>
          <cell r="AC92">
            <v>6850327.3548128605</v>
          </cell>
          <cell r="AD92">
            <v>7009692.065473482</v>
          </cell>
          <cell r="AE92">
            <v>7168736.8179728845</v>
          </cell>
        </row>
        <row r="93">
          <cell r="G93" t="str">
            <v>RegionEVStock</v>
          </cell>
          <cell r="H93" t="str">
            <v>EV</v>
          </cell>
          <cell r="I93" t="str">
            <v>EV</v>
          </cell>
          <cell r="J93" t="str">
            <v>Stock</v>
          </cell>
          <cell r="K93" t="str">
            <v>1000 Cars</v>
          </cell>
          <cell r="L93">
            <v>60.183986956923889</v>
          </cell>
          <cell r="M93">
            <v>91.985039267783762</v>
          </cell>
          <cell r="N93">
            <v>131.71899349682545</v>
          </cell>
          <cell r="O93">
            <v>179.31931215654896</v>
          </cell>
          <cell r="P93">
            <v>234.46894197990883</v>
          </cell>
          <cell r="Q93">
            <v>296.9378027583823</v>
          </cell>
          <cell r="R93">
            <v>366.00059330503768</v>
          </cell>
          <cell r="S93">
            <v>441.25939468635204</v>
          </cell>
          <cell r="T93">
            <v>522.62506581198477</v>
          </cell>
          <cell r="U93">
            <v>610.52396116716261</v>
          </cell>
          <cell r="V93">
            <v>705.01906985870437</v>
          </cell>
          <cell r="W93">
            <v>801.72374571842784</v>
          </cell>
          <cell r="X93">
            <v>899.84995621451503</v>
          </cell>
          <cell r="Y93">
            <v>998.49290967026104</v>
          </cell>
          <cell r="Z93">
            <v>1096.4275699987345</v>
          </cell>
          <cell r="AA93">
            <v>1187.7661760902763</v>
          </cell>
          <cell r="AB93">
            <v>1272.9815546454543</v>
          </cell>
          <cell r="AC93">
            <v>1351.8588013409089</v>
          </cell>
          <cell r="AD93">
            <v>1433.0587465545455</v>
          </cell>
          <cell r="AE93">
            <v>1500.0488473772725</v>
          </cell>
        </row>
        <row r="94">
          <cell r="G94" t="str">
            <v>RegionPopStock</v>
          </cell>
          <cell r="H94" t="str">
            <v>Pop</v>
          </cell>
          <cell r="I94" t="str">
            <v>Pop</v>
          </cell>
          <cell r="J94" t="str">
            <v>Stock</v>
          </cell>
          <cell r="K94" t="str">
            <v># of people</v>
          </cell>
          <cell r="L94">
            <v>13520.68111</v>
          </cell>
          <cell r="M94">
            <v>13661.840299999998</v>
          </cell>
          <cell r="N94">
            <v>13803.691440000001</v>
          </cell>
          <cell r="O94">
            <v>13944.276469999999</v>
          </cell>
          <cell r="P94">
            <v>14082.801340000002</v>
          </cell>
          <cell r="Q94">
            <v>14218.715590000002</v>
          </cell>
          <cell r="R94">
            <v>14351.918940000001</v>
          </cell>
          <cell r="S94">
            <v>14482.437540000003</v>
          </cell>
          <cell r="T94">
            <v>14610.4211</v>
          </cell>
          <cell r="U94">
            <v>14736.24631</v>
          </cell>
          <cell r="V94">
            <v>14860.320880000001</v>
          </cell>
          <cell r="W94">
            <v>14983.078860000001</v>
          </cell>
          <cell r="X94">
            <v>15104.70127</v>
          </cell>
          <cell r="Y94">
            <v>15225.195700000002</v>
          </cell>
          <cell r="Z94">
            <v>15344.62486</v>
          </cell>
          <cell r="AA94">
            <v>15463.089019999998</v>
          </cell>
          <cell r="AB94">
            <v>15580.68845</v>
          </cell>
          <cell r="AC94">
            <v>15697.50913</v>
          </cell>
          <cell r="AD94">
            <v>15813.626329999999</v>
          </cell>
          <cell r="AE94">
            <v>15929.254489999999</v>
          </cell>
        </row>
        <row r="95">
          <cell r="G95" t="str">
            <v>RegionDataCenterStock</v>
          </cell>
          <cell r="H95" t="str">
            <v>DataCenter</v>
          </cell>
          <cell r="I95" t="str">
            <v>DataCenter</v>
          </cell>
          <cell r="J95" t="str">
            <v>Stock</v>
          </cell>
          <cell r="K95" t="str">
            <v>Consumption (aMW)</v>
          </cell>
          <cell r="L95">
            <v>381.60143269415096</v>
          </cell>
          <cell r="M95">
            <v>404.69885906229592</v>
          </cell>
          <cell r="N95">
            <v>421.46039895133885</v>
          </cell>
          <cell r="O95">
            <v>419.64642143844253</v>
          </cell>
          <cell r="P95">
            <v>423.66562864853898</v>
          </cell>
          <cell r="Q95">
            <v>432.76092390952061</v>
          </cell>
          <cell r="R95">
            <v>446.31531189522576</v>
          </cell>
          <cell r="S95">
            <v>450.98222620533323</v>
          </cell>
          <cell r="T95">
            <v>459.05126073815245</v>
          </cell>
          <cell r="U95">
            <v>470.19601765719887</v>
          </cell>
          <cell r="V95">
            <v>484.16208251533135</v>
          </cell>
          <cell r="W95">
            <v>494.21069266812788</v>
          </cell>
          <cell r="X95">
            <v>506.64189476780371</v>
          </cell>
          <cell r="Y95">
            <v>521.35392484293436</v>
          </cell>
          <cell r="Z95">
            <v>538.28523642117</v>
          </cell>
          <cell r="AA95">
            <v>554.01935267425768</v>
          </cell>
          <cell r="AB95">
            <v>571.88182312772415</v>
          </cell>
          <cell r="AC95">
            <v>591.90212163156946</v>
          </cell>
          <cell r="AD95">
            <v>614.13634434495953</v>
          </cell>
          <cell r="AE95">
            <v>636.87438282107769</v>
          </cell>
        </row>
        <row r="96">
          <cell r="G96" t="str">
            <v>RegionTotalLoadStock</v>
          </cell>
          <cell r="H96" t="str">
            <v>DEI</v>
          </cell>
          <cell r="I96" t="str">
            <v>TotalLoad</v>
          </cell>
          <cell r="J96" t="str">
            <v>Stock</v>
          </cell>
          <cell r="K96" t="str">
            <v>Consumption (aMW)</v>
          </cell>
          <cell r="L96">
            <v>21071.66</v>
          </cell>
          <cell r="M96">
            <v>21195.54</v>
          </cell>
          <cell r="N96">
            <v>21410</v>
          </cell>
          <cell r="O96">
            <v>21551.43</v>
          </cell>
          <cell r="P96">
            <v>21679.64</v>
          </cell>
          <cell r="Q96">
            <v>21827.78</v>
          </cell>
          <cell r="R96">
            <v>21990.98</v>
          </cell>
          <cell r="S96">
            <v>22168.240000000002</v>
          </cell>
          <cell r="T96">
            <v>22361.75</v>
          </cell>
          <cell r="U96">
            <v>22575.51</v>
          </cell>
          <cell r="V96">
            <v>22799.94</v>
          </cell>
          <cell r="W96">
            <v>23044.44</v>
          </cell>
          <cell r="X96">
            <v>23305.64</v>
          </cell>
          <cell r="Y96">
            <v>23567.14</v>
          </cell>
          <cell r="Z96">
            <v>23843.91</v>
          </cell>
          <cell r="AA96">
            <v>24084.7</v>
          </cell>
          <cell r="AB96">
            <v>24359.31</v>
          </cell>
          <cell r="AC96">
            <v>24636.46</v>
          </cell>
          <cell r="AD96">
            <v>24918.69</v>
          </cell>
          <cell r="AE96">
            <v>25207.16</v>
          </cell>
        </row>
      </sheetData>
      <sheetData sheetId="2">
        <row r="3">
          <cell r="H3">
            <v>100</v>
          </cell>
        </row>
        <row r="4">
          <cell r="H4">
            <v>100</v>
          </cell>
        </row>
      </sheetData>
      <sheetData sheetId="3">
        <row r="24">
          <cell r="G24">
            <v>19224</v>
          </cell>
          <cell r="H24">
            <v>20881</v>
          </cell>
          <cell r="I24">
            <v>22030</v>
          </cell>
          <cell r="J24">
            <v>26693</v>
          </cell>
          <cell r="K24">
            <v>29534</v>
          </cell>
          <cell r="L24">
            <v>25256</v>
          </cell>
          <cell r="M24">
            <v>32825</v>
          </cell>
          <cell r="N24">
            <v>33591</v>
          </cell>
          <cell r="O24">
            <v>34363</v>
          </cell>
          <cell r="P24">
            <v>28330</v>
          </cell>
          <cell r="Q24">
            <v>28658</v>
          </cell>
          <cell r="R24">
            <v>28846</v>
          </cell>
          <cell r="S24">
            <v>29714</v>
          </cell>
          <cell r="T24">
            <v>28101</v>
          </cell>
          <cell r="U24">
            <v>25350</v>
          </cell>
          <cell r="V24">
            <v>26054</v>
          </cell>
          <cell r="W24">
            <v>30098</v>
          </cell>
          <cell r="X24">
            <v>34243</v>
          </cell>
          <cell r="Y24">
            <v>36326</v>
          </cell>
          <cell r="Z24">
            <v>40247</v>
          </cell>
          <cell r="AA24">
            <v>36985</v>
          </cell>
          <cell r="AB24">
            <v>30373</v>
          </cell>
          <cell r="AC24">
            <v>18826</v>
          </cell>
          <cell r="AD24">
            <v>13391</v>
          </cell>
          <cell r="AE24">
            <v>14886</v>
          </cell>
        </row>
        <row r="25">
          <cell r="G25">
            <v>14869.183557824352</v>
          </cell>
          <cell r="H25">
            <v>15220.21190520253</v>
          </cell>
          <cell r="I25">
            <v>18940.327900324999</v>
          </cell>
          <cell r="J25">
            <v>18837.087988326672</v>
          </cell>
          <cell r="K25">
            <v>17883.866659845167</v>
          </cell>
          <cell r="L25">
            <v>8123.2235993523336</v>
          </cell>
          <cell r="M25">
            <v>7903.1488702815295</v>
          </cell>
          <cell r="N25">
            <v>7592.1801314599406</v>
          </cell>
          <cell r="O25">
            <v>9401.6361134168346</v>
          </cell>
          <cell r="P25">
            <v>9701.2779324751245</v>
          </cell>
          <cell r="Q25">
            <v>11104.526723200062</v>
          </cell>
          <cell r="R25">
            <v>10897.632074550364</v>
          </cell>
          <cell r="S25">
            <v>12645.60766842474</v>
          </cell>
          <cell r="T25">
            <v>11965.262831791384</v>
          </cell>
          <cell r="U25">
            <v>10483.919915783859</v>
          </cell>
          <cell r="V25">
            <v>9971.9026959155963</v>
          </cell>
          <cell r="W25">
            <v>7253.9578552287549</v>
          </cell>
          <cell r="X25">
            <v>7119.6062546632547</v>
          </cell>
          <cell r="Y25">
            <v>7985.0504417912043</v>
          </cell>
          <cell r="Z25">
            <v>8677.2745487052198</v>
          </cell>
          <cell r="AA25">
            <v>9569.5883473366248</v>
          </cell>
          <cell r="AB25">
            <v>10771.842399662728</v>
          </cell>
          <cell r="AC25">
            <v>8763.9200796845034</v>
          </cell>
          <cell r="AD25">
            <v>2981.3702838569475</v>
          </cell>
          <cell r="AE25">
            <v>3522.5521445353306</v>
          </cell>
        </row>
        <row r="26">
          <cell r="G26">
            <v>968.81644217564758</v>
          </cell>
          <cell r="H26">
            <v>1167.7880947974693</v>
          </cell>
          <cell r="I26">
            <v>1180.6720996750003</v>
          </cell>
          <cell r="J26">
            <v>1129.91201167333</v>
          </cell>
          <cell r="K26">
            <v>657.13334015483224</v>
          </cell>
          <cell r="L26">
            <v>654.77640064766615</v>
          </cell>
          <cell r="M26">
            <v>652.8511297184707</v>
          </cell>
          <cell r="N26">
            <v>756.81986854005959</v>
          </cell>
          <cell r="O26">
            <v>787.36388658316514</v>
          </cell>
          <cell r="P26">
            <v>872.72206752487591</v>
          </cell>
          <cell r="Q26">
            <v>879.4732767999385</v>
          </cell>
          <cell r="R26">
            <v>984.36792544963578</v>
          </cell>
          <cell r="S26">
            <v>957.39233157526019</v>
          </cell>
          <cell r="T26">
            <v>887.73716820861637</v>
          </cell>
          <cell r="U26">
            <v>863.08008421613988</v>
          </cell>
          <cell r="V26">
            <v>722.09730408440362</v>
          </cell>
          <cell r="W26">
            <v>726.04214477124526</v>
          </cell>
          <cell r="X26">
            <v>786.3937453367455</v>
          </cell>
          <cell r="Y26">
            <v>838.94955820879602</v>
          </cell>
          <cell r="Z26">
            <v>904.72545129478021</v>
          </cell>
          <cell r="AA26">
            <v>978.41165266337521</v>
          </cell>
          <cell r="AB26">
            <v>852.15760033727156</v>
          </cell>
          <cell r="AC26">
            <v>520.07992031549577</v>
          </cell>
          <cell r="AD26">
            <v>564.62971614305252</v>
          </cell>
          <cell r="AE26">
            <v>705.44785546466926</v>
          </cell>
        </row>
        <row r="27">
          <cell r="G27">
            <v>4550</v>
          </cell>
          <cell r="H27">
            <v>3873</v>
          </cell>
          <cell r="I27">
            <v>4184</v>
          </cell>
          <cell r="J27">
            <v>4397</v>
          </cell>
          <cell r="K27">
            <v>5645</v>
          </cell>
          <cell r="L27">
            <v>5353</v>
          </cell>
          <cell r="M27">
            <v>5964</v>
          </cell>
          <cell r="N27">
            <v>6849</v>
          </cell>
          <cell r="O27">
            <v>7332</v>
          </cell>
          <cell r="P27">
            <v>7252</v>
          </cell>
          <cell r="Q27">
            <v>6257</v>
          </cell>
          <cell r="R27">
            <v>6419</v>
          </cell>
          <cell r="S27">
            <v>6874</v>
          </cell>
          <cell r="T27">
            <v>5339</v>
          </cell>
          <cell r="U27">
            <v>3853</v>
          </cell>
          <cell r="V27">
            <v>2971</v>
          </cell>
          <cell r="W27">
            <v>2933</v>
          </cell>
          <cell r="X27">
            <v>2868</v>
          </cell>
          <cell r="Y27">
            <v>2705</v>
          </cell>
          <cell r="Z27">
            <v>2723</v>
          </cell>
          <cell r="AA27">
            <v>2653</v>
          </cell>
          <cell r="AB27">
            <v>2063</v>
          </cell>
          <cell r="AC27">
            <v>1621</v>
          </cell>
          <cell r="AD27">
            <v>859</v>
          </cell>
          <cell r="AE27">
            <v>681</v>
          </cell>
        </row>
        <row r="34">
          <cell r="G34">
            <v>2868</v>
          </cell>
          <cell r="H34">
            <v>2692</v>
          </cell>
          <cell r="I34">
            <v>2813</v>
          </cell>
          <cell r="J34">
            <v>3536</v>
          </cell>
          <cell r="K34">
            <v>4754</v>
          </cell>
          <cell r="L34">
            <v>5803</v>
          </cell>
          <cell r="M34">
            <v>8453</v>
          </cell>
          <cell r="N34">
            <v>9522</v>
          </cell>
          <cell r="O34">
            <v>10120</v>
          </cell>
          <cell r="P34">
            <v>8784</v>
          </cell>
          <cell r="Q34">
            <v>9538</v>
          </cell>
          <cell r="R34">
            <v>9107</v>
          </cell>
          <cell r="S34">
            <v>10575</v>
          </cell>
          <cell r="T34">
            <v>10544</v>
          </cell>
          <cell r="U34">
            <v>9631</v>
          </cell>
          <cell r="V34">
            <v>9441</v>
          </cell>
          <cell r="W34">
            <v>10730</v>
          </cell>
          <cell r="X34">
            <v>12976</v>
          </cell>
          <cell r="Y34">
            <v>15094</v>
          </cell>
          <cell r="Z34">
            <v>18771</v>
          </cell>
          <cell r="AA34">
            <v>15444</v>
          </cell>
          <cell r="AB34">
            <v>9693</v>
          </cell>
          <cell r="AC34">
            <v>6027</v>
          </cell>
          <cell r="AD34">
            <v>4336</v>
          </cell>
          <cell r="AE34">
            <v>3706</v>
          </cell>
        </row>
        <row r="35">
          <cell r="G35">
            <v>848.82991832591654</v>
          </cell>
          <cell r="H35">
            <v>518.17882714524762</v>
          </cell>
          <cell r="I35">
            <v>288.37484437276629</v>
          </cell>
          <cell r="J35">
            <v>818.68632809921849</v>
          </cell>
          <cell r="K35">
            <v>922.54881309467987</v>
          </cell>
          <cell r="L35">
            <v>713.12107820425172</v>
          </cell>
          <cell r="M35">
            <v>1322.6430437243826</v>
          </cell>
          <cell r="N35">
            <v>1874.8440142054371</v>
          </cell>
          <cell r="O35">
            <v>2484.0690897878753</v>
          </cell>
          <cell r="P35">
            <v>1754.5624245646084</v>
          </cell>
          <cell r="Q35">
            <v>1502.6818009503679</v>
          </cell>
          <cell r="R35">
            <v>1099.0598706051132</v>
          </cell>
          <cell r="S35">
            <v>998.51700550573537</v>
          </cell>
          <cell r="T35">
            <v>1279.6542411025091</v>
          </cell>
          <cell r="U35">
            <v>931.97705912690287</v>
          </cell>
          <cell r="V35">
            <v>1416.4873706075907</v>
          </cell>
          <cell r="W35">
            <v>1622.1096316302473</v>
          </cell>
          <cell r="X35">
            <v>1725.2037386728252</v>
          </cell>
          <cell r="Y35">
            <v>1627.7922787378966</v>
          </cell>
          <cell r="Z35">
            <v>1461.0310065714518</v>
          </cell>
          <cell r="AA35">
            <v>1503.1641209172849</v>
          </cell>
          <cell r="AB35">
            <v>1434.6085653222435</v>
          </cell>
          <cell r="AC35">
            <v>616.53672479350837</v>
          </cell>
          <cell r="AD35">
            <v>410.6655928821981</v>
          </cell>
          <cell r="AE35">
            <v>283.5340494616637</v>
          </cell>
        </row>
        <row r="36">
          <cell r="G36">
            <v>45.170081674083427</v>
          </cell>
          <cell r="H36">
            <v>35.82117285475239</v>
          </cell>
          <cell r="I36">
            <v>62.625155627233696</v>
          </cell>
          <cell r="J36">
            <v>68.313671900781529</v>
          </cell>
          <cell r="K36">
            <v>60.451186905320142</v>
          </cell>
          <cell r="L36">
            <v>93.878921795748312</v>
          </cell>
          <cell r="M36">
            <v>125.35695627561738</v>
          </cell>
          <cell r="N36">
            <v>157.15598579456281</v>
          </cell>
          <cell r="O36">
            <v>120.93091021212476</v>
          </cell>
          <cell r="P36">
            <v>108.43757543539168</v>
          </cell>
          <cell r="Q36">
            <v>88.318199049632</v>
          </cell>
          <cell r="R36">
            <v>84.940129394886824</v>
          </cell>
          <cell r="S36">
            <v>100.48299449426467</v>
          </cell>
          <cell r="T36">
            <v>84.345758897490967</v>
          </cell>
          <cell r="U36">
            <v>113.02294087309717</v>
          </cell>
          <cell r="V36">
            <v>126.51262939240925</v>
          </cell>
          <cell r="W36">
            <v>133.89036836975254</v>
          </cell>
          <cell r="X36">
            <v>129.79626132717482</v>
          </cell>
          <cell r="Y36">
            <v>122.20772126210333</v>
          </cell>
          <cell r="Z36">
            <v>125.96899342854817</v>
          </cell>
          <cell r="AA36">
            <v>120.8358790827151</v>
          </cell>
          <cell r="AB36">
            <v>73.391434677756436</v>
          </cell>
          <cell r="AC36">
            <v>61.463275206491645</v>
          </cell>
          <cell r="AD36">
            <v>55.334407117801909</v>
          </cell>
          <cell r="AE36">
            <v>72.465950538336273</v>
          </cell>
        </row>
        <row r="37">
          <cell r="G37">
            <v>838</v>
          </cell>
          <cell r="H37">
            <v>605</v>
          </cell>
          <cell r="I37">
            <v>572</v>
          </cell>
          <cell r="J37">
            <v>703</v>
          </cell>
          <cell r="K37">
            <v>820</v>
          </cell>
          <cell r="L37">
            <v>1089</v>
          </cell>
          <cell r="M37">
            <v>1696</v>
          </cell>
          <cell r="N37">
            <v>2779</v>
          </cell>
          <cell r="O37">
            <v>3712</v>
          </cell>
          <cell r="P37">
            <v>3167</v>
          </cell>
          <cell r="Q37">
            <v>2635</v>
          </cell>
          <cell r="R37">
            <v>2634</v>
          </cell>
          <cell r="S37">
            <v>2980</v>
          </cell>
          <cell r="T37">
            <v>2343</v>
          </cell>
          <cell r="U37">
            <v>1317</v>
          </cell>
          <cell r="V37">
            <v>998</v>
          </cell>
          <cell r="W37">
            <v>1042</v>
          </cell>
          <cell r="X37">
            <v>785</v>
          </cell>
          <cell r="Y37">
            <v>765</v>
          </cell>
          <cell r="Z37">
            <v>798</v>
          </cell>
          <cell r="AA37">
            <v>849</v>
          </cell>
          <cell r="AB37">
            <v>721</v>
          </cell>
          <cell r="AC37">
            <v>526</v>
          </cell>
          <cell r="AD37">
            <v>273</v>
          </cell>
          <cell r="AE37">
            <v>283</v>
          </cell>
        </row>
        <row r="44">
          <cell r="G44">
            <v>972.4</v>
          </cell>
          <cell r="H44">
            <v>825.5</v>
          </cell>
          <cell r="I44">
            <v>730.6</v>
          </cell>
          <cell r="J44">
            <v>696.80000000000007</v>
          </cell>
          <cell r="K44">
            <v>925.6</v>
          </cell>
          <cell r="L44">
            <v>1349.4</v>
          </cell>
          <cell r="M44">
            <v>2454.4</v>
          </cell>
          <cell r="N44">
            <v>2601.3000000000002</v>
          </cell>
          <cell r="O44">
            <v>2906.8</v>
          </cell>
          <cell r="P44">
            <v>2382.9</v>
          </cell>
          <cell r="Q44">
            <v>2070.9</v>
          </cell>
          <cell r="R44">
            <v>1963</v>
          </cell>
          <cell r="S44">
            <v>1986.4</v>
          </cell>
          <cell r="T44">
            <v>2096.9</v>
          </cell>
          <cell r="U44">
            <v>2020.2</v>
          </cell>
          <cell r="V44">
            <v>2246.4</v>
          </cell>
          <cell r="W44">
            <v>2694.9</v>
          </cell>
          <cell r="X44">
            <v>3138.2000000000003</v>
          </cell>
          <cell r="Y44">
            <v>4468.1000000000004</v>
          </cell>
          <cell r="Z44">
            <v>4390.1000000000004</v>
          </cell>
          <cell r="AA44">
            <v>4347.2</v>
          </cell>
          <cell r="AB44">
            <v>3862.3</v>
          </cell>
          <cell r="AC44">
            <v>2616.9</v>
          </cell>
          <cell r="AD44">
            <v>1831.7</v>
          </cell>
          <cell r="AE44">
            <v>1666.6000000000001</v>
          </cell>
        </row>
        <row r="45">
          <cell r="G45">
            <v>474.93825094095956</v>
          </cell>
          <cell r="H45">
            <v>125.55342428746027</v>
          </cell>
          <cell r="I45">
            <v>239.38975865025668</v>
          </cell>
          <cell r="J45">
            <v>86.494038342320181</v>
          </cell>
          <cell r="K45">
            <v>253.07778115310504</v>
          </cell>
          <cell r="L45">
            <v>443.40968982992769</v>
          </cell>
          <cell r="M45">
            <v>238.40668933003624</v>
          </cell>
          <cell r="N45">
            <v>450.83862929341456</v>
          </cell>
          <cell r="O45">
            <v>732.37259269994001</v>
          </cell>
          <cell r="P45">
            <v>865.92745922778568</v>
          </cell>
          <cell r="Q45">
            <v>1098.5131099856153</v>
          </cell>
          <cell r="R45">
            <v>785.96545249482699</v>
          </cell>
          <cell r="S45">
            <v>745.40877474760293</v>
          </cell>
          <cell r="T45">
            <v>685.7461288484983</v>
          </cell>
          <cell r="U45">
            <v>667.72203160881213</v>
          </cell>
          <cell r="V45">
            <v>593.63332238391354</v>
          </cell>
          <cell r="W45">
            <v>1035.9518784735571</v>
          </cell>
          <cell r="X45">
            <v>903.3500469773611</v>
          </cell>
          <cell r="Y45">
            <v>893.8619142539435</v>
          </cell>
          <cell r="Z45">
            <v>928.12087639779793</v>
          </cell>
          <cell r="AA45">
            <v>772.11945727824411</v>
          </cell>
          <cell r="AB45">
            <v>709.88601514140555</v>
          </cell>
          <cell r="AC45">
            <v>356.68663359518177</v>
          </cell>
          <cell r="AD45">
            <v>136.66696241508441</v>
          </cell>
          <cell r="AE45">
            <v>367.84636582419688</v>
          </cell>
        </row>
        <row r="46">
          <cell r="G46">
            <v>26.061749059040462</v>
          </cell>
          <cell r="H46">
            <v>31.446575712539726</v>
          </cell>
          <cell r="I46">
            <v>24.610241349743323</v>
          </cell>
          <cell r="J46">
            <v>33.505961657679826</v>
          </cell>
          <cell r="K46">
            <v>42.922218846894957</v>
          </cell>
          <cell r="L46">
            <v>33.5903101700723</v>
          </cell>
          <cell r="M46">
            <v>45.593310669963749</v>
          </cell>
          <cell r="N46">
            <v>61.161370706585451</v>
          </cell>
          <cell r="O46">
            <v>69.627407300060014</v>
          </cell>
          <cell r="P46">
            <v>82.072540772214268</v>
          </cell>
          <cell r="Q46">
            <v>66.486890014384684</v>
          </cell>
          <cell r="R46">
            <v>65.034547505173009</v>
          </cell>
          <cell r="S46">
            <v>62.591225252397024</v>
          </cell>
          <cell r="T46">
            <v>62.253871151501713</v>
          </cell>
          <cell r="U46">
            <v>60.277968391187819</v>
          </cell>
          <cell r="V46">
            <v>85.366677616086406</v>
          </cell>
          <cell r="W46">
            <v>79.048121526442912</v>
          </cell>
          <cell r="X46">
            <v>79.649953022638883</v>
          </cell>
          <cell r="Y46">
            <v>82.138085746056518</v>
          </cell>
          <cell r="Z46">
            <v>73.879123602202057</v>
          </cell>
          <cell r="AA46">
            <v>69.880542721755916</v>
          </cell>
          <cell r="AB46">
            <v>49.113984858594421</v>
          </cell>
          <cell r="AC46">
            <v>37.313366404818197</v>
          </cell>
          <cell r="AD46">
            <v>52.333037584915587</v>
          </cell>
          <cell r="AE46">
            <v>68.15363417580312</v>
          </cell>
        </row>
        <row r="47">
          <cell r="G47">
            <v>667</v>
          </cell>
          <cell r="H47">
            <v>514</v>
          </cell>
          <cell r="I47">
            <v>441</v>
          </cell>
          <cell r="J47">
            <v>480</v>
          </cell>
          <cell r="K47">
            <v>505</v>
          </cell>
          <cell r="L47">
            <v>653</v>
          </cell>
          <cell r="M47">
            <v>1021</v>
          </cell>
          <cell r="N47">
            <v>1453</v>
          </cell>
          <cell r="O47">
            <v>1871</v>
          </cell>
          <cell r="P47">
            <v>1772</v>
          </cell>
          <cell r="Q47">
            <v>1749</v>
          </cell>
          <cell r="R47">
            <v>1681</v>
          </cell>
          <cell r="S47">
            <v>1919</v>
          </cell>
          <cell r="T47">
            <v>1736</v>
          </cell>
          <cell r="U47">
            <v>1195</v>
          </cell>
          <cell r="V47">
            <v>922</v>
          </cell>
          <cell r="W47">
            <v>972</v>
          </cell>
          <cell r="X47">
            <v>827</v>
          </cell>
          <cell r="Y47">
            <v>697</v>
          </cell>
          <cell r="Z47">
            <v>641</v>
          </cell>
          <cell r="AA47">
            <v>611</v>
          </cell>
          <cell r="AB47">
            <v>593</v>
          </cell>
          <cell r="AC47">
            <v>437</v>
          </cell>
          <cell r="AD47">
            <v>290</v>
          </cell>
          <cell r="AE47">
            <v>325</v>
          </cell>
        </row>
        <row r="54">
          <cell r="G54">
            <v>29614.268</v>
          </cell>
          <cell r="H54">
            <v>32248.535</v>
          </cell>
          <cell r="I54">
            <v>34559.441999999995</v>
          </cell>
          <cell r="J54">
            <v>42040.175999999999</v>
          </cell>
          <cell r="K54">
            <v>48415.591999999997</v>
          </cell>
          <cell r="L54">
            <v>44234.157999999996</v>
          </cell>
          <cell r="M54">
            <v>57584.008000000002</v>
          </cell>
          <cell r="N54">
            <v>61360.741000000002</v>
          </cell>
          <cell r="O54">
            <v>63637.876000000004</v>
          </cell>
          <cell r="P54">
            <v>54867.252999999997</v>
          </cell>
          <cell r="Q54">
            <v>57384.413</v>
          </cell>
          <cell r="R54">
            <v>56006.91</v>
          </cell>
          <cell r="S54">
            <v>58939.248</v>
          </cell>
          <cell r="T54">
            <v>56527.233</v>
          </cell>
          <cell r="U54">
            <v>51608.513999999996</v>
          </cell>
          <cell r="V54">
            <v>52738.448000000004</v>
          </cell>
          <cell r="W54">
            <v>59782.093000000001</v>
          </cell>
          <cell r="X54">
            <v>67688.774000000005</v>
          </cell>
          <cell r="Y54">
            <v>74522.816999999995</v>
          </cell>
          <cell r="Z54">
            <v>84872.357000000004</v>
          </cell>
          <cell r="AA54">
            <v>75289.903999999995</v>
          </cell>
          <cell r="AB54">
            <v>57664.510999999999</v>
          </cell>
          <cell r="AC54">
            <v>34509.633000000002</v>
          </cell>
          <cell r="AD54">
            <v>24099.069</v>
          </cell>
          <cell r="AE54">
            <v>24846.962</v>
          </cell>
        </row>
        <row r="55">
          <cell r="G55">
            <v>18929.763197074921</v>
          </cell>
          <cell r="H55">
            <v>19012.285997102455</v>
          </cell>
          <cell r="I55">
            <v>22080.05399967837</v>
          </cell>
          <cell r="J55">
            <v>28601.778161129085</v>
          </cell>
          <cell r="K55">
            <v>27202.893689869059</v>
          </cell>
          <cell r="L55">
            <v>12390.210937882894</v>
          </cell>
          <cell r="M55">
            <v>12173.152842775997</v>
          </cell>
          <cell r="N55">
            <v>12361.89700061282</v>
          </cell>
          <cell r="O55">
            <v>17122.743158401601</v>
          </cell>
          <cell r="P55">
            <v>18662.733640245107</v>
          </cell>
          <cell r="Q55">
            <v>21954.730458996564</v>
          </cell>
          <cell r="R55">
            <v>20000.57314201623</v>
          </cell>
          <cell r="S55">
            <v>20642.129902132976</v>
          </cell>
          <cell r="T55">
            <v>18328.494801049026</v>
          </cell>
          <cell r="U55">
            <v>14151.270582179823</v>
          </cell>
          <cell r="V55">
            <v>14626.267683576692</v>
          </cell>
          <cell r="W55">
            <v>12028.647109827845</v>
          </cell>
          <cell r="X55">
            <v>13046.576324182057</v>
          </cell>
          <cell r="Y55">
            <v>13957.232094298251</v>
          </cell>
          <cell r="Z55">
            <v>13931.004497270837</v>
          </cell>
          <cell r="AA55">
            <v>15900.995334173014</v>
          </cell>
          <cell r="AB55">
            <v>15570.247880584542</v>
          </cell>
          <cell r="AC55">
            <v>11944.723214001346</v>
          </cell>
          <cell r="AD55">
            <v>4141.9202192737603</v>
          </cell>
          <cell r="AE55">
            <v>4082.3550519108021</v>
          </cell>
        </row>
        <row r="56">
          <cell r="G56">
            <v>1541.8068029250769</v>
          </cell>
          <cell r="H56">
            <v>1789.2040028975434</v>
          </cell>
          <cell r="I56">
            <v>2697.4260003216259</v>
          </cell>
          <cell r="J56">
            <v>2452.6218388709185</v>
          </cell>
          <cell r="K56">
            <v>1250.8263101309403</v>
          </cell>
          <cell r="L56">
            <v>1272.6790621171076</v>
          </cell>
          <cell r="M56">
            <v>1783.7271572240043</v>
          </cell>
          <cell r="N56">
            <v>2321.94299938718</v>
          </cell>
          <cell r="O56">
            <v>2678.3968415983995</v>
          </cell>
          <cell r="P56">
            <v>3071.6263597548932</v>
          </cell>
          <cell r="Q56">
            <v>2881.3195410034377</v>
          </cell>
          <cell r="R56">
            <v>2811.4968579837696</v>
          </cell>
          <cell r="S56">
            <v>2476.4300978670262</v>
          </cell>
          <cell r="T56">
            <v>2052.8651989509744</v>
          </cell>
          <cell r="U56">
            <v>2155.6894178201746</v>
          </cell>
          <cell r="V56">
            <v>2035.7623164233073</v>
          </cell>
          <cell r="W56">
            <v>2249.9028901721549</v>
          </cell>
          <cell r="X56">
            <v>2341.7336758179449</v>
          </cell>
          <cell r="Y56">
            <v>2340.0879057017487</v>
          </cell>
          <cell r="Z56">
            <v>2581.1355027291629</v>
          </cell>
          <cell r="AA56">
            <v>2450.9446658269858</v>
          </cell>
          <cell r="AB56">
            <v>2125.3821194154557</v>
          </cell>
          <cell r="AC56">
            <v>1478.8567859986533</v>
          </cell>
          <cell r="AD56">
            <v>1471.80978072624</v>
          </cell>
          <cell r="AE56">
            <v>1909.1649480891979</v>
          </cell>
        </row>
        <row r="57">
          <cell r="G57">
            <v>8065.1900000000005</v>
          </cell>
          <cell r="H57">
            <v>7680.98</v>
          </cell>
          <cell r="I57">
            <v>8859.369999999999</v>
          </cell>
          <cell r="J57">
            <v>9760.6</v>
          </cell>
          <cell r="K57">
            <v>11657.85</v>
          </cell>
          <cell r="L57">
            <v>11534.21</v>
          </cell>
          <cell r="M57">
            <v>13344.97</v>
          </cell>
          <cell r="N57">
            <v>16910.21</v>
          </cell>
          <cell r="O57">
            <v>19707.47</v>
          </cell>
          <cell r="P57">
            <v>18879.04</v>
          </cell>
          <cell r="Q57">
            <v>16372.93</v>
          </cell>
          <cell r="R57">
            <v>16578.169999999998</v>
          </cell>
          <cell r="S57">
            <v>17170.830000000002</v>
          </cell>
          <cell r="T57">
            <v>13873.52</v>
          </cell>
          <cell r="U57">
            <v>9050.15</v>
          </cell>
          <cell r="V57">
            <v>6886.54</v>
          </cell>
          <cell r="W57">
            <v>7046.04</v>
          </cell>
          <cell r="X57">
            <v>6539.3899999999994</v>
          </cell>
          <cell r="Y57">
            <v>6359.29</v>
          </cell>
          <cell r="Z57">
            <v>6381.37</v>
          </cell>
          <cell r="AA57">
            <v>6080.27</v>
          </cell>
          <cell r="AB57">
            <v>4894.01</v>
          </cell>
          <cell r="AC57">
            <v>3674.09</v>
          </cell>
          <cell r="AD57">
            <v>2014.3</v>
          </cell>
          <cell r="AE57">
            <v>1796.25</v>
          </cell>
        </row>
      </sheetData>
      <sheetData sheetId="4">
        <row r="24">
          <cell r="G24">
            <v>19224</v>
          </cell>
          <cell r="H24">
            <v>20881</v>
          </cell>
          <cell r="I24">
            <v>22030</v>
          </cell>
          <cell r="J24">
            <v>26693</v>
          </cell>
          <cell r="K24">
            <v>29534</v>
          </cell>
          <cell r="L24">
            <v>25256</v>
          </cell>
          <cell r="M24">
            <v>32825</v>
          </cell>
          <cell r="N24">
            <v>33591</v>
          </cell>
          <cell r="O24">
            <v>34363</v>
          </cell>
          <cell r="P24">
            <v>28330</v>
          </cell>
          <cell r="Q24">
            <v>28658</v>
          </cell>
          <cell r="R24">
            <v>28846</v>
          </cell>
          <cell r="S24">
            <v>29714</v>
          </cell>
          <cell r="T24">
            <v>28101</v>
          </cell>
          <cell r="U24">
            <v>25350</v>
          </cell>
          <cell r="V24">
            <v>26054</v>
          </cell>
          <cell r="W24">
            <v>30098</v>
          </cell>
          <cell r="X24">
            <v>34243</v>
          </cell>
          <cell r="Y24">
            <v>36326</v>
          </cell>
          <cell r="Z24">
            <v>40247</v>
          </cell>
          <cell r="AA24">
            <v>36985</v>
          </cell>
          <cell r="AB24">
            <v>30373</v>
          </cell>
          <cell r="AC24">
            <v>18826</v>
          </cell>
          <cell r="AD24">
            <v>13391</v>
          </cell>
          <cell r="AE24">
            <v>14886</v>
          </cell>
        </row>
        <row r="25">
          <cell r="G25">
            <v>14869.183557824352</v>
          </cell>
          <cell r="H25">
            <v>15220.21190520253</v>
          </cell>
          <cell r="I25">
            <v>18940.327900324999</v>
          </cell>
          <cell r="J25">
            <v>18837.087988326672</v>
          </cell>
          <cell r="K25">
            <v>17883.866659845167</v>
          </cell>
          <cell r="L25">
            <v>8123.2235993523336</v>
          </cell>
          <cell r="M25">
            <v>7903.1488702815295</v>
          </cell>
          <cell r="N25">
            <v>7592.1801314599406</v>
          </cell>
          <cell r="O25">
            <v>9401.6361134168346</v>
          </cell>
          <cell r="P25">
            <v>9701.2779324751245</v>
          </cell>
          <cell r="Q25">
            <v>11104.526723200062</v>
          </cell>
          <cell r="R25">
            <v>10897.632074550364</v>
          </cell>
          <cell r="S25">
            <v>12645.60766842474</v>
          </cell>
          <cell r="T25">
            <v>11965.262831791384</v>
          </cell>
          <cell r="U25">
            <v>10483.919915783859</v>
          </cell>
          <cell r="V25">
            <v>9971.9026959155963</v>
          </cell>
          <cell r="W25">
            <v>7253.9578552287549</v>
          </cell>
          <cell r="X25">
            <v>7119.6062546632547</v>
          </cell>
          <cell r="Y25">
            <v>7985.0504417912043</v>
          </cell>
          <cell r="Z25">
            <v>8677.2745487052198</v>
          </cell>
          <cell r="AA25">
            <v>9569.5883473366248</v>
          </cell>
          <cell r="AB25">
            <v>10771.842399662728</v>
          </cell>
          <cell r="AC25">
            <v>8763.9200796845034</v>
          </cell>
          <cell r="AD25">
            <v>2981.3702838569475</v>
          </cell>
          <cell r="AE25">
            <v>3522.5521445353306</v>
          </cell>
        </row>
        <row r="26">
          <cell r="G26">
            <v>968.81644217564758</v>
          </cell>
          <cell r="H26">
            <v>1167.7880947974693</v>
          </cell>
          <cell r="I26">
            <v>1180.6720996750003</v>
          </cell>
          <cell r="J26">
            <v>1129.91201167333</v>
          </cell>
          <cell r="K26">
            <v>657.13334015483224</v>
          </cell>
          <cell r="L26">
            <v>654.77640064766615</v>
          </cell>
          <cell r="M26">
            <v>652.8511297184707</v>
          </cell>
          <cell r="N26">
            <v>756.81986854005959</v>
          </cell>
          <cell r="O26">
            <v>787.36388658316514</v>
          </cell>
          <cell r="P26">
            <v>872.72206752487591</v>
          </cell>
          <cell r="Q26">
            <v>879.4732767999385</v>
          </cell>
          <cell r="R26">
            <v>984.36792544963578</v>
          </cell>
          <cell r="S26">
            <v>957.39233157526019</v>
          </cell>
          <cell r="T26">
            <v>887.73716820861637</v>
          </cell>
          <cell r="U26">
            <v>863.08008421613988</v>
          </cell>
          <cell r="V26">
            <v>722.09730408440362</v>
          </cell>
          <cell r="W26">
            <v>726.04214477124526</v>
          </cell>
          <cell r="X26">
            <v>786.3937453367455</v>
          </cell>
          <cell r="Y26">
            <v>838.94955820879602</v>
          </cell>
          <cell r="Z26">
            <v>904.72545129478021</v>
          </cell>
          <cell r="AA26">
            <v>978.41165266337521</v>
          </cell>
          <cell r="AB26">
            <v>852.15760033727156</v>
          </cell>
          <cell r="AC26">
            <v>520.07992031549577</v>
          </cell>
          <cell r="AD26">
            <v>564.62971614305252</v>
          </cell>
          <cell r="AE26">
            <v>705.44785546466926</v>
          </cell>
        </row>
        <row r="27">
          <cell r="G27">
            <v>4550</v>
          </cell>
          <cell r="H27">
            <v>3873</v>
          </cell>
          <cell r="I27">
            <v>4184</v>
          </cell>
          <cell r="J27">
            <v>4397</v>
          </cell>
          <cell r="K27">
            <v>5645</v>
          </cell>
          <cell r="L27">
            <v>5353</v>
          </cell>
          <cell r="M27">
            <v>5964</v>
          </cell>
          <cell r="N27">
            <v>6849</v>
          </cell>
          <cell r="O27">
            <v>7332</v>
          </cell>
          <cell r="P27">
            <v>7252</v>
          </cell>
          <cell r="Q27">
            <v>6257</v>
          </cell>
          <cell r="R27">
            <v>6419</v>
          </cell>
          <cell r="S27">
            <v>6874</v>
          </cell>
          <cell r="T27">
            <v>5339</v>
          </cell>
          <cell r="U27">
            <v>3853</v>
          </cell>
          <cell r="V27">
            <v>2971</v>
          </cell>
          <cell r="W27">
            <v>2933</v>
          </cell>
          <cell r="X27">
            <v>2868</v>
          </cell>
          <cell r="Y27">
            <v>2705</v>
          </cell>
          <cell r="Z27">
            <v>2723</v>
          </cell>
          <cell r="AA27">
            <v>2653</v>
          </cell>
          <cell r="AB27">
            <v>2063</v>
          </cell>
          <cell r="AC27">
            <v>1621</v>
          </cell>
          <cell r="AD27">
            <v>859</v>
          </cell>
          <cell r="AE27">
            <v>681</v>
          </cell>
        </row>
        <row r="34">
          <cell r="G34">
            <v>2868</v>
          </cell>
          <cell r="H34">
            <v>2692</v>
          </cell>
          <cell r="I34">
            <v>2813</v>
          </cell>
          <cell r="J34">
            <v>3536</v>
          </cell>
          <cell r="K34">
            <v>4754</v>
          </cell>
          <cell r="L34">
            <v>5803</v>
          </cell>
          <cell r="M34">
            <v>8453</v>
          </cell>
          <cell r="N34">
            <v>9522</v>
          </cell>
          <cell r="O34">
            <v>10120</v>
          </cell>
          <cell r="P34">
            <v>8784</v>
          </cell>
          <cell r="Q34">
            <v>9538</v>
          </cell>
          <cell r="R34">
            <v>9107</v>
          </cell>
          <cell r="S34">
            <v>10575</v>
          </cell>
          <cell r="T34">
            <v>10544</v>
          </cell>
          <cell r="U34">
            <v>9631</v>
          </cell>
          <cell r="V34">
            <v>9441</v>
          </cell>
          <cell r="W34">
            <v>10730</v>
          </cell>
          <cell r="X34">
            <v>12976</v>
          </cell>
          <cell r="Y34">
            <v>15094</v>
          </cell>
          <cell r="Z34">
            <v>18771</v>
          </cell>
          <cell r="AA34">
            <v>15444</v>
          </cell>
          <cell r="AB34">
            <v>9693</v>
          </cell>
          <cell r="AC34">
            <v>6027</v>
          </cell>
          <cell r="AD34">
            <v>4336</v>
          </cell>
          <cell r="AE34">
            <v>3706</v>
          </cell>
        </row>
        <row r="35">
          <cell r="G35">
            <v>848.82991832591654</v>
          </cell>
          <cell r="H35">
            <v>518.17882714524762</v>
          </cell>
          <cell r="I35">
            <v>288.37484437276629</v>
          </cell>
          <cell r="J35">
            <v>818.68632809921849</v>
          </cell>
          <cell r="K35">
            <v>922.54881309467987</v>
          </cell>
          <cell r="L35">
            <v>713.12107820425172</v>
          </cell>
          <cell r="M35">
            <v>1322.6430437243826</v>
          </cell>
          <cell r="N35">
            <v>1874.8440142054371</v>
          </cell>
          <cell r="O35">
            <v>2484.0690897878753</v>
          </cell>
          <cell r="P35">
            <v>1754.5624245646084</v>
          </cell>
          <cell r="Q35">
            <v>1502.6818009503679</v>
          </cell>
          <cell r="R35">
            <v>1099.0598706051132</v>
          </cell>
          <cell r="S35">
            <v>998.51700550573537</v>
          </cell>
          <cell r="T35">
            <v>1279.6542411025091</v>
          </cell>
          <cell r="U35">
            <v>931.97705912690287</v>
          </cell>
          <cell r="V35">
            <v>1416.4873706075907</v>
          </cell>
          <cell r="W35">
            <v>1622.1096316302473</v>
          </cell>
          <cell r="X35">
            <v>1725.2037386728252</v>
          </cell>
          <cell r="Y35">
            <v>1627.7922787378966</v>
          </cell>
          <cell r="Z35">
            <v>1461.0310065714518</v>
          </cell>
          <cell r="AA35">
            <v>1503.1641209172849</v>
          </cell>
          <cell r="AB35">
            <v>1434.6085653222435</v>
          </cell>
          <cell r="AC35">
            <v>616.53672479350837</v>
          </cell>
          <cell r="AD35">
            <v>410.6655928821981</v>
          </cell>
          <cell r="AE35">
            <v>283.5340494616637</v>
          </cell>
        </row>
        <row r="36">
          <cell r="G36">
            <v>45.170081674083427</v>
          </cell>
          <cell r="H36">
            <v>35.82117285475239</v>
          </cell>
          <cell r="I36">
            <v>62.625155627233696</v>
          </cell>
          <cell r="J36">
            <v>68.313671900781529</v>
          </cell>
          <cell r="K36">
            <v>60.451186905320142</v>
          </cell>
          <cell r="L36">
            <v>93.878921795748312</v>
          </cell>
          <cell r="M36">
            <v>125.35695627561738</v>
          </cell>
          <cell r="N36">
            <v>157.15598579456281</v>
          </cell>
          <cell r="O36">
            <v>120.93091021212476</v>
          </cell>
          <cell r="P36">
            <v>108.43757543539168</v>
          </cell>
          <cell r="Q36">
            <v>88.318199049632</v>
          </cell>
          <cell r="R36">
            <v>84.940129394886824</v>
          </cell>
          <cell r="S36">
            <v>100.48299449426467</v>
          </cell>
          <cell r="T36">
            <v>84.345758897490967</v>
          </cell>
          <cell r="U36">
            <v>113.02294087309717</v>
          </cell>
          <cell r="V36">
            <v>126.51262939240925</v>
          </cell>
          <cell r="W36">
            <v>133.89036836975254</v>
          </cell>
          <cell r="X36">
            <v>129.79626132717482</v>
          </cell>
          <cell r="Y36">
            <v>122.20772126210333</v>
          </cell>
          <cell r="Z36">
            <v>125.96899342854817</v>
          </cell>
          <cell r="AA36">
            <v>120.8358790827151</v>
          </cell>
          <cell r="AB36">
            <v>73.391434677756436</v>
          </cell>
          <cell r="AC36">
            <v>61.463275206491645</v>
          </cell>
          <cell r="AD36">
            <v>55.334407117801909</v>
          </cell>
          <cell r="AE36">
            <v>72.465950538336273</v>
          </cell>
        </row>
        <row r="37">
          <cell r="G37">
            <v>838</v>
          </cell>
          <cell r="H37">
            <v>605</v>
          </cell>
          <cell r="I37">
            <v>572</v>
          </cell>
          <cell r="J37">
            <v>703</v>
          </cell>
          <cell r="K37">
            <v>820</v>
          </cell>
          <cell r="L37">
            <v>1089</v>
          </cell>
          <cell r="M37">
            <v>1696</v>
          </cell>
          <cell r="N37">
            <v>2779</v>
          </cell>
          <cell r="O37">
            <v>3712</v>
          </cell>
          <cell r="P37">
            <v>3167</v>
          </cell>
          <cell r="Q37">
            <v>2635</v>
          </cell>
          <cell r="R37">
            <v>2634</v>
          </cell>
          <cell r="S37">
            <v>2980</v>
          </cell>
          <cell r="T37">
            <v>2343</v>
          </cell>
          <cell r="U37">
            <v>1317</v>
          </cell>
          <cell r="V37">
            <v>998</v>
          </cell>
          <cell r="W37">
            <v>1042</v>
          </cell>
          <cell r="X37">
            <v>785</v>
          </cell>
          <cell r="Y37">
            <v>765</v>
          </cell>
          <cell r="Z37">
            <v>798</v>
          </cell>
          <cell r="AA37">
            <v>849</v>
          </cell>
          <cell r="AB37">
            <v>721</v>
          </cell>
          <cell r="AC37">
            <v>526</v>
          </cell>
          <cell r="AD37">
            <v>273</v>
          </cell>
          <cell r="AE37">
            <v>283</v>
          </cell>
        </row>
        <row r="44">
          <cell r="G44">
            <v>972.4</v>
          </cell>
          <cell r="H44">
            <v>825.5</v>
          </cell>
          <cell r="I44">
            <v>730.6</v>
          </cell>
          <cell r="J44">
            <v>696.80000000000007</v>
          </cell>
          <cell r="K44">
            <v>925.6</v>
          </cell>
          <cell r="L44">
            <v>1349.4</v>
          </cell>
          <cell r="M44">
            <v>2454.4</v>
          </cell>
          <cell r="N44">
            <v>2601.3000000000002</v>
          </cell>
          <cell r="O44">
            <v>2906.8</v>
          </cell>
          <cell r="P44">
            <v>2382.9</v>
          </cell>
          <cell r="Q44">
            <v>2070.9</v>
          </cell>
          <cell r="R44">
            <v>1963</v>
          </cell>
          <cell r="S44">
            <v>1986.4</v>
          </cell>
          <cell r="T44">
            <v>2096.9</v>
          </cell>
          <cell r="U44">
            <v>2020.2</v>
          </cell>
          <cell r="V44">
            <v>2246.4</v>
          </cell>
          <cell r="W44">
            <v>2694.9</v>
          </cell>
          <cell r="X44">
            <v>3138.2000000000003</v>
          </cell>
          <cell r="Y44">
            <v>4468.1000000000004</v>
          </cell>
          <cell r="Z44">
            <v>4390.1000000000004</v>
          </cell>
          <cell r="AA44">
            <v>4347.2</v>
          </cell>
          <cell r="AB44">
            <v>3862.3</v>
          </cell>
          <cell r="AC44">
            <v>2616.9</v>
          </cell>
          <cell r="AD44">
            <v>1831.7</v>
          </cell>
          <cell r="AE44">
            <v>1666.6000000000001</v>
          </cell>
        </row>
        <row r="45">
          <cell r="G45">
            <v>474.93825094095956</v>
          </cell>
          <cell r="H45">
            <v>125.55342428746027</v>
          </cell>
          <cell r="I45">
            <v>239.38975865025668</v>
          </cell>
          <cell r="J45">
            <v>86.494038342320181</v>
          </cell>
          <cell r="K45">
            <v>253.07778115310504</v>
          </cell>
          <cell r="L45">
            <v>443.40968982992769</v>
          </cell>
          <cell r="M45">
            <v>238.40668933003624</v>
          </cell>
          <cell r="N45">
            <v>450.83862929341456</v>
          </cell>
          <cell r="O45">
            <v>732.37259269994001</v>
          </cell>
          <cell r="P45">
            <v>865.92745922778568</v>
          </cell>
          <cell r="Q45">
            <v>1098.5131099856153</v>
          </cell>
          <cell r="R45">
            <v>785.96545249482699</v>
          </cell>
          <cell r="S45">
            <v>745.40877474760293</v>
          </cell>
          <cell r="T45">
            <v>685.7461288484983</v>
          </cell>
          <cell r="U45">
            <v>667.72203160881213</v>
          </cell>
          <cell r="V45">
            <v>593.63332238391354</v>
          </cell>
          <cell r="W45">
            <v>1035.9518784735571</v>
          </cell>
          <cell r="X45">
            <v>903.3500469773611</v>
          </cell>
          <cell r="Y45">
            <v>893.8619142539435</v>
          </cell>
          <cell r="Z45">
            <v>928.12087639779793</v>
          </cell>
          <cell r="AA45">
            <v>772.11945727824411</v>
          </cell>
          <cell r="AB45">
            <v>709.88601514140555</v>
          </cell>
          <cell r="AC45">
            <v>356.68663359518177</v>
          </cell>
          <cell r="AD45">
            <v>136.66696241508441</v>
          </cell>
          <cell r="AE45">
            <v>367.84636582419688</v>
          </cell>
        </row>
        <row r="46">
          <cell r="G46">
            <v>26.061749059040462</v>
          </cell>
          <cell r="H46">
            <v>31.446575712539726</v>
          </cell>
          <cell r="I46">
            <v>24.610241349743323</v>
          </cell>
          <cell r="J46">
            <v>33.505961657679826</v>
          </cell>
          <cell r="K46">
            <v>42.922218846894957</v>
          </cell>
          <cell r="L46">
            <v>33.5903101700723</v>
          </cell>
          <cell r="M46">
            <v>45.593310669963749</v>
          </cell>
          <cell r="N46">
            <v>61.161370706585451</v>
          </cell>
          <cell r="O46">
            <v>69.627407300060014</v>
          </cell>
          <cell r="P46">
            <v>82.072540772214268</v>
          </cell>
          <cell r="Q46">
            <v>66.486890014384684</v>
          </cell>
          <cell r="R46">
            <v>65.034547505173009</v>
          </cell>
          <cell r="S46">
            <v>62.591225252397024</v>
          </cell>
          <cell r="T46">
            <v>62.253871151501713</v>
          </cell>
          <cell r="U46">
            <v>60.277968391187819</v>
          </cell>
          <cell r="V46">
            <v>85.366677616086406</v>
          </cell>
          <cell r="W46">
            <v>79.048121526442912</v>
          </cell>
          <cell r="X46">
            <v>79.649953022638883</v>
          </cell>
          <cell r="Y46">
            <v>82.138085746056518</v>
          </cell>
          <cell r="Z46">
            <v>73.879123602202057</v>
          </cell>
          <cell r="AA46">
            <v>69.880542721755916</v>
          </cell>
          <cell r="AB46">
            <v>49.113984858594421</v>
          </cell>
          <cell r="AC46">
            <v>37.313366404818197</v>
          </cell>
          <cell r="AD46">
            <v>52.333037584915587</v>
          </cell>
          <cell r="AE46">
            <v>68.15363417580312</v>
          </cell>
        </row>
        <row r="47">
          <cell r="G47">
            <v>667</v>
          </cell>
          <cell r="H47">
            <v>514</v>
          </cell>
          <cell r="I47">
            <v>441</v>
          </cell>
          <cell r="J47">
            <v>480</v>
          </cell>
          <cell r="K47">
            <v>505</v>
          </cell>
          <cell r="L47">
            <v>653</v>
          </cell>
          <cell r="M47">
            <v>1021</v>
          </cell>
          <cell r="N47">
            <v>1453</v>
          </cell>
          <cell r="O47">
            <v>1871</v>
          </cell>
          <cell r="P47">
            <v>1772</v>
          </cell>
          <cell r="Q47">
            <v>1749</v>
          </cell>
          <cell r="R47">
            <v>1681</v>
          </cell>
          <cell r="S47">
            <v>1919</v>
          </cell>
          <cell r="T47">
            <v>1736</v>
          </cell>
          <cell r="U47">
            <v>1195</v>
          </cell>
          <cell r="V47">
            <v>922</v>
          </cell>
          <cell r="W47">
            <v>972</v>
          </cell>
          <cell r="X47">
            <v>827</v>
          </cell>
          <cell r="Y47">
            <v>697</v>
          </cell>
          <cell r="Z47">
            <v>641</v>
          </cell>
          <cell r="AA47">
            <v>611</v>
          </cell>
          <cell r="AB47">
            <v>593</v>
          </cell>
          <cell r="AC47">
            <v>437</v>
          </cell>
          <cell r="AD47">
            <v>290</v>
          </cell>
          <cell r="AE47">
            <v>325</v>
          </cell>
        </row>
        <row r="54">
          <cell r="G54">
            <v>29614.268</v>
          </cell>
          <cell r="H54">
            <v>32248.535</v>
          </cell>
          <cell r="I54">
            <v>34559.442000000003</v>
          </cell>
          <cell r="J54">
            <v>42040.175999999999</v>
          </cell>
          <cell r="K54">
            <v>48415.591999999997</v>
          </cell>
          <cell r="L54">
            <v>44234.158000000003</v>
          </cell>
          <cell r="M54">
            <v>57584.008000000002</v>
          </cell>
          <cell r="N54">
            <v>61360.741000000002</v>
          </cell>
          <cell r="O54">
            <v>63637.875999999997</v>
          </cell>
          <cell r="P54">
            <v>54867.252999999997</v>
          </cell>
          <cell r="Q54">
            <v>57384.413</v>
          </cell>
          <cell r="R54">
            <v>56006.91</v>
          </cell>
          <cell r="S54">
            <v>58939.248</v>
          </cell>
          <cell r="T54">
            <v>56527.233</v>
          </cell>
          <cell r="U54">
            <v>51608.514000000003</v>
          </cell>
          <cell r="V54">
            <v>52738.447999999997</v>
          </cell>
          <cell r="W54">
            <v>59782.093000000001</v>
          </cell>
          <cell r="X54">
            <v>67688.774000000005</v>
          </cell>
          <cell r="Y54">
            <v>74522.816999999995</v>
          </cell>
          <cell r="Z54">
            <v>84872.357000000004</v>
          </cell>
          <cell r="AA54">
            <v>75289.903999999995</v>
          </cell>
          <cell r="AB54">
            <v>57664.510999999999</v>
          </cell>
          <cell r="AC54">
            <v>34509.633000000002</v>
          </cell>
          <cell r="AD54">
            <v>24099.069</v>
          </cell>
          <cell r="AE54">
            <v>24846.962</v>
          </cell>
        </row>
        <row r="55">
          <cell r="G55">
            <v>18929.763197074921</v>
          </cell>
          <cell r="H55">
            <v>19012.285997102455</v>
          </cell>
          <cell r="I55">
            <v>22080.053999678374</v>
          </cell>
          <cell r="J55">
            <v>28601.778161129085</v>
          </cell>
          <cell r="K55">
            <v>27202.893689869055</v>
          </cell>
          <cell r="L55">
            <v>12390.21093788289</v>
          </cell>
          <cell r="M55">
            <v>12173.152842775997</v>
          </cell>
          <cell r="N55">
            <v>12361.89700061282</v>
          </cell>
          <cell r="O55">
            <v>17122.743158401601</v>
          </cell>
          <cell r="P55">
            <v>18662.733640245107</v>
          </cell>
          <cell r="Q55">
            <v>21954.730458996564</v>
          </cell>
          <cell r="R55">
            <v>20000.57314201623</v>
          </cell>
          <cell r="S55">
            <v>20642.129902132972</v>
          </cell>
          <cell r="T55">
            <v>18328.494801049026</v>
          </cell>
          <cell r="U55">
            <v>14151.270582179823</v>
          </cell>
          <cell r="V55">
            <v>14626.267683576692</v>
          </cell>
          <cell r="W55">
            <v>12028.647109827847</v>
          </cell>
          <cell r="X55">
            <v>13046.576324182055</v>
          </cell>
          <cell r="Y55">
            <v>13957.232094298253</v>
          </cell>
          <cell r="Z55">
            <v>13931.004497270837</v>
          </cell>
          <cell r="AA55">
            <v>15900.995334173014</v>
          </cell>
          <cell r="AB55">
            <v>15570.247880584542</v>
          </cell>
          <cell r="AC55">
            <v>11944.723214001346</v>
          </cell>
          <cell r="AD55">
            <v>4141.9202192737603</v>
          </cell>
          <cell r="AE55">
            <v>4082.3550519108016</v>
          </cell>
        </row>
        <row r="56">
          <cell r="G56">
            <v>1541.8068029250769</v>
          </cell>
          <cell r="H56">
            <v>1789.2040028975434</v>
          </cell>
          <cell r="I56">
            <v>2697.4260003216255</v>
          </cell>
          <cell r="J56">
            <v>2452.621838870919</v>
          </cell>
          <cell r="K56">
            <v>1250.8263101309401</v>
          </cell>
          <cell r="L56">
            <v>1272.6790621171076</v>
          </cell>
          <cell r="M56">
            <v>1783.7271572240045</v>
          </cell>
          <cell r="N56">
            <v>2321.9429993871795</v>
          </cell>
          <cell r="O56">
            <v>2678.3968415983995</v>
          </cell>
          <cell r="P56">
            <v>3071.6263597548932</v>
          </cell>
          <cell r="Q56">
            <v>2881.3195410034373</v>
          </cell>
          <cell r="R56">
            <v>2811.49685798377</v>
          </cell>
          <cell r="S56">
            <v>2476.4300978670262</v>
          </cell>
          <cell r="T56">
            <v>2052.865198950974</v>
          </cell>
          <cell r="U56">
            <v>2155.6894178201746</v>
          </cell>
          <cell r="V56">
            <v>2035.7623164233071</v>
          </cell>
          <cell r="W56">
            <v>2249.9028901721549</v>
          </cell>
          <cell r="X56">
            <v>2341.7336758179449</v>
          </cell>
          <cell r="Y56">
            <v>2340.0879057017487</v>
          </cell>
          <cell r="Z56">
            <v>2581.1355027291629</v>
          </cell>
          <cell r="AA56">
            <v>2450.9446658269862</v>
          </cell>
          <cell r="AB56">
            <v>2125.3821194154557</v>
          </cell>
          <cell r="AC56">
            <v>1478.8567859986533</v>
          </cell>
          <cell r="AD56">
            <v>1471.80978072624</v>
          </cell>
          <cell r="AE56">
            <v>1909.1649480891979</v>
          </cell>
        </row>
        <row r="57">
          <cell r="G57">
            <v>8065.19</v>
          </cell>
          <cell r="H57">
            <v>7680.98</v>
          </cell>
          <cell r="I57">
            <v>8859.3700000000008</v>
          </cell>
          <cell r="J57">
            <v>9760.6</v>
          </cell>
          <cell r="K57">
            <v>11657.85</v>
          </cell>
          <cell r="L57">
            <v>11534.21</v>
          </cell>
          <cell r="M57">
            <v>13344.97</v>
          </cell>
          <cell r="N57">
            <v>16910.21</v>
          </cell>
          <cell r="O57">
            <v>19707.47</v>
          </cell>
          <cell r="P57">
            <v>18879.04</v>
          </cell>
          <cell r="Q57">
            <v>16372.93</v>
          </cell>
          <cell r="R57">
            <v>16578.169999999998</v>
          </cell>
          <cell r="S57">
            <v>17170.830000000002</v>
          </cell>
          <cell r="T57">
            <v>13873.52</v>
          </cell>
          <cell r="U57">
            <v>9050.15</v>
          </cell>
          <cell r="V57">
            <v>6886.54</v>
          </cell>
          <cell r="W57">
            <v>7046.04</v>
          </cell>
          <cell r="X57">
            <v>6539.39</v>
          </cell>
          <cell r="Y57">
            <v>6359.29</v>
          </cell>
          <cell r="Z57">
            <v>6381.37</v>
          </cell>
          <cell r="AA57">
            <v>6080.27</v>
          </cell>
          <cell r="AB57">
            <v>4894.01</v>
          </cell>
          <cell r="AC57">
            <v>3674.09</v>
          </cell>
          <cell r="AD57">
            <v>2014.3</v>
          </cell>
          <cell r="AE57">
            <v>1796.25</v>
          </cell>
        </row>
        <row r="63">
          <cell r="G63">
            <v>1986</v>
          </cell>
          <cell r="H63">
            <v>1987</v>
          </cell>
          <cell r="I63">
            <v>1988</v>
          </cell>
          <cell r="J63">
            <v>1989</v>
          </cell>
          <cell r="K63">
            <v>1990</v>
          </cell>
          <cell r="L63">
            <v>1991</v>
          </cell>
          <cell r="M63">
            <v>1992</v>
          </cell>
          <cell r="N63">
            <v>1993</v>
          </cell>
          <cell r="O63">
            <v>1994</v>
          </cell>
          <cell r="P63">
            <v>1995</v>
          </cell>
          <cell r="Q63">
            <v>1996</v>
          </cell>
          <cell r="R63">
            <v>1997</v>
          </cell>
          <cell r="S63">
            <v>1998</v>
          </cell>
          <cell r="T63">
            <v>1999</v>
          </cell>
          <cell r="U63">
            <v>2000</v>
          </cell>
          <cell r="V63">
            <v>2001</v>
          </cell>
          <cell r="W63">
            <v>2002</v>
          </cell>
          <cell r="X63">
            <v>2003</v>
          </cell>
          <cell r="Y63">
            <v>2004</v>
          </cell>
          <cell r="Z63">
            <v>2005</v>
          </cell>
          <cell r="AA63">
            <v>2006</v>
          </cell>
          <cell r="AB63">
            <v>2007</v>
          </cell>
          <cell r="AC63">
            <v>2008</v>
          </cell>
          <cell r="AD63">
            <v>2009</v>
          </cell>
          <cell r="AE63">
            <v>2010</v>
          </cell>
        </row>
        <row r="65">
          <cell r="G65">
            <v>1913.6278001779131</v>
          </cell>
          <cell r="H65">
            <v>1919.2670567662774</v>
          </cell>
          <cell r="I65">
            <v>1924.9063133546417</v>
          </cell>
          <cell r="J65">
            <v>1930.5455699430061</v>
          </cell>
          <cell r="K65">
            <v>1936.1848265313704</v>
          </cell>
          <cell r="L65">
            <v>1941.8240831197347</v>
          </cell>
          <cell r="M65">
            <v>1947.4633397080986</v>
          </cell>
          <cell r="N65">
            <v>1979.8855944438292</v>
          </cell>
          <cell r="O65">
            <v>2012.3078491795598</v>
          </cell>
          <cell r="P65">
            <v>2044.7301039152903</v>
          </cell>
          <cell r="Q65">
            <v>2077.1523586510211</v>
          </cell>
          <cell r="R65">
            <v>2109.5746133867519</v>
          </cell>
          <cell r="S65">
            <v>2141.9968681224827</v>
          </cell>
          <cell r="T65">
            <v>2174.4191228582135</v>
          </cell>
          <cell r="U65">
            <v>2206.8413775939443</v>
          </cell>
          <cell r="V65">
            <v>2239.2636323296751</v>
          </cell>
          <cell r="W65">
            <v>2271.685887065406</v>
          </cell>
          <cell r="X65">
            <v>2304.1081418011368</v>
          </cell>
          <cell r="Y65">
            <v>2336.5303965368676</v>
          </cell>
          <cell r="Z65">
            <v>2368.9526512725984</v>
          </cell>
          <cell r="AA65">
            <v>2206.8413775939434</v>
          </cell>
          <cell r="AB65">
            <v>2185.6308440789344</v>
          </cell>
          <cell r="AC65">
            <v>2164.4203105639253</v>
          </cell>
          <cell r="AD65">
            <v>2143.2097770489163</v>
          </cell>
          <cell r="AE65">
            <v>2121.9992435339072</v>
          </cell>
        </row>
        <row r="66">
          <cell r="G66">
            <v>698.06928427699506</v>
          </cell>
          <cell r="H66">
            <v>708.32070921300988</v>
          </cell>
          <cell r="I66">
            <v>718.57213414902469</v>
          </cell>
          <cell r="J66">
            <v>728.82355908503951</v>
          </cell>
          <cell r="K66">
            <v>739.07498402105432</v>
          </cell>
          <cell r="L66">
            <v>749.32640895706913</v>
          </cell>
          <cell r="M66">
            <v>759.57783389308383</v>
          </cell>
          <cell r="N66">
            <v>768.47360788626315</v>
          </cell>
          <cell r="O66">
            <v>777.36938187944247</v>
          </cell>
          <cell r="P66">
            <v>786.26515587262179</v>
          </cell>
          <cell r="Q66">
            <v>795.16092986580111</v>
          </cell>
          <cell r="R66">
            <v>804.05670385898043</v>
          </cell>
          <cell r="S66">
            <v>812.95247785215975</v>
          </cell>
          <cell r="T66">
            <v>821.84825184533906</v>
          </cell>
          <cell r="U66">
            <v>830.74402583851838</v>
          </cell>
          <cell r="V66">
            <v>839.6397998316977</v>
          </cell>
          <cell r="W66">
            <v>848.53557382487702</v>
          </cell>
          <cell r="X66">
            <v>857.43134781805634</v>
          </cell>
          <cell r="Y66">
            <v>866.32712181123566</v>
          </cell>
          <cell r="Z66">
            <v>875.22289580441497</v>
          </cell>
          <cell r="AA66">
            <v>830.74402583851884</v>
          </cell>
          <cell r="AB66">
            <v>841.39264921368215</v>
          </cell>
          <cell r="AC66">
            <v>852.04127258884546</v>
          </cell>
          <cell r="AD66">
            <v>862.68989596400877</v>
          </cell>
          <cell r="AE66">
            <v>873.33851933917208</v>
          </cell>
        </row>
        <row r="67">
          <cell r="G67">
            <v>1167</v>
          </cell>
          <cell r="H67">
            <v>1167</v>
          </cell>
          <cell r="I67">
            <v>1167</v>
          </cell>
          <cell r="J67">
            <v>1167</v>
          </cell>
          <cell r="K67">
            <v>1167</v>
          </cell>
          <cell r="L67">
            <v>1167</v>
          </cell>
          <cell r="M67">
            <v>1167</v>
          </cell>
          <cell r="N67">
            <v>1167</v>
          </cell>
          <cell r="O67">
            <v>1167</v>
          </cell>
          <cell r="P67">
            <v>1167</v>
          </cell>
          <cell r="Q67">
            <v>1167</v>
          </cell>
          <cell r="R67">
            <v>1167</v>
          </cell>
          <cell r="S67">
            <v>1167</v>
          </cell>
          <cell r="T67">
            <v>1167</v>
          </cell>
          <cell r="U67">
            <v>1167</v>
          </cell>
          <cell r="V67">
            <v>1167</v>
          </cell>
          <cell r="W67">
            <v>1167</v>
          </cell>
          <cell r="X67">
            <v>1167</v>
          </cell>
          <cell r="Y67">
            <v>1167</v>
          </cell>
          <cell r="Z67">
            <v>1167</v>
          </cell>
          <cell r="AA67">
            <v>1167</v>
          </cell>
          <cell r="AB67">
            <v>1167</v>
          </cell>
          <cell r="AC67">
            <v>1167</v>
          </cell>
          <cell r="AD67">
            <v>1167</v>
          </cell>
          <cell r="AE67">
            <v>1167</v>
          </cell>
        </row>
        <row r="68">
          <cell r="G68">
            <v>1029.0487523611168</v>
          </cell>
          <cell r="H68">
            <v>1097.2261598014015</v>
          </cell>
          <cell r="I68">
            <v>1165.4035672416862</v>
          </cell>
          <cell r="J68">
            <v>1233.5809746819709</v>
          </cell>
          <cell r="K68">
            <v>1301.7583821222556</v>
          </cell>
          <cell r="L68">
            <v>1369.9357895625403</v>
          </cell>
          <cell r="M68">
            <v>1438.1131970028248</v>
          </cell>
          <cell r="N68">
            <v>1454.5206034528924</v>
          </cell>
          <cell r="O68">
            <v>1470.9280099029602</v>
          </cell>
          <cell r="P68">
            <v>1487.335416353028</v>
          </cell>
          <cell r="Q68">
            <v>1503.7428228030958</v>
          </cell>
          <cell r="R68">
            <v>1520.1502292531636</v>
          </cell>
          <cell r="S68">
            <v>1536.5576357032314</v>
          </cell>
          <cell r="T68">
            <v>1552.9650421532992</v>
          </cell>
          <cell r="U68">
            <v>1569.372448603367</v>
          </cell>
          <cell r="V68">
            <v>1585.7798550534349</v>
          </cell>
          <cell r="W68">
            <v>1602.1872615035027</v>
          </cell>
          <cell r="X68">
            <v>1618.5946679535705</v>
          </cell>
          <cell r="Y68">
            <v>1635.0020744036383</v>
          </cell>
          <cell r="Z68">
            <v>1651.4094808537061</v>
          </cell>
          <cell r="AA68">
            <v>1569.3724486033664</v>
          </cell>
          <cell r="AB68">
            <v>1563.8258925279456</v>
          </cell>
          <cell r="AC68">
            <v>1558.2793364525248</v>
          </cell>
          <cell r="AD68">
            <v>1552.7327803771041</v>
          </cell>
          <cell r="AE68">
            <v>1547.1862243016833</v>
          </cell>
        </row>
        <row r="75">
          <cell r="G75">
            <v>2064.1078222566443</v>
          </cell>
          <cell r="H75">
            <v>2077.3226475548058</v>
          </cell>
          <cell r="I75">
            <v>2090.5374728529673</v>
          </cell>
          <cell r="J75">
            <v>2103.7522981511288</v>
          </cell>
          <cell r="K75">
            <v>2116.9671234492903</v>
          </cell>
          <cell r="L75">
            <v>2130.1819487474518</v>
          </cell>
          <cell r="M75">
            <v>2143.3967740456146</v>
          </cell>
          <cell r="N75">
            <v>2172.9935438846765</v>
          </cell>
          <cell r="O75">
            <v>2202.5903137237383</v>
          </cell>
          <cell r="P75">
            <v>2232.1870835628001</v>
          </cell>
          <cell r="Q75">
            <v>2261.783853401862</v>
          </cell>
          <cell r="R75">
            <v>2291.3806232409238</v>
          </cell>
          <cell r="S75">
            <v>2320.9773930799856</v>
          </cell>
          <cell r="T75">
            <v>2350.5741629190475</v>
          </cell>
          <cell r="U75">
            <v>2380.1709327581093</v>
          </cell>
          <cell r="V75">
            <v>2409.7677025971711</v>
          </cell>
          <cell r="W75">
            <v>2439.364472436233</v>
          </cell>
          <cell r="X75">
            <v>2468.9612422752948</v>
          </cell>
          <cell r="Y75">
            <v>2498.5580121143566</v>
          </cell>
          <cell r="Z75">
            <v>2528.1547819534185</v>
          </cell>
          <cell r="AA75">
            <v>2380.1709327581084</v>
          </cell>
          <cell r="AB75">
            <v>2386.7545055478154</v>
          </cell>
          <cell r="AC75">
            <v>2393.3380783375223</v>
          </cell>
          <cell r="AD75">
            <v>2399.9216511272293</v>
          </cell>
          <cell r="AE75">
            <v>2406.5052239169363</v>
          </cell>
        </row>
        <row r="76">
          <cell r="G76">
            <v>698.06928427699506</v>
          </cell>
          <cell r="H76">
            <v>708.32070921300988</v>
          </cell>
          <cell r="I76">
            <v>718.57213414902469</v>
          </cell>
          <cell r="J76">
            <v>728.82355908503951</v>
          </cell>
          <cell r="K76">
            <v>739.07498402105432</v>
          </cell>
          <cell r="L76">
            <v>749.32640895706913</v>
          </cell>
          <cell r="M76">
            <v>759.57783389308383</v>
          </cell>
          <cell r="N76">
            <v>768.01287342852402</v>
          </cell>
          <cell r="O76">
            <v>776.4479129639642</v>
          </cell>
          <cell r="P76">
            <v>784.88295249940438</v>
          </cell>
          <cell r="Q76">
            <v>793.31799203484456</v>
          </cell>
          <cell r="R76">
            <v>801.75303157028475</v>
          </cell>
          <cell r="S76">
            <v>810.18807110572493</v>
          </cell>
          <cell r="T76">
            <v>818.62311064116511</v>
          </cell>
          <cell r="U76">
            <v>827.0581501766053</v>
          </cell>
          <cell r="V76">
            <v>835.49318971204548</v>
          </cell>
          <cell r="W76">
            <v>843.92822924748566</v>
          </cell>
          <cell r="X76">
            <v>852.36326878292584</v>
          </cell>
          <cell r="Y76">
            <v>860.79830831836603</v>
          </cell>
          <cell r="Z76">
            <v>869.23334785380621</v>
          </cell>
          <cell r="AA76">
            <v>827.05815017660575</v>
          </cell>
          <cell r="AB76">
            <v>838.1675080095082</v>
          </cell>
          <cell r="AC76">
            <v>849.27686584241064</v>
          </cell>
          <cell r="AD76">
            <v>860.38622367531309</v>
          </cell>
          <cell r="AE76">
            <v>871.49558150821554</v>
          </cell>
        </row>
        <row r="77">
          <cell r="G77">
            <v>1167</v>
          </cell>
          <cell r="H77">
            <v>1167</v>
          </cell>
          <cell r="I77">
            <v>1167</v>
          </cell>
          <cell r="J77">
            <v>1167</v>
          </cell>
          <cell r="K77">
            <v>1167</v>
          </cell>
          <cell r="L77">
            <v>1167</v>
          </cell>
          <cell r="M77">
            <v>1167</v>
          </cell>
          <cell r="N77">
            <v>1167</v>
          </cell>
          <cell r="O77">
            <v>1167</v>
          </cell>
          <cell r="P77">
            <v>1167</v>
          </cell>
          <cell r="Q77">
            <v>1167</v>
          </cell>
          <cell r="R77">
            <v>1167</v>
          </cell>
          <cell r="S77">
            <v>1167</v>
          </cell>
          <cell r="T77">
            <v>1167</v>
          </cell>
          <cell r="U77">
            <v>1167</v>
          </cell>
          <cell r="V77">
            <v>1167</v>
          </cell>
          <cell r="W77">
            <v>1167</v>
          </cell>
          <cell r="X77">
            <v>1167</v>
          </cell>
          <cell r="Y77">
            <v>1167</v>
          </cell>
          <cell r="Z77">
            <v>1167</v>
          </cell>
          <cell r="AA77">
            <v>1167</v>
          </cell>
          <cell r="AB77">
            <v>1167</v>
          </cell>
          <cell r="AC77">
            <v>1167</v>
          </cell>
          <cell r="AD77">
            <v>1167</v>
          </cell>
          <cell r="AE77">
            <v>1167</v>
          </cell>
        </row>
        <row r="78">
          <cell r="G78">
            <v>1168.8738334833329</v>
          </cell>
          <cell r="H78">
            <v>1178.0613546668903</v>
          </cell>
          <cell r="I78">
            <v>1187.2488758504478</v>
          </cell>
          <cell r="J78">
            <v>1196.4363970340053</v>
          </cell>
          <cell r="K78">
            <v>1205.6239182175627</v>
          </cell>
          <cell r="L78">
            <v>1214.8114394011202</v>
          </cell>
          <cell r="M78">
            <v>1223.9989605846772</v>
          </cell>
          <cell r="N78">
            <v>1276.2228998482572</v>
          </cell>
          <cell r="O78">
            <v>1328.4468391118371</v>
          </cell>
          <cell r="P78">
            <v>1380.6707783754171</v>
          </cell>
          <cell r="Q78">
            <v>1432.894717638997</v>
          </cell>
          <cell r="R78">
            <v>1485.118656902577</v>
          </cell>
          <cell r="S78">
            <v>1537.3425961661569</v>
          </cell>
          <cell r="T78">
            <v>1589.5665354297369</v>
          </cell>
          <cell r="U78">
            <v>1641.7904746933168</v>
          </cell>
          <cell r="V78">
            <v>1694.0144139568968</v>
          </cell>
          <cell r="W78">
            <v>1746.2383532204767</v>
          </cell>
          <cell r="X78">
            <v>1798.4622924840567</v>
          </cell>
          <cell r="Y78">
            <v>1850.6862317476366</v>
          </cell>
          <cell r="Z78">
            <v>1902.9101710112166</v>
          </cell>
          <cell r="AA78">
            <v>1641.7904746933164</v>
          </cell>
          <cell r="AB78">
            <v>1579.0383181111101</v>
          </cell>
          <cell r="AC78">
            <v>1516.2861615289039</v>
          </cell>
          <cell r="AD78">
            <v>1453.5340049466977</v>
          </cell>
          <cell r="AE78">
            <v>1390.7818483644915</v>
          </cell>
        </row>
        <row r="85">
          <cell r="G85">
            <v>2155.8815029472858</v>
          </cell>
          <cell r="H85">
            <v>2184.9101777532496</v>
          </cell>
          <cell r="I85">
            <v>2213.9388525592135</v>
          </cell>
          <cell r="J85">
            <v>2242.9675273651774</v>
          </cell>
          <cell r="K85">
            <v>2271.9962021711412</v>
          </cell>
          <cell r="L85">
            <v>2301.0248769771051</v>
          </cell>
          <cell r="M85">
            <v>2330.0535517830704</v>
          </cell>
          <cell r="N85">
            <v>2314.0416857828459</v>
          </cell>
          <cell r="O85">
            <v>2298.0298197826214</v>
          </cell>
          <cell r="P85">
            <v>2282.0179537823969</v>
          </cell>
          <cell r="Q85">
            <v>2266.0060877821725</v>
          </cell>
          <cell r="R85">
            <v>2249.994221781948</v>
          </cell>
          <cell r="S85">
            <v>2233.9823557817235</v>
          </cell>
          <cell r="T85">
            <v>2217.9704897814991</v>
          </cell>
          <cell r="U85">
            <v>2201.9586237812746</v>
          </cell>
          <cell r="V85">
            <v>2185.9467577810501</v>
          </cell>
          <cell r="W85">
            <v>2169.9348917808256</v>
          </cell>
          <cell r="X85">
            <v>2153.9230257806012</v>
          </cell>
          <cell r="Y85">
            <v>2137.9111597803767</v>
          </cell>
          <cell r="Z85">
            <v>2121.8992937801522</v>
          </cell>
          <cell r="AA85">
            <v>2201.9586237812732</v>
          </cell>
          <cell r="AB85">
            <v>2240.9786175580202</v>
          </cell>
          <cell r="AC85">
            <v>2279.9986113347672</v>
          </cell>
          <cell r="AD85">
            <v>2319.0186051115143</v>
          </cell>
          <cell r="AE85">
            <v>2358.0385988882613</v>
          </cell>
        </row>
        <row r="86">
          <cell r="G86">
            <v>698.06928427699506</v>
          </cell>
          <cell r="H86">
            <v>708.32070921300988</v>
          </cell>
          <cell r="I86">
            <v>718.57213414902469</v>
          </cell>
          <cell r="J86">
            <v>728.82355908503951</v>
          </cell>
          <cell r="K86">
            <v>739.07498402105432</v>
          </cell>
          <cell r="L86">
            <v>749.32640895706913</v>
          </cell>
          <cell r="M86">
            <v>759.57783389308383</v>
          </cell>
          <cell r="N86">
            <v>768.01287342852402</v>
          </cell>
          <cell r="O86">
            <v>776.4479129639642</v>
          </cell>
          <cell r="P86">
            <v>784.88295249940438</v>
          </cell>
          <cell r="Q86">
            <v>793.31799203484456</v>
          </cell>
          <cell r="R86">
            <v>801.75303157028475</v>
          </cell>
          <cell r="S86">
            <v>810.18807110572493</v>
          </cell>
          <cell r="T86">
            <v>818.62311064116511</v>
          </cell>
          <cell r="U86">
            <v>827.0581501766053</v>
          </cell>
          <cell r="V86">
            <v>835.49318971204548</v>
          </cell>
          <cell r="W86">
            <v>843.92822924748566</v>
          </cell>
          <cell r="X86">
            <v>852.36326878292584</v>
          </cell>
          <cell r="Y86">
            <v>860.79830831836603</v>
          </cell>
          <cell r="Z86">
            <v>869.23334785380621</v>
          </cell>
          <cell r="AA86">
            <v>827.05815017660575</v>
          </cell>
          <cell r="AB86">
            <v>838.1675080095082</v>
          </cell>
          <cell r="AC86">
            <v>849.27686584241064</v>
          </cell>
          <cell r="AD86">
            <v>860.38622367531309</v>
          </cell>
          <cell r="AE86">
            <v>871.49558150821554</v>
          </cell>
        </row>
        <row r="87">
          <cell r="G87">
            <v>1167</v>
          </cell>
          <cell r="H87">
            <v>1167</v>
          </cell>
          <cell r="I87">
            <v>1167</v>
          </cell>
          <cell r="J87">
            <v>1167</v>
          </cell>
          <cell r="K87">
            <v>1167</v>
          </cell>
          <cell r="L87">
            <v>1167</v>
          </cell>
          <cell r="M87">
            <v>1167</v>
          </cell>
          <cell r="N87">
            <v>1167</v>
          </cell>
          <cell r="O87">
            <v>1167</v>
          </cell>
          <cell r="P87">
            <v>1167</v>
          </cell>
          <cell r="Q87">
            <v>1167</v>
          </cell>
          <cell r="R87">
            <v>1167</v>
          </cell>
          <cell r="S87">
            <v>1167</v>
          </cell>
          <cell r="T87">
            <v>1167</v>
          </cell>
          <cell r="U87">
            <v>1167</v>
          </cell>
          <cell r="V87">
            <v>1167</v>
          </cell>
          <cell r="W87">
            <v>1167</v>
          </cell>
          <cell r="X87">
            <v>1167</v>
          </cell>
          <cell r="Y87">
            <v>1167</v>
          </cell>
          <cell r="Z87">
            <v>1167</v>
          </cell>
          <cell r="AA87">
            <v>1167</v>
          </cell>
          <cell r="AB87">
            <v>1167</v>
          </cell>
          <cell r="AC87">
            <v>1167</v>
          </cell>
          <cell r="AD87">
            <v>1167</v>
          </cell>
          <cell r="AE87">
            <v>1167</v>
          </cell>
        </row>
        <row r="88">
          <cell r="G88">
            <v>1185.5891467799934</v>
          </cell>
          <cell r="H88">
            <v>1211.1874468780647</v>
          </cell>
          <cell r="I88">
            <v>1236.7857469761361</v>
          </cell>
          <cell r="J88">
            <v>1262.3840470742075</v>
          </cell>
          <cell r="K88">
            <v>1287.9823471722789</v>
          </cell>
          <cell r="L88">
            <v>1313.5806472703503</v>
          </cell>
          <cell r="M88">
            <v>1339.1789473684209</v>
          </cell>
          <cell r="N88">
            <v>1363.3137548732943</v>
          </cell>
          <cell r="O88">
            <v>1387.4485623781677</v>
          </cell>
          <cell r="P88">
            <v>1411.5833698830411</v>
          </cell>
          <cell r="Q88">
            <v>1435.7181773879145</v>
          </cell>
          <cell r="R88">
            <v>1459.8529848927878</v>
          </cell>
          <cell r="S88">
            <v>1483.9877923976612</v>
          </cell>
          <cell r="T88">
            <v>1508.1225999025346</v>
          </cell>
          <cell r="U88">
            <v>1532.257407407408</v>
          </cell>
          <cell r="V88">
            <v>1556.3922149122814</v>
          </cell>
          <cell r="W88">
            <v>1580.5270224171547</v>
          </cell>
          <cell r="X88">
            <v>1604.6618299220281</v>
          </cell>
          <cell r="Y88">
            <v>1628.7966374269015</v>
          </cell>
          <cell r="Z88">
            <v>1652.9314449317749</v>
          </cell>
          <cell r="AA88">
            <v>1532.2574074074075</v>
          </cell>
          <cell r="AB88">
            <v>1537.9043981481482</v>
          </cell>
          <cell r="AC88">
            <v>1543.5513888888888</v>
          </cell>
          <cell r="AD88">
            <v>1549.1983796296295</v>
          </cell>
          <cell r="AE88">
            <v>1554.8453703703701</v>
          </cell>
        </row>
        <row r="95">
          <cell r="G95">
            <v>2189.132116156165</v>
          </cell>
          <cell r="H95">
            <v>2153.2906631184565</v>
          </cell>
          <cell r="I95">
            <v>2117.4492100807479</v>
          </cell>
          <cell r="J95">
            <v>2081.6077570430393</v>
          </cell>
          <cell r="K95">
            <v>2045.7663040053308</v>
          </cell>
          <cell r="L95">
            <v>2009.9248509676222</v>
          </cell>
          <cell r="M95">
            <v>1974.083397929913</v>
          </cell>
          <cell r="N95">
            <v>2052.2554545152962</v>
          </cell>
          <cell r="O95">
            <v>2130.4275111006791</v>
          </cell>
          <cell r="P95">
            <v>2208.5995676860621</v>
          </cell>
          <cell r="Q95">
            <v>2286.771624271445</v>
          </cell>
          <cell r="R95">
            <v>2364.943680856828</v>
          </cell>
          <cell r="S95">
            <v>2443.115737442211</v>
          </cell>
          <cell r="T95">
            <v>2521.2877940275939</v>
          </cell>
          <cell r="U95">
            <v>2599.4598506129769</v>
          </cell>
          <cell r="V95">
            <v>2677.6319071983598</v>
          </cell>
          <cell r="W95">
            <v>2755.8039637837428</v>
          </cell>
          <cell r="X95">
            <v>2833.9760203691258</v>
          </cell>
          <cell r="Y95">
            <v>2912.1480769545087</v>
          </cell>
          <cell r="Z95">
            <v>2990.3201335398917</v>
          </cell>
          <cell r="AA95">
            <v>2599.4598506129778</v>
          </cell>
          <cell r="AB95">
            <v>2551.8698894298795</v>
          </cell>
          <cell r="AC95">
            <v>2504.2799282467813</v>
          </cell>
          <cell r="AD95">
            <v>2456.6899670636831</v>
          </cell>
          <cell r="AE95">
            <v>2409.1000058805848</v>
          </cell>
        </row>
        <row r="96">
          <cell r="G96">
            <v>698.06928427699506</v>
          </cell>
          <cell r="H96">
            <v>708.32070921300988</v>
          </cell>
          <cell r="I96">
            <v>718.57213414902469</v>
          </cell>
          <cell r="J96">
            <v>728.82355908503951</v>
          </cell>
          <cell r="K96">
            <v>739.07498402105432</v>
          </cell>
          <cell r="L96">
            <v>749.32640895706913</v>
          </cell>
          <cell r="M96">
            <v>759.57783389308383</v>
          </cell>
          <cell r="N96">
            <v>768.01287342852402</v>
          </cell>
          <cell r="O96">
            <v>776.4479129639642</v>
          </cell>
          <cell r="P96">
            <v>784.88295249940438</v>
          </cell>
          <cell r="Q96">
            <v>793.31799203484456</v>
          </cell>
          <cell r="R96">
            <v>801.75303157028475</v>
          </cell>
          <cell r="S96">
            <v>810.18807110572493</v>
          </cell>
          <cell r="T96">
            <v>818.62311064116511</v>
          </cell>
          <cell r="U96">
            <v>827.0581501766053</v>
          </cell>
          <cell r="V96">
            <v>835.49318971204548</v>
          </cell>
          <cell r="W96">
            <v>843.92822924748566</v>
          </cell>
          <cell r="X96">
            <v>852.36326878292584</v>
          </cell>
          <cell r="Y96">
            <v>860.79830831836603</v>
          </cell>
          <cell r="Z96">
            <v>869.23334785380621</v>
          </cell>
          <cell r="AA96">
            <v>827.05815017660575</v>
          </cell>
          <cell r="AB96">
            <v>838.1675080095082</v>
          </cell>
          <cell r="AC96">
            <v>849.27686584241064</v>
          </cell>
          <cell r="AD96">
            <v>860.38622367531309</v>
          </cell>
          <cell r="AE96">
            <v>871.49558150821554</v>
          </cell>
        </row>
        <row r="97">
          <cell r="G97">
            <v>1167</v>
          </cell>
          <cell r="H97">
            <v>1167</v>
          </cell>
          <cell r="I97">
            <v>1167</v>
          </cell>
          <cell r="J97">
            <v>1167</v>
          </cell>
          <cell r="K97">
            <v>1167</v>
          </cell>
          <cell r="L97">
            <v>1167</v>
          </cell>
          <cell r="M97">
            <v>1167</v>
          </cell>
          <cell r="N97">
            <v>1167</v>
          </cell>
          <cell r="O97">
            <v>1167</v>
          </cell>
          <cell r="P97">
            <v>1167</v>
          </cell>
          <cell r="Q97">
            <v>1167</v>
          </cell>
          <cell r="R97">
            <v>1167</v>
          </cell>
          <cell r="S97">
            <v>1167</v>
          </cell>
          <cell r="T97">
            <v>1167</v>
          </cell>
          <cell r="U97">
            <v>1167</v>
          </cell>
          <cell r="V97">
            <v>1167</v>
          </cell>
          <cell r="W97">
            <v>1167</v>
          </cell>
          <cell r="X97">
            <v>1167</v>
          </cell>
          <cell r="Y97">
            <v>1167</v>
          </cell>
          <cell r="Z97">
            <v>1167</v>
          </cell>
          <cell r="AA97">
            <v>1167</v>
          </cell>
          <cell r="AB97">
            <v>1167</v>
          </cell>
          <cell r="AC97">
            <v>1167</v>
          </cell>
          <cell r="AD97">
            <v>1167</v>
          </cell>
          <cell r="AE97">
            <v>1167</v>
          </cell>
        </row>
        <row r="98">
          <cell r="G98">
            <v>1352.0807344379759</v>
          </cell>
          <cell r="H98">
            <v>1364.8439453649801</v>
          </cell>
          <cell r="I98">
            <v>1377.6071562919842</v>
          </cell>
          <cell r="J98">
            <v>1390.3703672189883</v>
          </cell>
          <cell r="K98">
            <v>1403.1335781459925</v>
          </cell>
          <cell r="L98">
            <v>1415.8967890729966</v>
          </cell>
          <cell r="M98">
            <v>1428.66</v>
          </cell>
          <cell r="N98">
            <v>1488.9047619047619</v>
          </cell>
          <cell r="O98">
            <v>1549.1495238095238</v>
          </cell>
          <cell r="P98">
            <v>1609.3942857142856</v>
          </cell>
          <cell r="Q98">
            <v>1669.6390476190475</v>
          </cell>
          <cell r="R98">
            <v>1729.8838095238093</v>
          </cell>
          <cell r="S98">
            <v>1790.1285714285711</v>
          </cell>
          <cell r="T98">
            <v>1850.373333333333</v>
          </cell>
          <cell r="U98">
            <v>1910.6180952380948</v>
          </cell>
          <cell r="V98">
            <v>1970.8628571428567</v>
          </cell>
          <cell r="W98">
            <v>2031.1076190476185</v>
          </cell>
          <cell r="X98">
            <v>2091.3523809523804</v>
          </cell>
          <cell r="Y98">
            <v>2151.5971428571424</v>
          </cell>
          <cell r="Z98">
            <v>2211.8419047619045</v>
          </cell>
          <cell r="AA98">
            <v>1910.6180952380955</v>
          </cell>
          <cell r="AB98">
            <v>1897.2483333333337</v>
          </cell>
          <cell r="AC98">
            <v>1883.8785714285718</v>
          </cell>
          <cell r="AD98">
            <v>1870.50880952381</v>
          </cell>
          <cell r="AE98">
            <v>1857.1390476190481</v>
          </cell>
        </row>
      </sheetData>
      <sheetData sheetId="5">
        <row r="24">
          <cell r="G24">
            <v>19224</v>
          </cell>
          <cell r="H24">
            <v>20881</v>
          </cell>
          <cell r="I24">
            <v>22030</v>
          </cell>
          <cell r="J24">
            <v>26693</v>
          </cell>
          <cell r="K24">
            <v>29534</v>
          </cell>
          <cell r="L24">
            <v>25256</v>
          </cell>
          <cell r="M24">
            <v>32825</v>
          </cell>
          <cell r="N24">
            <v>33591</v>
          </cell>
          <cell r="O24">
            <v>34363</v>
          </cell>
          <cell r="P24">
            <v>28330</v>
          </cell>
          <cell r="Q24">
            <v>28658</v>
          </cell>
          <cell r="R24">
            <v>28846</v>
          </cell>
          <cell r="S24">
            <v>29714</v>
          </cell>
          <cell r="T24">
            <v>28101</v>
          </cell>
          <cell r="U24">
            <v>25350</v>
          </cell>
          <cell r="V24">
            <v>26054</v>
          </cell>
          <cell r="W24">
            <v>30098</v>
          </cell>
          <cell r="X24">
            <v>34243</v>
          </cell>
          <cell r="Y24">
            <v>36326</v>
          </cell>
          <cell r="Z24">
            <v>40247</v>
          </cell>
          <cell r="AA24">
            <v>36985</v>
          </cell>
          <cell r="AB24">
            <v>30373</v>
          </cell>
          <cell r="AC24">
            <v>18826</v>
          </cell>
          <cell r="AD24">
            <v>13391</v>
          </cell>
          <cell r="AE24">
            <v>14886</v>
          </cell>
        </row>
        <row r="25">
          <cell r="G25">
            <v>14869.183557824352</v>
          </cell>
          <cell r="H25">
            <v>15220.21190520253</v>
          </cell>
          <cell r="I25">
            <v>18940.327900324999</v>
          </cell>
          <cell r="J25">
            <v>18837.087988326672</v>
          </cell>
          <cell r="K25">
            <v>17883.866659845167</v>
          </cell>
          <cell r="L25">
            <v>8123.2235993523336</v>
          </cell>
          <cell r="M25">
            <v>7903.1488702815295</v>
          </cell>
          <cell r="N25">
            <v>7592.1801314599406</v>
          </cell>
          <cell r="O25">
            <v>9401.6361134168346</v>
          </cell>
          <cell r="P25">
            <v>9701.2779324751245</v>
          </cell>
          <cell r="Q25">
            <v>11104.526723200062</v>
          </cell>
          <cell r="R25">
            <v>10897.632074550364</v>
          </cell>
          <cell r="S25">
            <v>12645.60766842474</v>
          </cell>
          <cell r="T25">
            <v>11965.262831791384</v>
          </cell>
          <cell r="U25">
            <v>10483.919915783859</v>
          </cell>
          <cell r="V25">
            <v>9971.9026959155963</v>
          </cell>
          <cell r="W25">
            <v>7253.9578552287549</v>
          </cell>
          <cell r="X25">
            <v>7119.6062546632547</v>
          </cell>
          <cell r="Y25">
            <v>7985.0504417912043</v>
          </cell>
          <cell r="Z25">
            <v>8677.2745487052198</v>
          </cell>
          <cell r="AA25">
            <v>9569.5883473366248</v>
          </cell>
          <cell r="AB25">
            <v>10771.842399662728</v>
          </cell>
          <cell r="AC25">
            <v>8763.9200796845034</v>
          </cell>
          <cell r="AD25">
            <v>2981.3702838569475</v>
          </cell>
          <cell r="AE25">
            <v>3522.5521445353306</v>
          </cell>
        </row>
        <row r="26">
          <cell r="G26">
            <v>968.81644217564758</v>
          </cell>
          <cell r="H26">
            <v>1167.7880947974693</v>
          </cell>
          <cell r="I26">
            <v>1180.6720996750003</v>
          </cell>
          <cell r="J26">
            <v>1129.91201167333</v>
          </cell>
          <cell r="K26">
            <v>657.13334015483224</v>
          </cell>
          <cell r="L26">
            <v>654.77640064766615</v>
          </cell>
          <cell r="M26">
            <v>652.8511297184707</v>
          </cell>
          <cell r="N26">
            <v>756.81986854005959</v>
          </cell>
          <cell r="O26">
            <v>787.36388658316514</v>
          </cell>
          <cell r="P26">
            <v>872.72206752487591</v>
          </cell>
          <cell r="Q26">
            <v>879.4732767999385</v>
          </cell>
          <cell r="R26">
            <v>984.36792544963578</v>
          </cell>
          <cell r="S26">
            <v>957.39233157526019</v>
          </cell>
          <cell r="T26">
            <v>887.73716820861637</v>
          </cell>
          <cell r="U26">
            <v>863.08008421613988</v>
          </cell>
          <cell r="V26">
            <v>722.09730408440362</v>
          </cell>
          <cell r="W26">
            <v>726.04214477124526</v>
          </cell>
          <cell r="X26">
            <v>786.3937453367455</v>
          </cell>
          <cell r="Y26">
            <v>838.94955820879602</v>
          </cell>
          <cell r="Z26">
            <v>904.72545129478021</v>
          </cell>
          <cell r="AA26">
            <v>978.41165266337521</v>
          </cell>
          <cell r="AB26">
            <v>852.15760033727156</v>
          </cell>
          <cell r="AC26">
            <v>520.07992031549577</v>
          </cell>
          <cell r="AD26">
            <v>564.62971614305252</v>
          </cell>
          <cell r="AE26">
            <v>705.44785546466926</v>
          </cell>
        </row>
        <row r="27">
          <cell r="G27">
            <v>4550</v>
          </cell>
          <cell r="H27">
            <v>3873</v>
          </cell>
          <cell r="I27">
            <v>4184</v>
          </cell>
          <cell r="J27">
            <v>4397</v>
          </cell>
          <cell r="K27">
            <v>5645</v>
          </cell>
          <cell r="L27">
            <v>5353</v>
          </cell>
          <cell r="M27">
            <v>5964</v>
          </cell>
          <cell r="N27">
            <v>6849</v>
          </cell>
          <cell r="O27">
            <v>7332</v>
          </cell>
          <cell r="P27">
            <v>7252</v>
          </cell>
          <cell r="Q27">
            <v>6257</v>
          </cell>
          <cell r="R27">
            <v>6419</v>
          </cell>
          <cell r="S27">
            <v>6874</v>
          </cell>
          <cell r="T27">
            <v>5339</v>
          </cell>
          <cell r="U27">
            <v>3853</v>
          </cell>
          <cell r="V27">
            <v>2971</v>
          </cell>
          <cell r="W27">
            <v>2933</v>
          </cell>
          <cell r="X27">
            <v>2868</v>
          </cell>
          <cell r="Y27">
            <v>2705</v>
          </cell>
          <cell r="Z27">
            <v>2723</v>
          </cell>
          <cell r="AA27">
            <v>2653</v>
          </cell>
          <cell r="AB27">
            <v>2063</v>
          </cell>
          <cell r="AC27">
            <v>1621</v>
          </cell>
          <cell r="AD27">
            <v>859</v>
          </cell>
          <cell r="AE27">
            <v>681</v>
          </cell>
        </row>
        <row r="34">
          <cell r="G34">
            <v>2868</v>
          </cell>
          <cell r="H34">
            <v>2692</v>
          </cell>
          <cell r="I34">
            <v>2813</v>
          </cell>
          <cell r="J34">
            <v>3536</v>
          </cell>
          <cell r="K34">
            <v>4754</v>
          </cell>
          <cell r="L34">
            <v>5803</v>
          </cell>
          <cell r="M34">
            <v>8453</v>
          </cell>
          <cell r="N34">
            <v>9522</v>
          </cell>
          <cell r="O34">
            <v>10120</v>
          </cell>
          <cell r="P34">
            <v>8784</v>
          </cell>
          <cell r="Q34">
            <v>9538</v>
          </cell>
          <cell r="R34">
            <v>9107</v>
          </cell>
          <cell r="S34">
            <v>10575</v>
          </cell>
          <cell r="T34">
            <v>10544</v>
          </cell>
          <cell r="U34">
            <v>9631</v>
          </cell>
          <cell r="V34">
            <v>9441</v>
          </cell>
          <cell r="W34">
            <v>10730</v>
          </cell>
          <cell r="X34">
            <v>12976</v>
          </cell>
          <cell r="Y34">
            <v>15094</v>
          </cell>
          <cell r="Z34">
            <v>18771</v>
          </cell>
          <cell r="AA34">
            <v>15444</v>
          </cell>
          <cell r="AB34">
            <v>9693</v>
          </cell>
          <cell r="AC34">
            <v>6027</v>
          </cell>
          <cell r="AD34">
            <v>4336</v>
          </cell>
          <cell r="AE34">
            <v>3706</v>
          </cell>
        </row>
        <row r="35">
          <cell r="G35">
            <v>848.82991832591654</v>
          </cell>
          <cell r="H35">
            <v>518.17882714524762</v>
          </cell>
          <cell r="I35">
            <v>288.37484437276629</v>
          </cell>
          <cell r="J35">
            <v>818.68632809921849</v>
          </cell>
          <cell r="K35">
            <v>922.54881309467987</v>
          </cell>
          <cell r="L35">
            <v>713.12107820425172</v>
          </cell>
          <cell r="M35">
            <v>1322.6430437243826</v>
          </cell>
          <cell r="N35">
            <v>1874.8440142054371</v>
          </cell>
          <cell r="O35">
            <v>2484.0690897878753</v>
          </cell>
          <cell r="P35">
            <v>1754.5624245646084</v>
          </cell>
          <cell r="Q35">
            <v>1502.6818009503679</v>
          </cell>
          <cell r="R35">
            <v>1099.0598706051132</v>
          </cell>
          <cell r="S35">
            <v>998.51700550573537</v>
          </cell>
          <cell r="T35">
            <v>1279.6542411025091</v>
          </cell>
          <cell r="U35">
            <v>931.97705912690287</v>
          </cell>
          <cell r="V35">
            <v>1416.4873706075907</v>
          </cell>
          <cell r="W35">
            <v>1622.1096316302473</v>
          </cell>
          <cell r="X35">
            <v>1725.2037386728252</v>
          </cell>
          <cell r="Y35">
            <v>1627.7922787378966</v>
          </cell>
          <cell r="Z35">
            <v>1461.0310065714518</v>
          </cell>
          <cell r="AA35">
            <v>1503.1641209172849</v>
          </cell>
          <cell r="AB35">
            <v>1434.6085653222435</v>
          </cell>
          <cell r="AC35">
            <v>616.53672479350837</v>
          </cell>
          <cell r="AD35">
            <v>410.6655928821981</v>
          </cell>
          <cell r="AE35">
            <v>283.5340494616637</v>
          </cell>
        </row>
        <row r="36">
          <cell r="G36">
            <v>45.170081674083427</v>
          </cell>
          <cell r="H36">
            <v>35.82117285475239</v>
          </cell>
          <cell r="I36">
            <v>62.625155627233696</v>
          </cell>
          <cell r="J36">
            <v>68.313671900781529</v>
          </cell>
          <cell r="K36">
            <v>60.451186905320142</v>
          </cell>
          <cell r="L36">
            <v>93.878921795748312</v>
          </cell>
          <cell r="M36">
            <v>125.35695627561738</v>
          </cell>
          <cell r="N36">
            <v>157.15598579456281</v>
          </cell>
          <cell r="O36">
            <v>120.93091021212476</v>
          </cell>
          <cell r="P36">
            <v>108.43757543539168</v>
          </cell>
          <cell r="Q36">
            <v>88.318199049632</v>
          </cell>
          <cell r="R36">
            <v>84.940129394886824</v>
          </cell>
          <cell r="S36">
            <v>100.48299449426467</v>
          </cell>
          <cell r="T36">
            <v>84.345758897490967</v>
          </cell>
          <cell r="U36">
            <v>113.02294087309717</v>
          </cell>
          <cell r="V36">
            <v>126.51262939240925</v>
          </cell>
          <cell r="W36">
            <v>133.89036836975254</v>
          </cell>
          <cell r="X36">
            <v>129.79626132717482</v>
          </cell>
          <cell r="Y36">
            <v>122.20772126210333</v>
          </cell>
          <cell r="Z36">
            <v>125.96899342854817</v>
          </cell>
          <cell r="AA36">
            <v>120.8358790827151</v>
          </cell>
          <cell r="AB36">
            <v>73.391434677756436</v>
          </cell>
          <cell r="AC36">
            <v>61.463275206491645</v>
          </cell>
          <cell r="AD36">
            <v>55.334407117801909</v>
          </cell>
          <cell r="AE36">
            <v>72.465950538336273</v>
          </cell>
        </row>
        <row r="37">
          <cell r="G37">
            <v>838</v>
          </cell>
          <cell r="H37">
            <v>605</v>
          </cell>
          <cell r="I37">
            <v>572</v>
          </cell>
          <cell r="J37">
            <v>703</v>
          </cell>
          <cell r="K37">
            <v>820</v>
          </cell>
          <cell r="L37">
            <v>1089</v>
          </cell>
          <cell r="M37">
            <v>1696</v>
          </cell>
          <cell r="N37">
            <v>2779</v>
          </cell>
          <cell r="O37">
            <v>3712</v>
          </cell>
          <cell r="P37">
            <v>3167</v>
          </cell>
          <cell r="Q37">
            <v>2635</v>
          </cell>
          <cell r="R37">
            <v>2634</v>
          </cell>
          <cell r="S37">
            <v>2980</v>
          </cell>
          <cell r="T37">
            <v>2343</v>
          </cell>
          <cell r="U37">
            <v>1317</v>
          </cell>
          <cell r="V37">
            <v>998</v>
          </cell>
          <cell r="W37">
            <v>1042</v>
          </cell>
          <cell r="X37">
            <v>785</v>
          </cell>
          <cell r="Y37">
            <v>765</v>
          </cell>
          <cell r="Z37">
            <v>798</v>
          </cell>
          <cell r="AA37">
            <v>849</v>
          </cell>
          <cell r="AB37">
            <v>721</v>
          </cell>
          <cell r="AC37">
            <v>526</v>
          </cell>
          <cell r="AD37">
            <v>273</v>
          </cell>
          <cell r="AE37">
            <v>283</v>
          </cell>
        </row>
        <row r="44">
          <cell r="G44">
            <v>972.4</v>
          </cell>
          <cell r="H44">
            <v>825.5</v>
          </cell>
          <cell r="I44">
            <v>730.6</v>
          </cell>
          <cell r="J44">
            <v>696.80000000000007</v>
          </cell>
          <cell r="K44">
            <v>925.6</v>
          </cell>
          <cell r="L44">
            <v>1349.4</v>
          </cell>
          <cell r="M44">
            <v>2454.4</v>
          </cell>
          <cell r="N44">
            <v>2601.3000000000002</v>
          </cell>
          <cell r="O44">
            <v>2906.8</v>
          </cell>
          <cell r="P44">
            <v>2382.9</v>
          </cell>
          <cell r="Q44">
            <v>2070.9</v>
          </cell>
          <cell r="R44">
            <v>1963</v>
          </cell>
          <cell r="S44">
            <v>1986.4</v>
          </cell>
          <cell r="T44">
            <v>2096.9</v>
          </cell>
          <cell r="U44">
            <v>2020.2</v>
          </cell>
          <cell r="V44">
            <v>2246.4</v>
          </cell>
          <cell r="W44">
            <v>2694.9</v>
          </cell>
          <cell r="X44">
            <v>3138.2000000000003</v>
          </cell>
          <cell r="Y44">
            <v>4468.1000000000004</v>
          </cell>
          <cell r="Z44">
            <v>4390.1000000000004</v>
          </cell>
          <cell r="AA44">
            <v>4347.2</v>
          </cell>
          <cell r="AB44">
            <v>3862.3</v>
          </cell>
          <cell r="AC44">
            <v>2616.9</v>
          </cell>
          <cell r="AD44">
            <v>1831.7</v>
          </cell>
          <cell r="AE44">
            <v>1666.6000000000001</v>
          </cell>
        </row>
        <row r="45">
          <cell r="G45">
            <v>474.93825094095956</v>
          </cell>
          <cell r="H45">
            <v>125.55342428746027</v>
          </cell>
          <cell r="I45">
            <v>239.38975865025668</v>
          </cell>
          <cell r="J45">
            <v>86.494038342320181</v>
          </cell>
          <cell r="K45">
            <v>253.07778115310504</v>
          </cell>
          <cell r="L45">
            <v>443.40968982992769</v>
          </cell>
          <cell r="M45">
            <v>238.40668933003624</v>
          </cell>
          <cell r="N45">
            <v>450.83862929341456</v>
          </cell>
          <cell r="O45">
            <v>732.37259269994001</v>
          </cell>
          <cell r="P45">
            <v>865.92745922778568</v>
          </cell>
          <cell r="Q45">
            <v>1098.5131099856153</v>
          </cell>
          <cell r="R45">
            <v>785.96545249482699</v>
          </cell>
          <cell r="S45">
            <v>745.40877474760293</v>
          </cell>
          <cell r="T45">
            <v>685.7461288484983</v>
          </cell>
          <cell r="U45">
            <v>667.72203160881213</v>
          </cell>
          <cell r="V45">
            <v>593.63332238391354</v>
          </cell>
          <cell r="W45">
            <v>1035.9518784735571</v>
          </cell>
          <cell r="X45">
            <v>903.3500469773611</v>
          </cell>
          <cell r="Y45">
            <v>893.8619142539435</v>
          </cell>
          <cell r="Z45">
            <v>928.12087639779793</v>
          </cell>
          <cell r="AA45">
            <v>772.11945727824411</v>
          </cell>
          <cell r="AB45">
            <v>709.88601514140555</v>
          </cell>
          <cell r="AC45">
            <v>356.68663359518177</v>
          </cell>
          <cell r="AD45">
            <v>136.66696241508441</v>
          </cell>
          <cell r="AE45">
            <v>367.84636582419688</v>
          </cell>
        </row>
        <row r="46">
          <cell r="G46">
            <v>26.061749059040462</v>
          </cell>
          <cell r="H46">
            <v>31.446575712539726</v>
          </cell>
          <cell r="I46">
            <v>24.610241349743323</v>
          </cell>
          <cell r="J46">
            <v>33.505961657679826</v>
          </cell>
          <cell r="K46">
            <v>42.922218846894957</v>
          </cell>
          <cell r="L46">
            <v>33.5903101700723</v>
          </cell>
          <cell r="M46">
            <v>45.593310669963749</v>
          </cell>
          <cell r="N46">
            <v>61.161370706585451</v>
          </cell>
          <cell r="O46">
            <v>69.627407300060014</v>
          </cell>
          <cell r="P46">
            <v>82.072540772214268</v>
          </cell>
          <cell r="Q46">
            <v>66.486890014384684</v>
          </cell>
          <cell r="R46">
            <v>65.034547505173009</v>
          </cell>
          <cell r="S46">
            <v>62.591225252397024</v>
          </cell>
          <cell r="T46">
            <v>62.253871151501713</v>
          </cell>
          <cell r="U46">
            <v>60.277968391187819</v>
          </cell>
          <cell r="V46">
            <v>85.366677616086406</v>
          </cell>
          <cell r="W46">
            <v>79.048121526442912</v>
          </cell>
          <cell r="X46">
            <v>79.649953022638883</v>
          </cell>
          <cell r="Y46">
            <v>82.138085746056518</v>
          </cell>
          <cell r="Z46">
            <v>73.879123602202057</v>
          </cell>
          <cell r="AA46">
            <v>69.880542721755916</v>
          </cell>
          <cell r="AB46">
            <v>49.113984858594421</v>
          </cell>
          <cell r="AC46">
            <v>37.313366404818197</v>
          </cell>
          <cell r="AD46">
            <v>52.333037584915587</v>
          </cell>
          <cell r="AE46">
            <v>68.15363417580312</v>
          </cell>
        </row>
        <row r="47">
          <cell r="G47">
            <v>667</v>
          </cell>
          <cell r="H47">
            <v>514</v>
          </cell>
          <cell r="I47">
            <v>441</v>
          </cell>
          <cell r="J47">
            <v>480</v>
          </cell>
          <cell r="K47">
            <v>505</v>
          </cell>
          <cell r="L47">
            <v>653</v>
          </cell>
          <cell r="M47">
            <v>1021</v>
          </cell>
          <cell r="N47">
            <v>1453</v>
          </cell>
          <cell r="O47">
            <v>1871</v>
          </cell>
          <cell r="P47">
            <v>1772</v>
          </cell>
          <cell r="Q47">
            <v>1749</v>
          </cell>
          <cell r="R47">
            <v>1681</v>
          </cell>
          <cell r="S47">
            <v>1919</v>
          </cell>
          <cell r="T47">
            <v>1736</v>
          </cell>
          <cell r="U47">
            <v>1195</v>
          </cell>
          <cell r="V47">
            <v>922</v>
          </cell>
          <cell r="W47">
            <v>972</v>
          </cell>
          <cell r="X47">
            <v>827</v>
          </cell>
          <cell r="Y47">
            <v>697</v>
          </cell>
          <cell r="Z47">
            <v>641</v>
          </cell>
          <cell r="AA47">
            <v>611</v>
          </cell>
          <cell r="AB47">
            <v>593</v>
          </cell>
          <cell r="AC47">
            <v>437</v>
          </cell>
          <cell r="AD47">
            <v>290</v>
          </cell>
          <cell r="AE47">
            <v>325</v>
          </cell>
        </row>
        <row r="54">
          <cell r="G54">
            <v>29614.268</v>
          </cell>
          <cell r="H54">
            <v>32248.535</v>
          </cell>
          <cell r="I54">
            <v>34559.441999999995</v>
          </cell>
          <cell r="J54">
            <v>42040.175999999999</v>
          </cell>
          <cell r="K54">
            <v>48415.591999999997</v>
          </cell>
          <cell r="L54">
            <v>44234.157999999996</v>
          </cell>
          <cell r="M54">
            <v>57584.008000000002</v>
          </cell>
          <cell r="N54">
            <v>61360.741000000002</v>
          </cell>
          <cell r="O54">
            <v>63637.876000000004</v>
          </cell>
          <cell r="P54">
            <v>54867.252999999997</v>
          </cell>
          <cell r="Q54">
            <v>57384.413</v>
          </cell>
          <cell r="R54">
            <v>56006.91</v>
          </cell>
          <cell r="S54">
            <v>58939.248</v>
          </cell>
          <cell r="T54">
            <v>56527.233</v>
          </cell>
          <cell r="U54">
            <v>51608.513999999996</v>
          </cell>
          <cell r="V54">
            <v>52738.448000000004</v>
          </cell>
          <cell r="W54">
            <v>59782.093000000001</v>
          </cell>
          <cell r="X54">
            <v>67688.774000000005</v>
          </cell>
          <cell r="Y54">
            <v>74522.816999999995</v>
          </cell>
          <cell r="Z54">
            <v>84872.357000000004</v>
          </cell>
          <cell r="AA54">
            <v>75289.903999999995</v>
          </cell>
          <cell r="AB54">
            <v>57664.510999999999</v>
          </cell>
          <cell r="AC54">
            <v>34509.633000000002</v>
          </cell>
          <cell r="AD54">
            <v>24099.069</v>
          </cell>
          <cell r="AE54">
            <v>24846.962</v>
          </cell>
        </row>
        <row r="55">
          <cell r="G55">
            <v>18929.763197074921</v>
          </cell>
          <cell r="H55">
            <v>19012.285997102455</v>
          </cell>
          <cell r="I55">
            <v>22080.05399967837</v>
          </cell>
          <cell r="J55">
            <v>28601.778161129085</v>
          </cell>
          <cell r="K55">
            <v>27202.893689869059</v>
          </cell>
          <cell r="L55">
            <v>12390.210937882894</v>
          </cell>
          <cell r="M55">
            <v>12173.152842775997</v>
          </cell>
          <cell r="N55">
            <v>12361.89700061282</v>
          </cell>
          <cell r="O55">
            <v>17122.743158401601</v>
          </cell>
          <cell r="P55">
            <v>18662.733640245107</v>
          </cell>
          <cell r="Q55">
            <v>21954.730458996564</v>
          </cell>
          <cell r="R55">
            <v>20000.57314201623</v>
          </cell>
          <cell r="S55">
            <v>20642.129902132976</v>
          </cell>
          <cell r="T55">
            <v>18328.494801049026</v>
          </cell>
          <cell r="U55">
            <v>14151.270582179823</v>
          </cell>
          <cell r="V55">
            <v>14626.267683576692</v>
          </cell>
          <cell r="W55">
            <v>12028.647109827845</v>
          </cell>
          <cell r="X55">
            <v>13046.576324182057</v>
          </cell>
          <cell r="Y55">
            <v>13957.232094298251</v>
          </cell>
          <cell r="Z55">
            <v>13931.004497270837</v>
          </cell>
          <cell r="AA55">
            <v>15900.995334173014</v>
          </cell>
          <cell r="AB55">
            <v>15570.247880584542</v>
          </cell>
          <cell r="AC55">
            <v>11944.723214001346</v>
          </cell>
          <cell r="AD55">
            <v>4141.9202192737603</v>
          </cell>
          <cell r="AE55">
            <v>4082.3550519108021</v>
          </cell>
        </row>
        <row r="56">
          <cell r="G56">
            <v>1541.8068029250769</v>
          </cell>
          <cell r="H56">
            <v>1789.2040028975434</v>
          </cell>
          <cell r="I56">
            <v>2697.4260003216259</v>
          </cell>
          <cell r="J56">
            <v>2452.6218388709185</v>
          </cell>
          <cell r="K56">
            <v>1250.8263101309403</v>
          </cell>
          <cell r="L56">
            <v>1272.6790621171076</v>
          </cell>
          <cell r="M56">
            <v>1783.7271572240043</v>
          </cell>
          <cell r="N56">
            <v>2321.94299938718</v>
          </cell>
          <cell r="O56">
            <v>2678.3968415983995</v>
          </cell>
          <cell r="P56">
            <v>3071.6263597548932</v>
          </cell>
          <cell r="Q56">
            <v>2881.3195410034377</v>
          </cell>
          <cell r="R56">
            <v>2811.4968579837696</v>
          </cell>
          <cell r="S56">
            <v>2476.4300978670262</v>
          </cell>
          <cell r="T56">
            <v>2052.8651989509744</v>
          </cell>
          <cell r="U56">
            <v>2155.6894178201746</v>
          </cell>
          <cell r="V56">
            <v>2035.7623164233073</v>
          </cell>
          <cell r="W56">
            <v>2249.9028901721549</v>
          </cell>
          <cell r="X56">
            <v>2341.7336758179449</v>
          </cell>
          <cell r="Y56">
            <v>2340.0879057017487</v>
          </cell>
          <cell r="Z56">
            <v>2581.1355027291629</v>
          </cell>
          <cell r="AA56">
            <v>2450.9446658269858</v>
          </cell>
          <cell r="AB56">
            <v>2125.3821194154557</v>
          </cell>
          <cell r="AC56">
            <v>1478.8567859986533</v>
          </cell>
          <cell r="AD56">
            <v>1471.80978072624</v>
          </cell>
          <cell r="AE56">
            <v>1909.1649480891979</v>
          </cell>
        </row>
        <row r="57">
          <cell r="G57">
            <v>8065.1900000000005</v>
          </cell>
          <cell r="H57">
            <v>7680.98</v>
          </cell>
          <cell r="I57">
            <v>8859.369999999999</v>
          </cell>
          <cell r="J57">
            <v>9760.6</v>
          </cell>
          <cell r="K57">
            <v>11657.85</v>
          </cell>
          <cell r="L57">
            <v>11534.21</v>
          </cell>
          <cell r="M57">
            <v>13344.97</v>
          </cell>
          <cell r="N57">
            <v>16910.21</v>
          </cell>
          <cell r="O57">
            <v>19707.47</v>
          </cell>
          <cell r="P57">
            <v>18879.04</v>
          </cell>
          <cell r="Q57">
            <v>16372.93</v>
          </cell>
          <cell r="R57">
            <v>16578.169999999998</v>
          </cell>
          <cell r="S57">
            <v>17170.830000000002</v>
          </cell>
          <cell r="T57">
            <v>13873.52</v>
          </cell>
          <cell r="U57">
            <v>9050.15</v>
          </cell>
          <cell r="V57">
            <v>6886.54</v>
          </cell>
          <cell r="W57">
            <v>7046.04</v>
          </cell>
          <cell r="X57">
            <v>6539.3899999999994</v>
          </cell>
          <cell r="Y57">
            <v>6359.29</v>
          </cell>
          <cell r="Z57">
            <v>6381.37</v>
          </cell>
          <cell r="AA57">
            <v>6080.27</v>
          </cell>
          <cell r="AB57">
            <v>4894.01</v>
          </cell>
          <cell r="AC57">
            <v>3674.09</v>
          </cell>
          <cell r="AD57">
            <v>2014.3</v>
          </cell>
          <cell r="AE57">
            <v>1796.25</v>
          </cell>
        </row>
      </sheetData>
      <sheetData sheetId="6">
        <row r="21">
          <cell r="H21">
            <v>0.40814400000000001</v>
          </cell>
          <cell r="I21">
            <v>0.39798</v>
          </cell>
          <cell r="J21">
            <v>0.425238</v>
          </cell>
          <cell r="K21">
            <v>0.88486200000000004</v>
          </cell>
          <cell r="L21">
            <v>0.683562</v>
          </cell>
          <cell r="M21">
            <v>0.85707600000000006</v>
          </cell>
          <cell r="N21">
            <v>0.88373999999999997</v>
          </cell>
          <cell r="O21">
            <v>1.075866</v>
          </cell>
          <cell r="P21">
            <v>1.041018</v>
          </cell>
          <cell r="Q21">
            <v>0.91416599999999992</v>
          </cell>
          <cell r="R21">
            <v>1.1944680000000001</v>
          </cell>
          <cell r="S21">
            <v>0.82579200000000008</v>
          </cell>
          <cell r="T21">
            <v>1.2765060000000001</v>
          </cell>
          <cell r="U21">
            <v>1.201794</v>
          </cell>
          <cell r="V21">
            <v>1.6133040000000001</v>
          </cell>
          <cell r="W21">
            <v>2.0698000000000003</v>
          </cell>
          <cell r="X21">
            <v>1.415</v>
          </cell>
          <cell r="Y21">
            <v>1.1031</v>
          </cell>
          <cell r="Z21">
            <v>1.0355000000000001</v>
          </cell>
          <cell r="AA21">
            <v>0.28970000000000001</v>
          </cell>
          <cell r="AB21">
            <v>0.96416996977002289</v>
          </cell>
          <cell r="AC21">
            <v>1.0474829794917409</v>
          </cell>
          <cell r="AD21">
            <v>1.0602062008599469</v>
          </cell>
          <cell r="AE21">
            <v>1.0741061198150028</v>
          </cell>
        </row>
        <row r="22">
          <cell r="H22">
            <v>0.210256</v>
          </cell>
          <cell r="I22">
            <v>0.20502000000000001</v>
          </cell>
          <cell r="J22">
            <v>0.21906200000000001</v>
          </cell>
          <cell r="K22">
            <v>0.45583800000000002</v>
          </cell>
          <cell r="L22">
            <v>0.35213800000000001</v>
          </cell>
          <cell r="M22">
            <v>0.44152400000000003</v>
          </cell>
          <cell r="N22">
            <v>0.45526000000000005</v>
          </cell>
          <cell r="O22">
            <v>0.554234</v>
          </cell>
          <cell r="P22">
            <v>0.53628200000000004</v>
          </cell>
          <cell r="Q22">
            <v>0.47093400000000002</v>
          </cell>
          <cell r="R22">
            <v>0.61533199999999999</v>
          </cell>
          <cell r="S22">
            <v>0.42540800000000006</v>
          </cell>
          <cell r="T22">
            <v>0.65759400000000001</v>
          </cell>
          <cell r="U22">
            <v>0.61910600000000016</v>
          </cell>
          <cell r="V22">
            <v>0.83109600000000017</v>
          </cell>
          <cell r="W22">
            <v>0.93820000000000003</v>
          </cell>
          <cell r="X22">
            <v>0.94359999999999999</v>
          </cell>
          <cell r="Y22">
            <v>0.53320000000000001</v>
          </cell>
          <cell r="Z22">
            <v>0.64049999999999996</v>
          </cell>
          <cell r="AA22">
            <v>0.29170000000000001</v>
          </cell>
          <cell r="AB22">
            <v>0.43694662123493522</v>
          </cell>
          <cell r="AC22">
            <v>0.58273476357135601</v>
          </cell>
          <cell r="AD22">
            <v>0.6086834810811409</v>
          </cell>
          <cell r="AE22">
            <v>0.64149366754371639</v>
          </cell>
        </row>
        <row r="23">
          <cell r="H23">
            <v>1.9095</v>
          </cell>
          <cell r="I23">
            <v>2.8365629999999999</v>
          </cell>
          <cell r="J23">
            <v>2.2281</v>
          </cell>
          <cell r="K23">
            <v>1.61</v>
          </cell>
          <cell r="L23">
            <v>1.4142000000000001</v>
          </cell>
          <cell r="M23">
            <v>1.5080250000000002</v>
          </cell>
          <cell r="N23">
            <v>0.83910000000000007</v>
          </cell>
          <cell r="O23">
            <v>1.2907</v>
          </cell>
          <cell r="P23">
            <v>3.8820000000000001</v>
          </cell>
          <cell r="Q23">
            <v>3.8363</v>
          </cell>
          <cell r="R23">
            <v>5.9918000000000005</v>
          </cell>
          <cell r="S23">
            <v>4.3921000000000001</v>
          </cell>
          <cell r="T23">
            <v>3.3323</v>
          </cell>
          <cell r="U23">
            <v>3.0750000000000002</v>
          </cell>
          <cell r="V23">
            <v>3.1429999999999998</v>
          </cell>
          <cell r="W23">
            <v>2.3030999999999997</v>
          </cell>
          <cell r="X23">
            <v>1.4487000000000001</v>
          </cell>
          <cell r="Y23">
            <v>2.0606</v>
          </cell>
          <cell r="Z23">
            <v>3.4781999999999997</v>
          </cell>
          <cell r="AA23">
            <v>2.6520000000000001</v>
          </cell>
          <cell r="AB23">
            <v>2.9438208100000005</v>
          </cell>
          <cell r="AC23">
            <v>2.7560084900000006</v>
          </cell>
          <cell r="AD23">
            <v>2.603018580000001</v>
          </cell>
          <cell r="AE23">
            <v>2.6672277900000001</v>
          </cell>
        </row>
        <row r="24">
          <cell r="H24">
            <v>0.14913168675370994</v>
          </cell>
          <cell r="I24">
            <v>0.1329757089339306</v>
          </cell>
          <cell r="J24">
            <v>0.15617625578296401</v>
          </cell>
          <cell r="K24">
            <v>0.1069075571805157</v>
          </cell>
          <cell r="L24">
            <v>0.10403995227613426</v>
          </cell>
          <cell r="M24">
            <v>7.0727040207687705E-2</v>
          </cell>
          <cell r="N24">
            <v>0.12267397357932248</v>
          </cell>
          <cell r="O24">
            <v>0.12562814768836453</v>
          </cell>
          <cell r="P24">
            <v>0.19469955185691878</v>
          </cell>
          <cell r="Q24">
            <v>8.8365515657279348E-2</v>
          </cell>
          <cell r="R24">
            <v>0.12595819278113293</v>
          </cell>
          <cell r="S24">
            <v>0.14973226061104264</v>
          </cell>
          <cell r="T24">
            <v>0.15087930257279522</v>
          </cell>
          <cell r="U24">
            <v>0.19032780702155982</v>
          </cell>
          <cell r="V24">
            <v>0.14870425130569837</v>
          </cell>
          <cell r="W24">
            <v>0.16880282991010148</v>
          </cell>
          <cell r="X24">
            <v>0.21751936506571806</v>
          </cell>
          <cell r="Y24">
            <v>0.19732937621560423</v>
          </cell>
          <cell r="Z24">
            <v>0.10970000000000001</v>
          </cell>
          <cell r="AA24">
            <v>9.4200000000000006E-2</v>
          </cell>
          <cell r="AB24">
            <v>9.8923323863743931E-2</v>
          </cell>
          <cell r="AC24">
            <v>0.10283212131183471</v>
          </cell>
          <cell r="AD24">
            <v>0.11325872838672849</v>
          </cell>
          <cell r="AE24">
            <v>0.12860505588071519</v>
          </cell>
        </row>
        <row r="25">
          <cell r="H25">
            <v>6.0347113246290073E-2</v>
          </cell>
          <cell r="I25">
            <v>5.3809491066069394E-2</v>
          </cell>
          <cell r="J25">
            <v>6.3197744217035973E-2</v>
          </cell>
          <cell r="K25">
            <v>4.326084281948428E-2</v>
          </cell>
          <cell r="L25">
            <v>4.2100447723865751E-2</v>
          </cell>
          <cell r="M25">
            <v>2.8620159792312291E-2</v>
          </cell>
          <cell r="N25">
            <v>4.9640826420677527E-2</v>
          </cell>
          <cell r="O25">
            <v>5.0836252311635494E-2</v>
          </cell>
          <cell r="P25">
            <v>7.8786448143081236E-2</v>
          </cell>
          <cell r="Q25">
            <v>3.5757684342720655E-2</v>
          </cell>
          <cell r="R25">
            <v>5.0969807218867055E-2</v>
          </cell>
          <cell r="S25">
            <v>6.059013938895734E-2</v>
          </cell>
          <cell r="T25">
            <v>6.1054297427204751E-2</v>
          </cell>
          <cell r="U25">
            <v>7.7017392978440125E-2</v>
          </cell>
          <cell r="V25">
            <v>6.0174148694301641E-2</v>
          </cell>
          <cell r="W25">
            <v>6.8307170089898533E-2</v>
          </cell>
          <cell r="X25">
            <v>8.8020634934281985E-2</v>
          </cell>
          <cell r="Y25">
            <v>7.9850623784395738E-2</v>
          </cell>
          <cell r="Z25">
            <v>0.10970000000000001</v>
          </cell>
          <cell r="AA25">
            <v>9.4200000000000006E-2</v>
          </cell>
          <cell r="AB25">
            <v>9.8923323863743931E-2</v>
          </cell>
          <cell r="AC25">
            <v>0.10283212131183471</v>
          </cell>
          <cell r="AD25">
            <v>0.11325872838672849</v>
          </cell>
          <cell r="AE25">
            <v>0.12860505588071519</v>
          </cell>
        </row>
        <row r="26">
          <cell r="H26">
            <v>6.7900000000000002E-2</v>
          </cell>
          <cell r="I26">
            <v>9.3099999999999988E-2</v>
          </cell>
          <cell r="J26">
            <v>0.17349999999999999</v>
          </cell>
          <cell r="K26">
            <v>0.1865</v>
          </cell>
          <cell r="L26">
            <v>9.8900000000000002E-2</v>
          </cell>
          <cell r="M26">
            <v>0.1036</v>
          </cell>
          <cell r="N26">
            <v>0.1033</v>
          </cell>
          <cell r="O26">
            <v>0.10299999999999999</v>
          </cell>
          <cell r="P26">
            <v>0.16839999999999999</v>
          </cell>
          <cell r="Q26">
            <v>9.3099999999999988E-2</v>
          </cell>
          <cell r="R26">
            <v>0.1729</v>
          </cell>
          <cell r="S26">
            <v>0.18819999999999998</v>
          </cell>
          <cell r="T26">
            <v>0.14849999999999999</v>
          </cell>
          <cell r="U26">
            <v>0.13639999999999999</v>
          </cell>
          <cell r="V26">
            <v>0.11509999999999999</v>
          </cell>
          <cell r="W26">
            <v>0.34855169999999996</v>
          </cell>
          <cell r="X26">
            <v>0.44914379999999998</v>
          </cell>
          <cell r="Y26">
            <v>0.4074546</v>
          </cell>
          <cell r="Z26">
            <v>3.5369000000000002</v>
          </cell>
          <cell r="AA26">
            <v>3.9733000000000001</v>
          </cell>
          <cell r="AB26">
            <v>3.449729856136257</v>
          </cell>
          <cell r="AC26">
            <v>3.0943406286881654</v>
          </cell>
          <cell r="AD26">
            <v>3.0579254016132715</v>
          </cell>
          <cell r="AE26">
            <v>3.1692212141192844</v>
          </cell>
        </row>
        <row r="27">
          <cell r="H27">
            <v>0.34329999999999999</v>
          </cell>
          <cell r="I27">
            <v>0.83960000000000001</v>
          </cell>
          <cell r="J27">
            <v>0.4824</v>
          </cell>
          <cell r="K27">
            <v>0.71140000000000003</v>
          </cell>
          <cell r="L27">
            <v>0.39800000000000002</v>
          </cell>
          <cell r="M27">
            <v>0.2858</v>
          </cell>
          <cell r="N27">
            <v>0.30269999999999997</v>
          </cell>
          <cell r="O27">
            <v>0.52510000000000001</v>
          </cell>
          <cell r="P27">
            <v>0.63970000000000005</v>
          </cell>
          <cell r="Q27">
            <v>0.7984</v>
          </cell>
          <cell r="R27">
            <v>2.4916999999999998</v>
          </cell>
          <cell r="S27">
            <v>1.8120000000000001</v>
          </cell>
          <cell r="T27">
            <v>1.2810999999999999</v>
          </cell>
          <cell r="U27">
            <v>1.1297999999999999</v>
          </cell>
          <cell r="V27">
            <v>0.46079999999999999</v>
          </cell>
          <cell r="W27">
            <v>0.1757</v>
          </cell>
          <cell r="X27">
            <v>0.44230000000000003</v>
          </cell>
          <cell r="Y27">
            <v>0.30010000000000003</v>
          </cell>
          <cell r="Z27">
            <v>0.32750000000000001</v>
          </cell>
          <cell r="AA27">
            <v>0.47720000000000001</v>
          </cell>
          <cell r="AB27">
            <v>0.55912742999999965</v>
          </cell>
          <cell r="AC27">
            <v>0.54529235000000031</v>
          </cell>
          <cell r="AD27">
            <v>0.40671768999999997</v>
          </cell>
          <cell r="AE27">
            <v>0.44228138999999994</v>
          </cell>
        </row>
        <row r="28">
          <cell r="H28">
            <v>0.20303249999999998</v>
          </cell>
          <cell r="I28">
            <v>0.28772999999999999</v>
          </cell>
          <cell r="J28">
            <v>0.3148125</v>
          </cell>
          <cell r="K28">
            <v>0.34934699999999996</v>
          </cell>
          <cell r="L28">
            <v>0.195408</v>
          </cell>
          <cell r="M28">
            <v>0.33637499999999998</v>
          </cell>
          <cell r="N28">
            <v>0.13727549999999999</v>
          </cell>
          <cell r="O28">
            <v>0.35469449999999997</v>
          </cell>
          <cell r="P28">
            <v>0.25029750000000001</v>
          </cell>
          <cell r="Q28">
            <v>0.1968915</v>
          </cell>
          <cell r="R28">
            <v>0.43252649999999998</v>
          </cell>
          <cell r="S28">
            <v>0.54820499999999994</v>
          </cell>
          <cell r="T28">
            <v>0.97724699999999987</v>
          </cell>
          <cell r="U28">
            <v>0.84756149999999986</v>
          </cell>
          <cell r="V28">
            <v>0.64639199999999997</v>
          </cell>
          <cell r="W28">
            <v>0.33719399999999999</v>
          </cell>
          <cell r="X28">
            <v>0.39087360000000004</v>
          </cell>
          <cell r="Y28">
            <v>0.30558060000000004</v>
          </cell>
          <cell r="Z28">
            <v>3.7835000000000001</v>
          </cell>
          <cell r="AA28">
            <v>1.3673</v>
          </cell>
          <cell r="AB28">
            <v>1.8872418900000005</v>
          </cell>
          <cell r="AC28">
            <v>1.84246679</v>
          </cell>
          <cell r="AD28">
            <v>1.9964261199999997</v>
          </cell>
          <cell r="AE28">
            <v>2.11022474</v>
          </cell>
        </row>
        <row r="29">
          <cell r="H29">
            <v>0.38546750000000002</v>
          </cell>
          <cell r="I29">
            <v>0.54627000000000003</v>
          </cell>
          <cell r="J29">
            <v>0.59768750000000004</v>
          </cell>
          <cell r="K29">
            <v>0.66325300000000009</v>
          </cell>
          <cell r="L29">
            <v>0.37099200000000004</v>
          </cell>
          <cell r="M29">
            <v>0.638625</v>
          </cell>
          <cell r="N29">
            <v>0.26062450000000004</v>
          </cell>
          <cell r="O29">
            <v>0.67340549999999999</v>
          </cell>
          <cell r="P29">
            <v>0.47520250000000003</v>
          </cell>
          <cell r="Q29">
            <v>0.37380850000000004</v>
          </cell>
          <cell r="R29">
            <v>0.82117350000000011</v>
          </cell>
          <cell r="S29">
            <v>1.0407950000000001</v>
          </cell>
          <cell r="T29">
            <v>1.855353</v>
          </cell>
          <cell r="U29">
            <v>1.6091385</v>
          </cell>
          <cell r="V29">
            <v>1.2272080000000001</v>
          </cell>
          <cell r="W29">
            <v>1.1038060000000001</v>
          </cell>
          <cell r="X29">
            <v>1.2795264000000002</v>
          </cell>
          <cell r="Y29">
            <v>1.0003194000000002</v>
          </cell>
          <cell r="Z29">
            <v>3.7835000000000001</v>
          </cell>
          <cell r="AA29">
            <v>1.3673</v>
          </cell>
          <cell r="AB29">
            <v>1.8872418900000005</v>
          </cell>
          <cell r="AC29">
            <v>1.84246679</v>
          </cell>
          <cell r="AD29">
            <v>1.9964261199999997</v>
          </cell>
          <cell r="AE29">
            <v>2.11022474</v>
          </cell>
        </row>
        <row r="30">
          <cell r="H30">
            <v>0.66609400000000007</v>
          </cell>
          <cell r="I30">
            <v>1.1484180000000002</v>
          </cell>
          <cell r="J30">
            <v>0.55253399999999997</v>
          </cell>
          <cell r="K30">
            <v>0.6476320000000001</v>
          </cell>
          <cell r="L30">
            <v>0.68836400000000009</v>
          </cell>
          <cell r="M30">
            <v>0.40613802400000004</v>
          </cell>
          <cell r="N30">
            <v>0.97611110000000012</v>
          </cell>
          <cell r="O30">
            <v>0.44944599999999996</v>
          </cell>
          <cell r="P30">
            <v>1.0394595600000001</v>
          </cell>
          <cell r="Q30">
            <v>1.9108285600000001</v>
          </cell>
          <cell r="R30">
            <v>2.0233162</v>
          </cell>
          <cell r="S30">
            <v>1.5876980000000001</v>
          </cell>
          <cell r="T30">
            <v>1.3800260000000002</v>
          </cell>
          <cell r="U30">
            <v>1.4298360000000001</v>
          </cell>
          <cell r="V30">
            <v>1.3088299999999999</v>
          </cell>
          <cell r="W30">
            <v>1.4430000000000001</v>
          </cell>
          <cell r="X30">
            <v>1.3551</v>
          </cell>
          <cell r="Y30">
            <v>1.248</v>
          </cell>
          <cell r="Z30">
            <v>1.1154000000000002</v>
          </cell>
          <cell r="AA30">
            <v>1.0509999999999999</v>
          </cell>
          <cell r="AB30">
            <v>1.2799544001277074</v>
          </cell>
          <cell r="AC30">
            <v>1.4046792195590034</v>
          </cell>
          <cell r="AD30">
            <v>1.4878548079657998</v>
          </cell>
          <cell r="AE30">
            <v>1.4917427808967407</v>
          </cell>
        </row>
        <row r="31">
          <cell r="H31">
            <v>1.2930060000000001</v>
          </cell>
          <cell r="I31">
            <v>2.229282</v>
          </cell>
          <cell r="J31">
            <v>1.0725660000000001</v>
          </cell>
          <cell r="K31">
            <v>1.2571680000000001</v>
          </cell>
          <cell r="L31">
            <v>1.3362360000000002</v>
          </cell>
          <cell r="M31">
            <v>0.78838557600000003</v>
          </cell>
          <cell r="N31">
            <v>1.8948039000000001</v>
          </cell>
          <cell r="O31">
            <v>0.87245399999999995</v>
          </cell>
          <cell r="P31">
            <v>2.0177744400000002</v>
          </cell>
          <cell r="Q31">
            <v>3.7092554399999997</v>
          </cell>
          <cell r="R31">
            <v>3.9276137999999996</v>
          </cell>
          <cell r="S31">
            <v>3.0820020000000001</v>
          </cell>
          <cell r="T31">
            <v>2.6788740000000009</v>
          </cell>
          <cell r="U31">
            <v>2.7755639999999997</v>
          </cell>
          <cell r="V31">
            <v>2.5406699999999995</v>
          </cell>
          <cell r="W31">
            <v>1.5496500000000002</v>
          </cell>
          <cell r="X31">
            <v>3.1783999999999999</v>
          </cell>
          <cell r="Y31">
            <v>3.2438500000000001</v>
          </cell>
          <cell r="Z31">
            <v>1.3588</v>
          </cell>
          <cell r="AA31">
            <v>0.66200000000000003</v>
          </cell>
          <cell r="AB31">
            <v>1.2854712808283151</v>
          </cell>
          <cell r="AC31">
            <v>1.5350817518422488</v>
          </cell>
          <cell r="AD31">
            <v>1.3825302212329729</v>
          </cell>
          <cell r="AE31">
            <v>1.2973344781524432</v>
          </cell>
        </row>
        <row r="53">
          <cell r="H53">
            <v>4.6720565328458212</v>
          </cell>
          <cell r="I53">
            <v>1.5093528080297529</v>
          </cell>
          <cell r="J53">
            <v>1.6326353993862486</v>
          </cell>
          <cell r="K53">
            <v>2.6697249363466713</v>
          </cell>
          <cell r="L53">
            <v>1.9057770751539596</v>
          </cell>
          <cell r="M53">
            <v>1.3124038157725313</v>
          </cell>
          <cell r="N53">
            <v>1.0072288765130091</v>
          </cell>
          <cell r="O53">
            <v>1.7837576251023464</v>
          </cell>
          <cell r="P53">
            <v>1.8651544507889506</v>
          </cell>
          <cell r="Q53">
            <v>2.2166108874593542</v>
          </cell>
          <cell r="R53">
            <v>2.5878733797903091</v>
          </cell>
          <cell r="S53">
            <v>4.1569475087148886</v>
          </cell>
          <cell r="T53">
            <v>5.6567509684797317</v>
          </cell>
          <cell r="U53">
            <v>5.4289813283833865</v>
          </cell>
          <cell r="V53">
            <v>3.5235074071425996</v>
          </cell>
          <cell r="W53">
            <v>2.4352050691170355</v>
          </cell>
          <cell r="X53">
            <v>2.1414388221232086</v>
          </cell>
          <cell r="Y53">
            <v>2.302555021843534</v>
          </cell>
          <cell r="Z53">
            <v>1.4488319999999999</v>
          </cell>
          <cell r="AA53">
            <v>4.2056000000000004</v>
          </cell>
          <cell r="AB53">
            <v>2.5994797107084047</v>
          </cell>
          <cell r="AC53">
            <v>2.6698126381317313</v>
          </cell>
          <cell r="AD53">
            <v>2.4533274635786939</v>
          </cell>
          <cell r="AE53">
            <v>2.3671787571438605</v>
          </cell>
        </row>
        <row r="54">
          <cell r="H54">
            <v>2.1049529227503614</v>
          </cell>
          <cell r="I54">
            <v>0.68002529130110145</v>
          </cell>
          <cell r="J54">
            <v>0.7355691506648977</v>
          </cell>
          <cell r="K54">
            <v>1.2028204856244402</v>
          </cell>
          <cell r="L54">
            <v>0.85863066858321024</v>
          </cell>
          <cell r="M54">
            <v>0.59129169957975791</v>
          </cell>
          <cell r="N54">
            <v>0.45379788377757357</v>
          </cell>
          <cell r="O54">
            <v>0.80365590613912508</v>
          </cell>
          <cell r="P54">
            <v>0.84032851164530364</v>
          </cell>
          <cell r="Q54">
            <v>0.99867403858570003</v>
          </cell>
          <cell r="R54">
            <v>1.1659430052271653</v>
          </cell>
          <cell r="S54">
            <v>1.8728751988922039</v>
          </cell>
          <cell r="T54">
            <v>2.5485981174802896</v>
          </cell>
          <cell r="U54">
            <v>2.4459785609179971</v>
          </cell>
          <cell r="V54">
            <v>1.587484475595518</v>
          </cell>
          <cell r="W54">
            <v>1.0971596751232116</v>
          </cell>
          <cell r="X54">
            <v>0.96480594269985731</v>
          </cell>
          <cell r="Y54">
            <v>1.0373953930028383</v>
          </cell>
          <cell r="Z54">
            <v>0.90551999999999988</v>
          </cell>
          <cell r="AA54">
            <v>2.6284999999999998</v>
          </cell>
          <cell r="AB54">
            <v>1.6246748191927527</v>
          </cell>
          <cell r="AC54">
            <v>1.668632898832332</v>
          </cell>
          <cell r="AD54">
            <v>1.5333296647366834</v>
          </cell>
          <cell r="AE54">
            <v>1.4794867232149127</v>
          </cell>
        </row>
        <row r="55">
          <cell r="H55">
            <v>2.4698905444038184</v>
          </cell>
          <cell r="I55">
            <v>0.79792190066914614</v>
          </cell>
          <cell r="J55">
            <v>0.86309544994885412</v>
          </cell>
          <cell r="K55">
            <v>1.4113545780288896</v>
          </cell>
          <cell r="L55">
            <v>1.0074922562628299</v>
          </cell>
          <cell r="M55">
            <v>0.69380448464771105</v>
          </cell>
          <cell r="N55">
            <v>0.53247323970941751</v>
          </cell>
          <cell r="O55">
            <v>0.94298646875852898</v>
          </cell>
          <cell r="P55">
            <v>0.98601703756574599</v>
          </cell>
          <cell r="Q55">
            <v>1.1718150739549462</v>
          </cell>
          <cell r="R55">
            <v>1.368083614982526</v>
          </cell>
          <cell r="S55">
            <v>2.1975772923929076</v>
          </cell>
          <cell r="T55">
            <v>2.9904509140399775</v>
          </cell>
          <cell r="U55">
            <v>2.8700401106986155</v>
          </cell>
          <cell r="V55">
            <v>1.8627081172618836</v>
          </cell>
          <cell r="W55">
            <v>1.2873752557597529</v>
          </cell>
          <cell r="X55">
            <v>1.1320752351769341</v>
          </cell>
          <cell r="Y55">
            <v>1.2172495851536278</v>
          </cell>
          <cell r="Z55">
            <v>0.23284799999999997</v>
          </cell>
          <cell r="AA55">
            <v>0.67589999999999995</v>
          </cell>
          <cell r="AB55">
            <v>0.41777352493527931</v>
          </cell>
          <cell r="AC55">
            <v>0.42907703112831391</v>
          </cell>
          <cell r="AD55">
            <v>0.39428477093229003</v>
          </cell>
          <cell r="AE55">
            <v>0.38043944311240613</v>
          </cell>
        </row>
        <row r="56">
          <cell r="H56">
            <v>1.1645465043915073</v>
          </cell>
          <cell r="I56">
            <v>1.1001820295846425</v>
          </cell>
          <cell r="J56">
            <v>0.77513011814390298</v>
          </cell>
          <cell r="K56">
            <v>0.68998963836582305</v>
          </cell>
          <cell r="L56">
            <v>0.47628477138962716</v>
          </cell>
          <cell r="M56">
            <v>0.72979317264235954</v>
          </cell>
          <cell r="N56">
            <v>1.1207523315363412</v>
          </cell>
          <cell r="O56">
            <v>1.7296949802124721</v>
          </cell>
          <cell r="P56">
            <v>1.2091017784188862</v>
          </cell>
          <cell r="Q56">
            <v>0.64730626181604856</v>
          </cell>
          <cell r="R56">
            <v>0.79226517966966792</v>
          </cell>
          <cell r="S56">
            <v>1.1545493376429821</v>
          </cell>
          <cell r="T56">
            <v>1.6151595389454148</v>
          </cell>
          <cell r="U56">
            <v>1.1894365697530624</v>
          </cell>
          <cell r="V56">
            <v>1.2257225823958589</v>
          </cell>
          <cell r="W56">
            <v>1.0573849449768578</v>
          </cell>
          <cell r="X56">
            <v>0.72875294390060763</v>
          </cell>
          <cell r="Y56">
            <v>0.92132453975849626</v>
          </cell>
          <cell r="Z56">
            <v>1.6346550000000002</v>
          </cell>
          <cell r="AA56">
            <v>2.0905169999999997</v>
          </cell>
          <cell r="AB56">
            <v>1.7691131441651935</v>
          </cell>
          <cell r="AC56">
            <v>1.7050112905317358</v>
          </cell>
          <cell r="AD56">
            <v>1.6258923167686812</v>
          </cell>
          <cell r="AE56">
            <v>1.7031142550524103</v>
          </cell>
        </row>
        <row r="57">
          <cell r="H57">
            <v>2.1508979819924536</v>
          </cell>
          <cell r="I57">
            <v>2.0320178699041631</v>
          </cell>
          <cell r="J57">
            <v>1.4316524077056443</v>
          </cell>
          <cell r="K57">
            <v>1.2743993607470525</v>
          </cell>
          <cell r="L57">
            <v>0.87969003365045617</v>
          </cell>
          <cell r="M57">
            <v>1.3479158250777785</v>
          </cell>
          <cell r="N57">
            <v>2.0700108747262438</v>
          </cell>
          <cell r="O57">
            <v>3.1947177964742988</v>
          </cell>
          <cell r="P57">
            <v>2.2331908304370804</v>
          </cell>
          <cell r="Q57">
            <v>1.195563875741235</v>
          </cell>
          <cell r="R57">
            <v>1.4633005807224375</v>
          </cell>
          <cell r="S57">
            <v>2.1324333816489229</v>
          </cell>
          <cell r="T57">
            <v>2.983172745624953</v>
          </cell>
          <cell r="U57">
            <v>2.1968695178271713</v>
          </cell>
          <cell r="V57">
            <v>2.2638891783333217</v>
          </cell>
          <cell r="W57">
            <v>1.9529723680105797</v>
          </cell>
          <cell r="X57">
            <v>1.3459945399311508</v>
          </cell>
          <cell r="Y57">
            <v>1.701671067538973</v>
          </cell>
          <cell r="Z57">
            <v>0.59441999999999995</v>
          </cell>
          <cell r="AA57">
            <v>0.76018799999999986</v>
          </cell>
          <cell r="AB57">
            <v>0.64331387060552492</v>
          </cell>
          <cell r="AC57">
            <v>0.62000410564790387</v>
          </cell>
          <cell r="AD57">
            <v>0.59123356973406582</v>
          </cell>
          <cell r="AE57">
            <v>0.61931427456451282</v>
          </cell>
        </row>
        <row r="58">
          <cell r="H58">
            <v>0.53772449549811341</v>
          </cell>
          <cell r="I58">
            <v>0.50800446747604078</v>
          </cell>
          <cell r="J58">
            <v>0.35791310192641107</v>
          </cell>
          <cell r="K58">
            <v>0.31859984018676313</v>
          </cell>
          <cell r="L58">
            <v>0.21992250841261404</v>
          </cell>
          <cell r="M58">
            <v>0.33697895626944463</v>
          </cell>
          <cell r="N58">
            <v>0.51750271868156095</v>
          </cell>
          <cell r="O58">
            <v>0.79867944911857469</v>
          </cell>
          <cell r="P58">
            <v>0.55829770760927011</v>
          </cell>
          <cell r="Q58">
            <v>0.29889096893530875</v>
          </cell>
          <cell r="R58">
            <v>0.36582514518060938</v>
          </cell>
          <cell r="S58">
            <v>0.53310834541223073</v>
          </cell>
          <cell r="T58">
            <v>0.74579318640623826</v>
          </cell>
          <cell r="U58">
            <v>0.54921737945679283</v>
          </cell>
          <cell r="V58">
            <v>0.56597229458333043</v>
          </cell>
          <cell r="W58">
            <v>0.48824309200264493</v>
          </cell>
          <cell r="X58">
            <v>0.3364986349827877</v>
          </cell>
          <cell r="Y58">
            <v>0.42541776688474325</v>
          </cell>
          <cell r="Z58">
            <v>2.1300050000000001</v>
          </cell>
          <cell r="AA58">
            <v>2.7240069999999998</v>
          </cell>
          <cell r="AB58">
            <v>2.305208036336464</v>
          </cell>
          <cell r="AC58">
            <v>2.2216813785716556</v>
          </cell>
          <cell r="AD58">
            <v>2.118586958213736</v>
          </cell>
          <cell r="AE58">
            <v>2.2192094838561709</v>
          </cell>
        </row>
        <row r="59">
          <cell r="H59">
            <v>1.0381942181179253</v>
          </cell>
          <cell r="I59">
            <v>0.980813233035153</v>
          </cell>
          <cell r="J59">
            <v>0.69102917222404159</v>
          </cell>
          <cell r="K59">
            <v>0.61512636070036175</v>
          </cell>
          <cell r="L59">
            <v>0.42460828654730265</v>
          </cell>
          <cell r="M59">
            <v>0.65061124601041742</v>
          </cell>
          <cell r="N59">
            <v>0.99915167505585367</v>
          </cell>
          <cell r="O59">
            <v>1.542024574194655</v>
          </cell>
          <cell r="P59">
            <v>1.077915283534763</v>
          </cell>
          <cell r="Q59">
            <v>0.57707409350740779</v>
          </cell>
          <cell r="R59">
            <v>0.70630509442728517</v>
          </cell>
          <cell r="S59">
            <v>1.029281735295865</v>
          </cell>
          <cell r="T59">
            <v>1.4399161290233935</v>
          </cell>
          <cell r="U59">
            <v>1.0603837329629731</v>
          </cell>
          <cell r="V59">
            <v>1.092732744687489</v>
          </cell>
          <cell r="W59">
            <v>0.94265959500991836</v>
          </cell>
          <cell r="X59">
            <v>0.64968388118545384</v>
          </cell>
          <cell r="Y59">
            <v>0.82136162581778727</v>
          </cell>
          <cell r="Z59">
            <v>0.59441999999999995</v>
          </cell>
          <cell r="AA59">
            <v>0.76018799999999986</v>
          </cell>
          <cell r="AB59">
            <v>0.64331387060552492</v>
          </cell>
          <cell r="AC59">
            <v>0.62000410564790387</v>
          </cell>
          <cell r="AD59">
            <v>0.59123356973406582</v>
          </cell>
          <cell r="AE59">
            <v>0.61931427456451282</v>
          </cell>
        </row>
        <row r="60">
          <cell r="H60">
            <v>1.6924380000000001</v>
          </cell>
          <cell r="I60">
            <v>1.484802</v>
          </cell>
          <cell r="J60">
            <v>2.0873819999999998</v>
          </cell>
          <cell r="K60">
            <v>2.0856660000000002</v>
          </cell>
          <cell r="L60">
            <v>2.3110560000000002</v>
          </cell>
          <cell r="M60">
            <v>3.1661519999999999</v>
          </cell>
          <cell r="N60">
            <v>2.39778</v>
          </cell>
          <cell r="O60">
            <v>1.4201721599999999</v>
          </cell>
          <cell r="P60">
            <v>2.9824739999999998</v>
          </cell>
          <cell r="Q60">
            <v>1.9324140000000003</v>
          </cell>
          <cell r="R60">
            <v>1.907796</v>
          </cell>
          <cell r="S60">
            <v>2.3078220000000003</v>
          </cell>
          <cell r="T60">
            <v>2.4817980000000004</v>
          </cell>
          <cell r="U60">
            <v>2.3626019999999999</v>
          </cell>
          <cell r="V60">
            <v>2.16249</v>
          </cell>
          <cell r="W60">
            <v>2.6243000000000003</v>
          </cell>
          <cell r="X60">
            <v>3.7761</v>
          </cell>
          <cell r="Y60">
            <v>2.5621999999999998</v>
          </cell>
          <cell r="Z60">
            <v>3.0191999999999997</v>
          </cell>
          <cell r="AA60">
            <v>2.9931000000000001</v>
          </cell>
          <cell r="AB60">
            <v>2.8918301090794269</v>
          </cell>
          <cell r="AC60">
            <v>3.782360064278282</v>
          </cell>
          <cell r="AD60">
            <v>3.4705377413257055</v>
          </cell>
          <cell r="AE60">
            <v>3.2160116321090824</v>
          </cell>
        </row>
        <row r="61">
          <cell r="H61">
            <v>0.87186200000000003</v>
          </cell>
          <cell r="I61">
            <v>0.76489800000000008</v>
          </cell>
          <cell r="J61">
            <v>1.075318</v>
          </cell>
          <cell r="K61">
            <v>1.0744339999999999</v>
          </cell>
          <cell r="L61">
            <v>1.190544</v>
          </cell>
          <cell r="M61">
            <v>1.6310480000000001</v>
          </cell>
          <cell r="N61">
            <v>1.23522</v>
          </cell>
          <cell r="O61">
            <v>0.73160384000000001</v>
          </cell>
          <cell r="P61">
            <v>1.5364259999999998</v>
          </cell>
          <cell r="Q61">
            <v>0.99548600000000009</v>
          </cell>
          <cell r="R61">
            <v>0.98280400000000012</v>
          </cell>
          <cell r="S61">
            <v>1.1888779999999999</v>
          </cell>
          <cell r="T61">
            <v>1.2785020000000002</v>
          </cell>
          <cell r="U61">
            <v>1.217098</v>
          </cell>
          <cell r="V61">
            <v>1.1140099999999999</v>
          </cell>
          <cell r="W61">
            <v>1.2012</v>
          </cell>
          <cell r="X61">
            <v>1.5534000000000001</v>
          </cell>
          <cell r="Y61">
            <v>0.81710000000000005</v>
          </cell>
          <cell r="Z61">
            <v>1.2970999999999999</v>
          </cell>
          <cell r="AA61">
            <v>1.4250999999999998</v>
          </cell>
          <cell r="AB61">
            <v>1.3376018689940781</v>
          </cell>
          <cell r="AC61">
            <v>1.4693053926132156</v>
          </cell>
          <cell r="AD61">
            <v>1.3354667382339562</v>
          </cell>
          <cell r="AE61">
            <v>1.249250206816515</v>
          </cell>
        </row>
        <row r="62">
          <cell r="H62">
            <v>5.2438000000000002</v>
          </cell>
          <cell r="I62">
            <v>3.0779999999999998</v>
          </cell>
          <cell r="J62">
            <v>3.5724999999999998</v>
          </cell>
          <cell r="K62">
            <v>4.5848000000000004</v>
          </cell>
          <cell r="L62">
            <v>3.4581999999999997</v>
          </cell>
          <cell r="M62">
            <v>3.2988000000000004</v>
          </cell>
          <cell r="N62">
            <v>3.1168</v>
          </cell>
          <cell r="O62">
            <v>3.8371</v>
          </cell>
          <cell r="P62">
            <v>5.0454999999999997</v>
          </cell>
          <cell r="Q62">
            <v>6.3580129999999997</v>
          </cell>
          <cell r="R62">
            <v>4.7816999999999998</v>
          </cell>
          <cell r="S62">
            <v>6.0843999999999996</v>
          </cell>
          <cell r="T62">
            <v>5.7608000000000006</v>
          </cell>
          <cell r="U62">
            <v>5.1916000000000002</v>
          </cell>
          <cell r="V62">
            <v>6.0718000000000005</v>
          </cell>
          <cell r="W62">
            <v>2.7429000000000001</v>
          </cell>
          <cell r="X62">
            <v>4.8205</v>
          </cell>
          <cell r="Y62">
            <v>3.1579999999999999</v>
          </cell>
          <cell r="Z62">
            <v>4.7521000000000004</v>
          </cell>
          <cell r="AA62">
            <v>4.5863000000000005</v>
          </cell>
          <cell r="AB62">
            <v>4.2521218800000069</v>
          </cell>
          <cell r="AC62">
            <v>4.1643903399999962</v>
          </cell>
          <cell r="AD62">
            <v>4.2213762000000035</v>
          </cell>
          <cell r="AE62">
            <v>4.5285378099999987</v>
          </cell>
        </row>
        <row r="63">
          <cell r="H63">
            <v>0.5481317139383739</v>
          </cell>
          <cell r="I63">
            <v>0.5178364790468617</v>
          </cell>
          <cell r="J63">
            <v>0.36484021769957081</v>
          </cell>
          <cell r="K63">
            <v>0.32476607988686124</v>
          </cell>
          <cell r="L63">
            <v>0.22417892894792907</v>
          </cell>
          <cell r="M63">
            <v>0.34350090875073974</v>
          </cell>
          <cell r="N63">
            <v>0.52751856114705731</v>
          </cell>
          <cell r="O63">
            <v>0.81413723755914813</v>
          </cell>
          <cell r="P63">
            <v>0.56910310376739748</v>
          </cell>
          <cell r="Q63">
            <v>0.30467575952895537</v>
          </cell>
          <cell r="R63">
            <v>0.37290539208903378</v>
          </cell>
          <cell r="S63">
            <v>0.54342622203767876</v>
          </cell>
          <cell r="T63">
            <v>0.76022740442525871</v>
          </cell>
          <cell r="U63">
            <v>0.55984703327961061</v>
          </cell>
          <cell r="V63">
            <v>0.57692622610435551</v>
          </cell>
          <cell r="W63">
            <v>0.37201976634398637</v>
          </cell>
          <cell r="X63">
            <v>0.26963174813441793</v>
          </cell>
          <cell r="Y63">
            <v>0.34990048025184839</v>
          </cell>
          <cell r="Z63">
            <v>0.25180000000000002</v>
          </cell>
          <cell r="AA63">
            <v>0.24840000000000001</v>
          </cell>
          <cell r="AB63">
            <v>0.2696633082872934</v>
          </cell>
          <cell r="AC63">
            <v>0.33187896960079466</v>
          </cell>
          <cell r="AD63">
            <v>0.24932755554944439</v>
          </cell>
          <cell r="AE63">
            <v>0.2462404319623952</v>
          </cell>
        </row>
        <row r="64">
          <cell r="H64">
            <v>0.22180508606162622</v>
          </cell>
          <cell r="I64">
            <v>0.20954592095313826</v>
          </cell>
          <cell r="J64">
            <v>0.14763498230042921</v>
          </cell>
          <cell r="K64">
            <v>0.13141872011313882</v>
          </cell>
          <cell r="L64">
            <v>9.0715471052070965E-2</v>
          </cell>
          <cell r="M64">
            <v>0.13899989124926035</v>
          </cell>
          <cell r="N64">
            <v>0.21346383885294262</v>
          </cell>
          <cell r="O64">
            <v>0.32944596244085222</v>
          </cell>
          <cell r="P64">
            <v>0.23029129623260253</v>
          </cell>
          <cell r="Q64">
            <v>0.12328904047104472</v>
          </cell>
          <cell r="R64">
            <v>0.15089860791096629</v>
          </cell>
          <cell r="S64">
            <v>0.2199009779623213</v>
          </cell>
          <cell r="T64">
            <v>0.30763099557474127</v>
          </cell>
          <cell r="U64">
            <v>0.22654576672038956</v>
          </cell>
          <cell r="V64">
            <v>0.23345697389564446</v>
          </cell>
          <cell r="W64">
            <v>0.15054023365601354</v>
          </cell>
          <cell r="X64">
            <v>0.1091082518655821</v>
          </cell>
          <cell r="Y64">
            <v>0.14158951974815162</v>
          </cell>
          <cell r="Z64">
            <v>0.25180000000000002</v>
          </cell>
          <cell r="AA64">
            <v>0.24840000000000001</v>
          </cell>
          <cell r="AB64">
            <v>0.2696633082872934</v>
          </cell>
          <cell r="AC64">
            <v>0.33187896960079466</v>
          </cell>
          <cell r="AD64">
            <v>0.24932755554944439</v>
          </cell>
          <cell r="AE64">
            <v>0.2462404319623952</v>
          </cell>
        </row>
        <row r="65">
          <cell r="H65">
            <v>0.23799999999999999</v>
          </cell>
          <cell r="I65">
            <v>0.17499999999999999</v>
          </cell>
          <cell r="J65">
            <v>0.22190000000000001</v>
          </cell>
          <cell r="K65">
            <v>0.18659999999999999</v>
          </cell>
          <cell r="L65">
            <v>0.33439999999999998</v>
          </cell>
          <cell r="M65">
            <v>0.22409999999999999</v>
          </cell>
          <cell r="N65">
            <v>0.1966</v>
          </cell>
          <cell r="O65">
            <v>0.28989999999999999</v>
          </cell>
          <cell r="P65">
            <v>0.19939999999999999</v>
          </cell>
          <cell r="Q65">
            <v>0.25030000000000002</v>
          </cell>
          <cell r="R65">
            <v>0.33189999999999997</v>
          </cell>
          <cell r="S65">
            <v>0.25900000000000001</v>
          </cell>
          <cell r="T65">
            <v>0.33539999999999998</v>
          </cell>
          <cell r="U65">
            <v>0.30019999999999997</v>
          </cell>
          <cell r="V65">
            <v>0.20430000000000001</v>
          </cell>
          <cell r="W65">
            <v>0.76816319999999993</v>
          </cell>
          <cell r="X65">
            <v>0.55674780000000001</v>
          </cell>
          <cell r="Y65">
            <v>0.72249029999999992</v>
          </cell>
          <cell r="Z65">
            <v>4.9535</v>
          </cell>
          <cell r="AA65">
            <v>6.3348999999999993</v>
          </cell>
          <cell r="AB65">
            <v>5.3609489217127075</v>
          </cell>
          <cell r="AC65">
            <v>5.1667008803991994</v>
          </cell>
          <cell r="AD65">
            <v>4.9269464144505486</v>
          </cell>
          <cell r="AE65">
            <v>5.1609522880376071</v>
          </cell>
        </row>
        <row r="66">
          <cell r="H66">
            <v>0.61850000000000005</v>
          </cell>
          <cell r="I66">
            <v>2.2084999999999999</v>
          </cell>
          <cell r="J66">
            <v>1.4847000000000001</v>
          </cell>
          <cell r="K66">
            <v>0.95320000000000005</v>
          </cell>
          <cell r="L66">
            <v>0.90810000000000002</v>
          </cell>
          <cell r="M66">
            <v>0.42230000000000001</v>
          </cell>
          <cell r="N66">
            <v>0.60639999999999994</v>
          </cell>
          <cell r="O66">
            <v>0.6167999999999999</v>
          </cell>
          <cell r="P66">
            <v>1.0635999999999999</v>
          </cell>
          <cell r="Q66">
            <v>1.0459000000000001</v>
          </cell>
          <cell r="R66">
            <v>2.0405000000000002</v>
          </cell>
          <cell r="S66">
            <v>2.3144</v>
          </cell>
          <cell r="T66">
            <v>1.7478</v>
          </cell>
          <cell r="U66">
            <v>1.9861</v>
          </cell>
          <cell r="V66">
            <v>1.1522000000000001</v>
          </cell>
          <cell r="W66">
            <v>0.38150000000000001</v>
          </cell>
          <cell r="X66">
            <v>0.92549999999999999</v>
          </cell>
          <cell r="Y66">
            <v>1.1422999999999999</v>
          </cell>
          <cell r="Z66">
            <v>1.5630999999999999</v>
          </cell>
          <cell r="AA66">
            <v>1.7925</v>
          </cell>
          <cell r="AB66">
            <v>1.7621433593581584</v>
          </cell>
          <cell r="AC66">
            <v>1.4336343163011998</v>
          </cell>
          <cell r="AD66">
            <v>1.3691762784064214</v>
          </cell>
          <cell r="AE66">
            <v>1.5800612145564872</v>
          </cell>
        </row>
        <row r="67">
          <cell r="H67">
            <v>0.43003140000000001</v>
          </cell>
          <cell r="I67">
            <v>0.38538420000000001</v>
          </cell>
          <cell r="J67">
            <v>0.66239400000000004</v>
          </cell>
          <cell r="K67">
            <v>0.43521479999999996</v>
          </cell>
          <cell r="L67">
            <v>0.36477779999999993</v>
          </cell>
          <cell r="M67">
            <v>0.67629059999999996</v>
          </cell>
          <cell r="N67">
            <v>0.52988339999999989</v>
          </cell>
          <cell r="O67">
            <v>0.50167679999999992</v>
          </cell>
          <cell r="P67">
            <v>0.38506620000000003</v>
          </cell>
          <cell r="Q67">
            <v>0.32744460000000003</v>
          </cell>
          <cell r="R67">
            <v>0.54336660000000003</v>
          </cell>
          <cell r="S67">
            <v>0.64827480000000004</v>
          </cell>
          <cell r="T67">
            <v>0.97781820000000008</v>
          </cell>
          <cell r="U67">
            <v>0.78724080000000007</v>
          </cell>
          <cell r="V67">
            <v>0.68166479999999996</v>
          </cell>
          <cell r="W67">
            <v>0.47345219999999999</v>
          </cell>
          <cell r="X67">
            <v>0.48302279999999997</v>
          </cell>
          <cell r="Y67">
            <v>0.4790682</v>
          </cell>
          <cell r="Z67">
            <v>3.056</v>
          </cell>
          <cell r="AA67">
            <v>2.3259000000000003</v>
          </cell>
          <cell r="AB67">
            <v>2.0441822700000003</v>
          </cell>
          <cell r="AC67">
            <v>2.0585218499999991</v>
          </cell>
          <cell r="AD67">
            <v>2.2333007499999997</v>
          </cell>
          <cell r="AE67">
            <v>2.33822785</v>
          </cell>
        </row>
        <row r="68">
          <cell r="H68">
            <v>0.92226859999999999</v>
          </cell>
          <cell r="I68">
            <v>0.82651580000000013</v>
          </cell>
          <cell r="J68">
            <v>1.420606</v>
          </cell>
          <cell r="K68">
            <v>0.93338520000000003</v>
          </cell>
          <cell r="L68">
            <v>0.78232219999999997</v>
          </cell>
          <cell r="M68">
            <v>1.4504094000000001</v>
          </cell>
          <cell r="N68">
            <v>1.1364166</v>
          </cell>
          <cell r="O68">
            <v>1.0759231999999999</v>
          </cell>
          <cell r="P68">
            <v>0.82583380000000006</v>
          </cell>
          <cell r="Q68">
            <v>0.70225540000000009</v>
          </cell>
          <cell r="R68">
            <v>1.1653334000000002</v>
          </cell>
          <cell r="S68">
            <v>1.3903251999999999</v>
          </cell>
          <cell r="T68">
            <v>2.0970818000000002</v>
          </cell>
          <cell r="U68">
            <v>1.6883592000000001</v>
          </cell>
          <cell r="V68">
            <v>1.4619352000000001</v>
          </cell>
          <cell r="W68">
            <v>1.5498478</v>
          </cell>
          <cell r="X68">
            <v>1.5811771999999999</v>
          </cell>
          <cell r="Y68">
            <v>1.5682318</v>
          </cell>
          <cell r="Z68">
            <v>3.056</v>
          </cell>
          <cell r="AA68">
            <v>2.3259000000000003</v>
          </cell>
          <cell r="AB68">
            <v>2.0441822700000003</v>
          </cell>
          <cell r="AC68">
            <v>2.0585218499999991</v>
          </cell>
          <cell r="AD68">
            <v>2.2333007499999997</v>
          </cell>
          <cell r="AE68">
            <v>2.33822785</v>
          </cell>
        </row>
        <row r="69">
          <cell r="H69">
            <v>1.112582</v>
          </cell>
          <cell r="I69">
            <v>0.80331799999999998</v>
          </cell>
          <cell r="J69">
            <v>0.79209799999999997</v>
          </cell>
          <cell r="K69">
            <v>1.4170180000000003</v>
          </cell>
          <cell r="L69">
            <v>2.0118140000000002</v>
          </cell>
          <cell r="M69">
            <v>1.9682630600000002</v>
          </cell>
          <cell r="N69">
            <v>1.356931568</v>
          </cell>
          <cell r="O69">
            <v>1.6115660000000003</v>
          </cell>
          <cell r="P69">
            <v>2.0560044800000004</v>
          </cell>
          <cell r="Q69">
            <v>2.2904100000000001</v>
          </cell>
          <cell r="R69">
            <v>2.4596072599999999</v>
          </cell>
          <cell r="S69">
            <v>3.8090502600000002</v>
          </cell>
          <cell r="T69">
            <v>4.7729200000000009</v>
          </cell>
          <cell r="U69">
            <v>4.5525319999999994</v>
          </cell>
          <cell r="V69">
            <v>3.3850400000000009</v>
          </cell>
          <cell r="W69">
            <v>2.8653000000000004</v>
          </cell>
          <cell r="X69">
            <v>1.9470999999999998</v>
          </cell>
          <cell r="Y69">
            <v>3.2425000000000002</v>
          </cell>
          <cell r="Z69">
            <v>1.5354000000000001</v>
          </cell>
          <cell r="AA69">
            <v>1.9370000000000001</v>
          </cell>
          <cell r="AB69">
            <v>2.3703669220352253</v>
          </cell>
          <cell r="AC69">
            <v>1.9890497993605087</v>
          </cell>
          <cell r="AD69">
            <v>2.1600621794832904</v>
          </cell>
          <cell r="AE69">
            <v>2.2621435716444833</v>
          </cell>
        </row>
        <row r="70">
          <cell r="H70">
            <v>2.1597179999999998</v>
          </cell>
          <cell r="I70">
            <v>1.559382</v>
          </cell>
          <cell r="J70">
            <v>1.5376019999999999</v>
          </cell>
          <cell r="K70">
            <v>2.7506820000000007</v>
          </cell>
          <cell r="L70">
            <v>3.9052860000000007</v>
          </cell>
          <cell r="M70">
            <v>3.8207459400000001</v>
          </cell>
          <cell r="N70">
            <v>2.634043632</v>
          </cell>
          <cell r="O70">
            <v>3.1283340000000002</v>
          </cell>
          <cell r="P70">
            <v>3.991067520000001</v>
          </cell>
          <cell r="Q70">
            <v>4.446089999999999</v>
          </cell>
          <cell r="R70">
            <v>4.7745317399999996</v>
          </cell>
          <cell r="S70">
            <v>7.3940387400000001</v>
          </cell>
          <cell r="T70">
            <v>9.2650800000000011</v>
          </cell>
          <cell r="U70">
            <v>8.8372679999999981</v>
          </cell>
          <cell r="V70">
            <v>6.5709600000000021</v>
          </cell>
          <cell r="W70">
            <v>4.5552000000000001</v>
          </cell>
          <cell r="X70">
            <v>5.4093999999999998</v>
          </cell>
          <cell r="Y70">
            <v>5.1186000000000007</v>
          </cell>
          <cell r="Z70">
            <v>1.7812999999999999</v>
          </cell>
          <cell r="AA70">
            <v>2.95</v>
          </cell>
          <cell r="AB70">
            <v>2.2861592609503698</v>
          </cell>
          <cell r="AC70">
            <v>2.5053125556405771</v>
          </cell>
          <cell r="AD70">
            <v>2.4712945670254456</v>
          </cell>
          <cell r="AE70">
            <v>2.4438312461536253</v>
          </cell>
        </row>
        <row r="92">
          <cell r="H92">
            <v>0.41436087365353341</v>
          </cell>
          <cell r="I92">
            <v>0.17461665398690543</v>
          </cell>
          <cell r="J92">
            <v>0.26404705837256015</v>
          </cell>
          <cell r="K92">
            <v>0.26172287837157698</v>
          </cell>
          <cell r="L92">
            <v>0.20771095617481719</v>
          </cell>
          <cell r="M92">
            <v>0.24565572097347629</v>
          </cell>
          <cell r="N92">
            <v>0.38202445624855086</v>
          </cell>
          <cell r="O92">
            <v>0.43265115974822654</v>
          </cell>
          <cell r="P92">
            <v>0.44386785453557986</v>
          </cell>
          <cell r="Q92">
            <v>0.36903936363436263</v>
          </cell>
          <cell r="R92">
            <v>0.5218289358729048</v>
          </cell>
          <cell r="S92">
            <v>0.56649361241353691</v>
          </cell>
          <cell r="T92">
            <v>0.68866463942173628</v>
          </cell>
          <cell r="U92">
            <v>1.031127510001379</v>
          </cell>
          <cell r="V92">
            <v>0.57467876806917317</v>
          </cell>
          <cell r="W92">
            <v>0.49454508368745087</v>
          </cell>
          <cell r="X92">
            <v>0.57525981306941887</v>
          </cell>
          <cell r="Y92">
            <v>0.81019904321227521</v>
          </cell>
          <cell r="Z92">
            <v>0.6358950000000001</v>
          </cell>
          <cell r="AA92">
            <v>0.73733399999999993</v>
          </cell>
          <cell r="AB92">
            <v>0.6518964294875611</v>
          </cell>
          <cell r="AC92">
            <v>0.67716166468748484</v>
          </cell>
          <cell r="AD92">
            <v>0.61357820737900048</v>
          </cell>
          <cell r="AE92">
            <v>0.62155831420158214</v>
          </cell>
        </row>
        <row r="93">
          <cell r="H93">
            <v>0.18668655354200558</v>
          </cell>
          <cell r="I93">
            <v>7.8671958180852486E-2</v>
          </cell>
          <cell r="J93">
            <v>0.11896402009639327</v>
          </cell>
          <cell r="K93">
            <v>0.11791688176412496</v>
          </cell>
          <cell r="L93">
            <v>9.3582297477281418E-2</v>
          </cell>
          <cell r="M93">
            <v>0.11067796894540068</v>
          </cell>
          <cell r="N93">
            <v>0.17211767239740325</v>
          </cell>
          <cell r="O93">
            <v>0.19492707693942124</v>
          </cell>
          <cell r="P93">
            <v>0.19998065758645517</v>
          </cell>
          <cell r="Q93">
            <v>0.1662673560627739</v>
          </cell>
          <cell r="R93">
            <v>0.23510531947101979</v>
          </cell>
          <cell r="S93">
            <v>0.25522858655200176</v>
          </cell>
          <cell r="T93">
            <v>0.31027164062645235</v>
          </cell>
          <cell r="U93">
            <v>0.46456519749850622</v>
          </cell>
          <cell r="V93">
            <v>0.25891633459172925</v>
          </cell>
          <cell r="W93">
            <v>0.22281282600526162</v>
          </cell>
          <cell r="X93">
            <v>0.25917811917479627</v>
          </cell>
          <cell r="Y93">
            <v>0.3650278698533686</v>
          </cell>
          <cell r="Z93">
            <v>0.79894500000000002</v>
          </cell>
          <cell r="AA93">
            <v>0.92639399999999994</v>
          </cell>
          <cell r="AB93">
            <v>0.81904936012539731</v>
          </cell>
          <cell r="AC93">
            <v>0.85079286076119875</v>
          </cell>
          <cell r="AD93">
            <v>0.77090595286079544</v>
          </cell>
          <cell r="AE93">
            <v>0.78093224091993652</v>
          </cell>
        </row>
        <row r="94">
          <cell r="H94">
            <v>0.21905257280446114</v>
          </cell>
          <cell r="I94">
            <v>9.2311387832242131E-2</v>
          </cell>
          <cell r="J94">
            <v>0.13958892153104671</v>
          </cell>
          <cell r="K94">
            <v>0.1383602398642981</v>
          </cell>
          <cell r="L94">
            <v>0.10980674634790144</v>
          </cell>
          <cell r="M94">
            <v>0.12986631008112301</v>
          </cell>
          <cell r="N94">
            <v>0.20195787135404591</v>
          </cell>
          <cell r="O94">
            <v>0.22872176331235222</v>
          </cell>
          <cell r="P94">
            <v>0.234651487877965</v>
          </cell>
          <cell r="Q94">
            <v>0.19509328030286358</v>
          </cell>
          <cell r="R94">
            <v>0.27586574465607538</v>
          </cell>
          <cell r="S94">
            <v>0.29947780103446142</v>
          </cell>
          <cell r="T94">
            <v>0.36406371995181136</v>
          </cell>
          <cell r="U94">
            <v>0.54510729250011491</v>
          </cell>
          <cell r="V94">
            <v>0.30380489733909782</v>
          </cell>
          <cell r="W94">
            <v>0.2614420903072876</v>
          </cell>
          <cell r="X94">
            <v>0.30411206775578492</v>
          </cell>
          <cell r="Y94">
            <v>0.42831308693435627</v>
          </cell>
          <cell r="Z94">
            <v>0.19566</v>
          </cell>
          <cell r="AA94">
            <v>0.22687199999999996</v>
          </cell>
          <cell r="AB94">
            <v>0.20058351676540342</v>
          </cell>
          <cell r="AC94">
            <v>0.20835743528845685</v>
          </cell>
          <cell r="AD94">
            <v>0.188793294578154</v>
          </cell>
          <cell r="AE94">
            <v>0.19124871206202526</v>
          </cell>
        </row>
        <row r="95">
          <cell r="H95">
            <v>0.16229015911096059</v>
          </cell>
          <cell r="I95">
            <v>0.13689095496788101</v>
          </cell>
          <cell r="J95">
            <v>0.1464880483900218</v>
          </cell>
          <cell r="K95">
            <v>0.12630105877793252</v>
          </cell>
          <cell r="L95">
            <v>5.3578256036020636E-2</v>
          </cell>
          <cell r="M95">
            <v>0.14473409683356164</v>
          </cell>
          <cell r="N95">
            <v>0.20832311411164292</v>
          </cell>
          <cell r="O95">
            <v>0.18181528021117813</v>
          </cell>
          <cell r="P95">
            <v>0.25346254662129836</v>
          </cell>
          <cell r="Q95">
            <v>0.21457777154883126</v>
          </cell>
          <cell r="R95">
            <v>0.21891301030159141</v>
          </cell>
          <cell r="S95">
            <v>0.34506514866435284</v>
          </cell>
          <cell r="T95">
            <v>0.4237613147259075</v>
          </cell>
          <cell r="U95">
            <v>0.29486242203887825</v>
          </cell>
          <cell r="V95">
            <v>0.25132802067051191</v>
          </cell>
          <cell r="W95">
            <v>0.19929265632196788</v>
          </cell>
          <cell r="X95">
            <v>0.28278808334118855</v>
          </cell>
          <cell r="Y95">
            <v>0.28374874501219671</v>
          </cell>
          <cell r="Z95">
            <v>0.38990000000000008</v>
          </cell>
          <cell r="AA95">
            <v>0.61124000000000001</v>
          </cell>
          <cell r="AB95">
            <v>0.48311013099802608</v>
          </cell>
          <cell r="AC95">
            <v>0.44265568341819511</v>
          </cell>
          <cell r="AD95">
            <v>0.44279982054836869</v>
          </cell>
          <cell r="AE95">
            <v>0.46242683685728003</v>
          </cell>
        </row>
        <row r="96">
          <cell r="H96">
            <v>0.29974721869213228</v>
          </cell>
          <cell r="I96">
            <v>0.25283531201468296</v>
          </cell>
          <cell r="J96">
            <v>0.27056098359313285</v>
          </cell>
          <cell r="K96">
            <v>0.23327595027294512</v>
          </cell>
          <cell r="L96">
            <v>9.8958145812104853E-2</v>
          </cell>
          <cell r="M96">
            <v>0.26732146430465759</v>
          </cell>
          <cell r="N96">
            <v>0.38476931926324892</v>
          </cell>
          <cell r="O96">
            <v>0.33580979190346144</v>
          </cell>
          <cell r="P96">
            <v>0.46814109868740644</v>
          </cell>
          <cell r="Q96">
            <v>0.39632156729196283</v>
          </cell>
          <cell r="R96">
            <v>0.40432868100498676</v>
          </cell>
          <cell r="S96">
            <v>0.63732957775343879</v>
          </cell>
          <cell r="T96">
            <v>0.78268008469672801</v>
          </cell>
          <cell r="U96">
            <v>0.54460597849651282</v>
          </cell>
          <cell r="V96">
            <v>0.46419866483633754</v>
          </cell>
          <cell r="W96">
            <v>0.36809021425281468</v>
          </cell>
          <cell r="X96">
            <v>0.52230487618688526</v>
          </cell>
          <cell r="Y96">
            <v>0.52407920228013871</v>
          </cell>
          <cell r="Z96">
            <v>0.18102500000000002</v>
          </cell>
          <cell r="AA96">
            <v>0.28378999999999999</v>
          </cell>
          <cell r="AB96">
            <v>0.22430113224908352</v>
          </cell>
          <cell r="AC96">
            <v>0.20551871015844772</v>
          </cell>
          <cell r="AD96">
            <v>0.20558563096888544</v>
          </cell>
          <cell r="AE96">
            <v>0.21469817425516571</v>
          </cell>
        </row>
        <row r="97">
          <cell r="H97">
            <v>7.4936804673033069E-2</v>
          </cell>
          <cell r="I97">
            <v>6.3208828003670739E-2</v>
          </cell>
          <cell r="J97">
            <v>6.7640245898283213E-2</v>
          </cell>
          <cell r="K97">
            <v>5.831898756823628E-2</v>
          </cell>
          <cell r="L97">
            <v>2.4739536453026213E-2</v>
          </cell>
          <cell r="M97">
            <v>6.6830366076164396E-2</v>
          </cell>
          <cell r="N97">
            <v>9.619232981581223E-2</v>
          </cell>
          <cell r="O97">
            <v>8.395244797586536E-2</v>
          </cell>
          <cell r="P97">
            <v>0.11703527467185161</v>
          </cell>
          <cell r="Q97">
            <v>9.9080391822990707E-2</v>
          </cell>
          <cell r="R97">
            <v>0.10108217025124669</v>
          </cell>
          <cell r="S97">
            <v>0.1593323944383597</v>
          </cell>
          <cell r="T97">
            <v>0.195670021174182</v>
          </cell>
          <cell r="U97">
            <v>0.13615149462412821</v>
          </cell>
          <cell r="V97">
            <v>0.11604966620908438</v>
          </cell>
          <cell r="W97">
            <v>9.2022553563203671E-2</v>
          </cell>
          <cell r="X97">
            <v>0.13057621904672131</v>
          </cell>
          <cell r="Y97">
            <v>0.13101980057003468</v>
          </cell>
          <cell r="Z97">
            <v>0.6266250000000001</v>
          </cell>
          <cell r="AA97">
            <v>0.98234999999999995</v>
          </cell>
          <cell r="AB97">
            <v>0.77642699624682754</v>
          </cell>
          <cell r="AC97">
            <v>0.71141091977924209</v>
          </cell>
          <cell r="AD97">
            <v>0.71164256873844955</v>
          </cell>
          <cell r="AE97">
            <v>0.74318598780634293</v>
          </cell>
        </row>
        <row r="98">
          <cell r="H98">
            <v>0.14468181752387402</v>
          </cell>
          <cell r="I98">
            <v>0.12203840501376527</v>
          </cell>
          <cell r="J98">
            <v>0.13059422211856206</v>
          </cell>
          <cell r="K98">
            <v>0.11259750338088605</v>
          </cell>
          <cell r="L98">
            <v>4.7765061698848296E-2</v>
          </cell>
          <cell r="M98">
            <v>0.12903057278561647</v>
          </cell>
          <cell r="N98">
            <v>0.18572023680929586</v>
          </cell>
          <cell r="O98">
            <v>0.1620884799094951</v>
          </cell>
          <cell r="P98">
            <v>0.22596208001944354</v>
          </cell>
          <cell r="Q98">
            <v>0.19129626933621519</v>
          </cell>
          <cell r="R98">
            <v>0.19516113844217509</v>
          </cell>
          <cell r="S98">
            <v>0.30762587914384881</v>
          </cell>
          <cell r="T98">
            <v>0.37778357940318252</v>
          </cell>
          <cell r="U98">
            <v>0.26287010484048079</v>
          </cell>
          <cell r="V98">
            <v>0.2240591482840664</v>
          </cell>
          <cell r="W98">
            <v>0.17766957586201376</v>
          </cell>
          <cell r="X98">
            <v>0.25210582142520493</v>
          </cell>
          <cell r="Y98">
            <v>0.25296225213763002</v>
          </cell>
          <cell r="Z98">
            <v>0.19495000000000004</v>
          </cell>
          <cell r="AA98">
            <v>0.30562</v>
          </cell>
          <cell r="AB98">
            <v>0.24155506549901304</v>
          </cell>
          <cell r="AC98">
            <v>0.22132784170909756</v>
          </cell>
          <cell r="AD98">
            <v>0.22139991027418435</v>
          </cell>
          <cell r="AE98">
            <v>0.23121341842864002</v>
          </cell>
        </row>
        <row r="99">
          <cell r="H99">
            <v>0.18433800000000003</v>
          </cell>
          <cell r="I99">
            <v>0.206844</v>
          </cell>
          <cell r="J99">
            <v>0.137214</v>
          </cell>
          <cell r="K99">
            <v>0.61676999999999993</v>
          </cell>
          <cell r="L99">
            <v>0.68554199999999998</v>
          </cell>
          <cell r="M99">
            <v>0.40642800000000001</v>
          </cell>
          <cell r="N99">
            <v>0.53598599999999996</v>
          </cell>
          <cell r="O99">
            <v>1.033296</v>
          </cell>
          <cell r="P99">
            <v>0.77985599999999999</v>
          </cell>
          <cell r="Q99">
            <v>0.64818600000000004</v>
          </cell>
          <cell r="R99">
            <v>0.78117599999999998</v>
          </cell>
          <cell r="S99">
            <v>0.39857400000000004</v>
          </cell>
          <cell r="T99">
            <v>0.61709999999999998</v>
          </cell>
          <cell r="U99">
            <v>0.37732200000000005</v>
          </cell>
          <cell r="V99">
            <v>0.84011400000000014</v>
          </cell>
          <cell r="W99">
            <v>0.93320000000000003</v>
          </cell>
          <cell r="X99">
            <v>1.1757</v>
          </cell>
          <cell r="Y99">
            <v>0.60420000000000007</v>
          </cell>
          <cell r="Z99">
            <v>0.75339999999999996</v>
          </cell>
          <cell r="AA99">
            <v>1.5335999999999999</v>
          </cell>
          <cell r="AB99">
            <v>1.2076663465344608</v>
          </cell>
          <cell r="AC99">
            <v>0.88413198109065294</v>
          </cell>
          <cell r="AD99">
            <v>0.97240838928959727</v>
          </cell>
          <cell r="AE99">
            <v>1.0165069098294888</v>
          </cell>
        </row>
        <row r="100">
          <cell r="H100">
            <v>9.4962000000000019E-2</v>
          </cell>
          <cell r="I100">
            <v>0.106556</v>
          </cell>
          <cell r="J100">
            <v>7.0686000000000013E-2</v>
          </cell>
          <cell r="K100">
            <v>0.31773000000000001</v>
          </cell>
          <cell r="L100">
            <v>0.35315800000000003</v>
          </cell>
          <cell r="M100">
            <v>0.20937199999999997</v>
          </cell>
          <cell r="N100">
            <v>0.27611400000000003</v>
          </cell>
          <cell r="O100">
            <v>0.532304</v>
          </cell>
          <cell r="P100">
            <v>0.40174399999999999</v>
          </cell>
          <cell r="Q100">
            <v>0.33391400000000004</v>
          </cell>
          <cell r="R100">
            <v>0.402424</v>
          </cell>
          <cell r="S100">
            <v>0.20532599999999998</v>
          </cell>
          <cell r="T100">
            <v>0.31790000000000002</v>
          </cell>
          <cell r="U100">
            <v>0.19437800000000005</v>
          </cell>
          <cell r="V100">
            <v>0.43278600000000006</v>
          </cell>
          <cell r="W100">
            <v>0.53679999999999994</v>
          </cell>
          <cell r="X100">
            <v>0.58729999999999993</v>
          </cell>
          <cell r="Y100">
            <v>0.3029</v>
          </cell>
          <cell r="Z100">
            <v>0.19550000000000001</v>
          </cell>
          <cell r="AA100">
            <v>0.11359999999999999</v>
          </cell>
          <cell r="AB100">
            <v>0.23634605624237559</v>
          </cell>
          <cell r="AC100">
            <v>0.27313452288332429</v>
          </cell>
          <cell r="AD100">
            <v>0.28219361090513184</v>
          </cell>
          <cell r="AE100">
            <v>0.26393138211722167</v>
          </cell>
        </row>
        <row r="101">
          <cell r="H101">
            <v>0.51962010000000003</v>
          </cell>
          <cell r="I101">
            <v>0.2356029</v>
          </cell>
          <cell r="J101">
            <v>0.29530000000000001</v>
          </cell>
          <cell r="K101">
            <v>0.39574090000000001</v>
          </cell>
          <cell r="L101">
            <v>0.68245239999999996</v>
          </cell>
          <cell r="M101">
            <v>0.37956290000000004</v>
          </cell>
          <cell r="N101">
            <v>0.31980000000000003</v>
          </cell>
          <cell r="O101">
            <v>0.7399</v>
          </cell>
          <cell r="P101">
            <v>0.63590000000000002</v>
          </cell>
          <cell r="Q101">
            <v>0.7046</v>
          </cell>
          <cell r="R101">
            <v>0.49339999999999995</v>
          </cell>
          <cell r="S101">
            <v>1.1999000000000002</v>
          </cell>
          <cell r="T101">
            <v>1.5182</v>
          </cell>
          <cell r="U101">
            <v>1.0499000000000001</v>
          </cell>
          <cell r="V101">
            <v>1.0911</v>
          </cell>
          <cell r="W101">
            <v>0.79139999999999999</v>
          </cell>
          <cell r="X101">
            <v>0.41299999999999998</v>
          </cell>
          <cell r="Y101">
            <v>0.74629999999999996</v>
          </cell>
          <cell r="Z101">
            <v>0.95779999999999998</v>
          </cell>
          <cell r="AA101">
            <v>1.0682</v>
          </cell>
          <cell r="AB101">
            <v>0.76954163000000042</v>
          </cell>
          <cell r="AC101">
            <v>0.65636095000000005</v>
          </cell>
          <cell r="AD101">
            <v>0.53005643999999963</v>
          </cell>
          <cell r="AE101">
            <v>0.52549197000000003</v>
          </cell>
        </row>
        <row r="102">
          <cell r="H102">
            <v>0.21296593880742018</v>
          </cell>
          <cell r="I102">
            <v>0.17963572713639753</v>
          </cell>
          <cell r="J102">
            <v>0.19222955304466666</v>
          </cell>
          <cell r="K102">
            <v>0.16573909165141087</v>
          </cell>
          <cell r="L102">
            <v>7.0308290156854247E-2</v>
          </cell>
          <cell r="M102">
            <v>0.18992792279246576</v>
          </cell>
          <cell r="N102">
            <v>0.27337287618122147</v>
          </cell>
          <cell r="O102">
            <v>0.23858786048286421</v>
          </cell>
          <cell r="P102">
            <v>0.33260728493597691</v>
          </cell>
          <cell r="Q102">
            <v>0.28158057651454166</v>
          </cell>
          <cell r="R102">
            <v>0.28726951166620807</v>
          </cell>
          <cell r="S102">
            <v>0.45281318188111136</v>
          </cell>
          <cell r="T102">
            <v>0.55608255432891829</v>
          </cell>
          <cell r="U102">
            <v>0.38693444428509655</v>
          </cell>
          <cell r="V102">
            <v>0.32980624434603434</v>
          </cell>
          <cell r="W102">
            <v>7.7976356796648869E-2</v>
          </cell>
          <cell r="X102">
            <v>0.10613982502339432</v>
          </cell>
          <cell r="Y102">
            <v>0.10925090581588365</v>
          </cell>
          <cell r="Z102">
            <v>0.1041</v>
          </cell>
          <cell r="AA102">
            <v>0.14449999999999999</v>
          </cell>
          <cell r="AB102">
            <v>0.12252214500704957</v>
          </cell>
          <cell r="AC102">
            <v>0.11151282493501802</v>
          </cell>
          <cell r="AD102">
            <v>0.10818632947011167</v>
          </cell>
          <cell r="AE102">
            <v>0.10758392265257145</v>
          </cell>
        </row>
        <row r="103">
          <cell r="H103">
            <v>8.6178061192579855E-2</v>
          </cell>
          <cell r="I103">
            <v>7.2690772863602482E-2</v>
          </cell>
          <cell r="J103">
            <v>7.7786946955333336E-2</v>
          </cell>
          <cell r="K103">
            <v>6.7067408348589097E-2</v>
          </cell>
          <cell r="L103">
            <v>2.8450709843145752E-2</v>
          </cell>
          <cell r="M103">
            <v>7.6855577207534248E-2</v>
          </cell>
          <cell r="N103">
            <v>0.11062212381877858</v>
          </cell>
          <cell r="O103">
            <v>9.6546139517135726E-2</v>
          </cell>
          <cell r="P103">
            <v>0.13459171506402304</v>
          </cell>
          <cell r="Q103">
            <v>0.11394342348545834</v>
          </cell>
          <cell r="R103">
            <v>0.11624548833379195</v>
          </cell>
          <cell r="S103">
            <v>0.18323381811888867</v>
          </cell>
          <cell r="T103">
            <v>0.22502244567108176</v>
          </cell>
          <cell r="U103">
            <v>0.15657555571490342</v>
          </cell>
          <cell r="V103">
            <v>0.13345825565396569</v>
          </cell>
          <cell r="W103">
            <v>3.1553643203351134E-2</v>
          </cell>
          <cell r="X103">
            <v>4.2950174976605679E-2</v>
          </cell>
          <cell r="Y103">
            <v>4.4209094184116358E-2</v>
          </cell>
          <cell r="Z103">
            <v>0.1041</v>
          </cell>
          <cell r="AA103">
            <v>0.14449999999999999</v>
          </cell>
          <cell r="AB103">
            <v>0.12252214500704957</v>
          </cell>
          <cell r="AC103">
            <v>0.11151282493501802</v>
          </cell>
          <cell r="AD103">
            <v>0.10818632947011167</v>
          </cell>
          <cell r="AE103">
            <v>0.10758392265257145</v>
          </cell>
        </row>
        <row r="104">
          <cell r="H104">
            <v>8.6474074074074148E-2</v>
          </cell>
          <cell r="I104">
            <v>8.6474074074074037E-2</v>
          </cell>
          <cell r="J104">
            <v>8.6474074074074148E-2</v>
          </cell>
          <cell r="K104">
            <v>8.6474074074074148E-2</v>
          </cell>
          <cell r="L104">
            <v>8.6474074074073926E-2</v>
          </cell>
          <cell r="M104">
            <v>8.6474074074074148E-2</v>
          </cell>
          <cell r="N104">
            <v>8.6474074074074148E-2</v>
          </cell>
          <cell r="O104">
            <v>8.6474074074073926E-2</v>
          </cell>
          <cell r="P104">
            <v>8.6474074074074148E-2</v>
          </cell>
          <cell r="Q104">
            <v>8.6474074074074148E-2</v>
          </cell>
          <cell r="R104">
            <v>8.6474074074073926E-2</v>
          </cell>
          <cell r="S104">
            <v>8.6474074074074148E-2</v>
          </cell>
          <cell r="T104">
            <v>8.6474074074074148E-2</v>
          </cell>
          <cell r="U104">
            <v>8.6474074074073926E-2</v>
          </cell>
          <cell r="V104">
            <v>8.6474074074073926E-2</v>
          </cell>
          <cell r="W104">
            <v>8.647407407407437E-2</v>
          </cell>
          <cell r="X104">
            <v>8.6474074074073926E-2</v>
          </cell>
          <cell r="Y104">
            <v>8.647407407407437E-2</v>
          </cell>
          <cell r="Z104">
            <v>8.6474074074073926E-2</v>
          </cell>
          <cell r="AA104">
            <v>8.6474074074073926E-2</v>
          </cell>
          <cell r="AB104">
            <v>8.6474074074073926E-2</v>
          </cell>
          <cell r="AC104">
            <v>8.647407407407437E-2</v>
          </cell>
          <cell r="AD104">
            <v>8.6474074074073926E-2</v>
          </cell>
          <cell r="AE104">
            <v>8.647407407407437E-2</v>
          </cell>
        </row>
        <row r="105">
          <cell r="H105">
            <v>0.29699999999999999</v>
          </cell>
          <cell r="I105">
            <v>0.18059999999999998</v>
          </cell>
          <cell r="J105">
            <v>9.4500000000000001E-2</v>
          </cell>
          <cell r="K105">
            <v>0.46850000000000003</v>
          </cell>
          <cell r="L105">
            <v>0.1009</v>
          </cell>
          <cell r="M105">
            <v>0.13689999999999999</v>
          </cell>
          <cell r="N105">
            <v>0.37169999999999997</v>
          </cell>
          <cell r="O105">
            <v>0.29910000000000003</v>
          </cell>
          <cell r="P105">
            <v>0.4612</v>
          </cell>
          <cell r="Q105">
            <v>0.78410000000000002</v>
          </cell>
          <cell r="R105">
            <v>0.1585</v>
          </cell>
          <cell r="S105">
            <v>0.14169999999999999</v>
          </cell>
          <cell r="T105">
            <v>0.24959999999999999</v>
          </cell>
          <cell r="U105">
            <v>0.2296</v>
          </cell>
          <cell r="V105">
            <v>0.22839999999999999</v>
          </cell>
          <cell r="W105">
            <v>0.24010000000000001</v>
          </cell>
          <cell r="X105">
            <v>0.247</v>
          </cell>
          <cell r="Y105">
            <v>0.36219999999999997</v>
          </cell>
          <cell r="Z105">
            <v>0.39089999999999997</v>
          </cell>
          <cell r="AA105">
            <v>0.62470000000000003</v>
          </cell>
          <cell r="AB105">
            <v>0.54312269999999974</v>
          </cell>
          <cell r="AC105">
            <v>0.43204304999999998</v>
          </cell>
          <cell r="AD105">
            <v>0.39338529000000044</v>
          </cell>
          <cell r="AE105">
            <v>0.43886131999999956</v>
          </cell>
        </row>
        <row r="106">
          <cell r="H106">
            <v>9.4114999999999976E-2</v>
          </cell>
          <cell r="I106">
            <v>3.5979999999999998E-2</v>
          </cell>
          <cell r="J106">
            <v>4.9454999999999999E-2</v>
          </cell>
          <cell r="K106">
            <v>1.6729999999999998E-2</v>
          </cell>
          <cell r="L106">
            <v>8.9494999999999991E-2</v>
          </cell>
          <cell r="M106">
            <v>0.18592000000000003</v>
          </cell>
          <cell r="N106">
            <v>0.22197</v>
          </cell>
          <cell r="O106">
            <v>6.1249999999999999E-2</v>
          </cell>
          <cell r="P106">
            <v>0.23075499999999996</v>
          </cell>
          <cell r="Q106">
            <v>0.19785499999999995</v>
          </cell>
          <cell r="R106">
            <v>0.15771000000000002</v>
          </cell>
          <cell r="S106">
            <v>0.15168999999999996</v>
          </cell>
          <cell r="T106">
            <v>0.16621499999999997</v>
          </cell>
          <cell r="U106">
            <v>0.24384500000000001</v>
          </cell>
          <cell r="V106">
            <v>0.190085</v>
          </cell>
          <cell r="W106">
            <v>0.16197999999999999</v>
          </cell>
          <cell r="X106">
            <v>0.14038499999999998</v>
          </cell>
          <cell r="Y106">
            <v>0.31633</v>
          </cell>
          <cell r="Z106">
            <v>0.6502</v>
          </cell>
          <cell r="AA106">
            <v>0.64700000000000002</v>
          </cell>
          <cell r="AB106">
            <v>0.45748749999999927</v>
          </cell>
          <cell r="AC106">
            <v>0.5602725700000003</v>
          </cell>
          <cell r="AD106">
            <v>0.47068721000000047</v>
          </cell>
          <cell r="AE106">
            <v>0.54478340999999997</v>
          </cell>
        </row>
        <row r="107">
          <cell r="H107">
            <v>0.174785</v>
          </cell>
          <cell r="I107">
            <v>6.6820000000000004E-2</v>
          </cell>
          <cell r="J107">
            <v>9.184500000000001E-2</v>
          </cell>
          <cell r="K107">
            <v>3.107E-2</v>
          </cell>
          <cell r="L107">
            <v>0.16620499999999999</v>
          </cell>
          <cell r="M107">
            <v>0.34528000000000003</v>
          </cell>
          <cell r="N107">
            <v>0.41223000000000004</v>
          </cell>
          <cell r="O107">
            <v>0.11375</v>
          </cell>
          <cell r="P107">
            <v>0.42854499999999995</v>
          </cell>
          <cell r="Q107">
            <v>0.36744499999999997</v>
          </cell>
          <cell r="R107">
            <v>0.29289000000000004</v>
          </cell>
          <cell r="S107">
            <v>0.28170999999999996</v>
          </cell>
          <cell r="T107">
            <v>0.30868499999999999</v>
          </cell>
          <cell r="U107">
            <v>0.45285500000000001</v>
          </cell>
          <cell r="V107">
            <v>0.35301500000000002</v>
          </cell>
          <cell r="W107">
            <v>0.35450480000000001</v>
          </cell>
          <cell r="X107">
            <v>0.30724260000000003</v>
          </cell>
          <cell r="Y107">
            <v>0.6923108</v>
          </cell>
          <cell r="Z107">
            <v>0.6502</v>
          </cell>
          <cell r="AA107">
            <v>0.64700000000000002</v>
          </cell>
          <cell r="AB107">
            <v>0.45748749999999927</v>
          </cell>
          <cell r="AC107">
            <v>0.5602725700000003</v>
          </cell>
          <cell r="AD107">
            <v>0.47068721000000047</v>
          </cell>
          <cell r="AE107">
            <v>0.54478340999999997</v>
          </cell>
        </row>
        <row r="108">
          <cell r="H108">
            <v>0.16187400000000002</v>
          </cell>
          <cell r="I108">
            <v>0.40232200000000001</v>
          </cell>
          <cell r="J108">
            <v>0.21423400000000004</v>
          </cell>
          <cell r="K108">
            <v>0.16636200000000001</v>
          </cell>
          <cell r="L108">
            <v>0.14161000000000001</v>
          </cell>
          <cell r="M108">
            <v>0.21616506400000002</v>
          </cell>
          <cell r="N108">
            <v>0.43234400000000001</v>
          </cell>
          <cell r="O108">
            <v>0.29482056200000006</v>
          </cell>
          <cell r="P108">
            <v>0.20296021200000003</v>
          </cell>
          <cell r="Q108">
            <v>0.39565800000000001</v>
          </cell>
          <cell r="R108">
            <v>0.36665600000000004</v>
          </cell>
          <cell r="S108">
            <v>0.54201909199999998</v>
          </cell>
          <cell r="T108">
            <v>0.55654331400000001</v>
          </cell>
          <cell r="U108">
            <v>0.70082122600000007</v>
          </cell>
          <cell r="V108">
            <v>0.47504799999999997</v>
          </cell>
          <cell r="W108">
            <v>0.35580000000000001</v>
          </cell>
          <cell r="X108">
            <v>0.66449999999999998</v>
          </cell>
          <cell r="Y108">
            <v>1.038</v>
          </cell>
          <cell r="Z108">
            <v>0.46650000000000003</v>
          </cell>
          <cell r="AA108">
            <v>0.95889999999999997</v>
          </cell>
          <cell r="AB108">
            <v>0.46645769387703823</v>
          </cell>
          <cell r="AC108">
            <v>0.49047162329837557</v>
          </cell>
          <cell r="AD108">
            <v>0.51237945405876495</v>
          </cell>
          <cell r="AE108">
            <v>0.52849590625857834</v>
          </cell>
        </row>
        <row r="109">
          <cell r="H109">
            <v>0.31422600000000006</v>
          </cell>
          <cell r="I109">
            <v>1.1833</v>
          </cell>
          <cell r="J109">
            <v>0.63009999999999999</v>
          </cell>
          <cell r="K109">
            <v>0.48930000000000001</v>
          </cell>
          <cell r="L109">
            <v>0.41649999999999998</v>
          </cell>
          <cell r="M109">
            <v>0.63577960000000011</v>
          </cell>
          <cell r="N109">
            <v>1.2715999999999998</v>
          </cell>
          <cell r="O109">
            <v>0.86711930000000004</v>
          </cell>
          <cell r="P109">
            <v>0.59694180000000008</v>
          </cell>
          <cell r="Q109">
            <v>1.1637</v>
          </cell>
          <cell r="R109">
            <v>1.0784</v>
          </cell>
          <cell r="S109">
            <v>1.5941737999999999</v>
          </cell>
          <cell r="T109">
            <v>1.6368920999999999</v>
          </cell>
          <cell r="U109">
            <v>2.0612388999999998</v>
          </cell>
          <cell r="V109">
            <v>1.3971999999999998</v>
          </cell>
          <cell r="W109">
            <v>1.0427</v>
          </cell>
          <cell r="X109">
            <v>0.80215000000000003</v>
          </cell>
          <cell r="Y109">
            <v>0.2843</v>
          </cell>
          <cell r="Z109">
            <v>0.34749999999999998</v>
          </cell>
          <cell r="AA109">
            <v>0.2964</v>
          </cell>
          <cell r="AB109">
            <v>0.53927991626881955</v>
          </cell>
          <cell r="AC109">
            <v>0.4102555079683779</v>
          </cell>
          <cell r="AD109">
            <v>0.42249327104785911</v>
          </cell>
          <cell r="AE109">
            <v>0.42234898958167211</v>
          </cell>
        </row>
        <row r="131">
          <cell r="H131">
            <v>2.7637531750820971E-2</v>
          </cell>
          <cell r="I131">
            <v>6.7805425246072637E-2</v>
          </cell>
          <cell r="J131">
            <v>4.9110933933817151E-2</v>
          </cell>
          <cell r="K131">
            <v>3.8348970016221416E-2</v>
          </cell>
          <cell r="L131">
            <v>6.6037027419237657E-2</v>
          </cell>
          <cell r="M131">
            <v>2.9153301316679522E-2</v>
          </cell>
          <cell r="N131">
            <v>7.9577902207574089E-2</v>
          </cell>
          <cell r="O131">
            <v>0.19129011921134953</v>
          </cell>
          <cell r="P131">
            <v>0.14137077484240779</v>
          </cell>
          <cell r="Q131">
            <v>0.21059091834994842</v>
          </cell>
          <cell r="R131">
            <v>0.10413336917448265</v>
          </cell>
          <cell r="S131">
            <v>0.21539085530850052</v>
          </cell>
          <cell r="T131">
            <v>0.19139117051574009</v>
          </cell>
          <cell r="U131">
            <v>0.25454823575984653</v>
          </cell>
          <cell r="V131">
            <v>0.21195511095922112</v>
          </cell>
          <cell r="W131">
            <v>0.19125980382003235</v>
          </cell>
          <cell r="X131">
            <v>0.26220792463265175</v>
          </cell>
          <cell r="Y131">
            <v>0.21725019930928702</v>
          </cell>
          <cell r="Z131">
            <v>2.7993000000000001E-2</v>
          </cell>
          <cell r="AA131">
            <v>4.1474999999999998E-2</v>
          </cell>
          <cell r="AB131">
            <v>4.0846333382852616E-2</v>
          </cell>
          <cell r="AC131">
            <v>5.0886648139373152E-2</v>
          </cell>
          <cell r="AD131">
            <v>5.2535476840249826E-2</v>
          </cell>
          <cell r="AE131">
            <v>5.8530607733513491E-2</v>
          </cell>
        </row>
        <row r="132">
          <cell r="H132">
            <v>1.245184060327729E-2</v>
          </cell>
          <cell r="I132">
            <v>3.0549122650087968E-2</v>
          </cell>
          <cell r="J132">
            <v>2.2126488238364762E-2</v>
          </cell>
          <cell r="K132">
            <v>1.7277782482426805E-2</v>
          </cell>
          <cell r="L132">
            <v>2.9752386962492529E-2</v>
          </cell>
          <cell r="M132">
            <v>1.3134756906930521E-2</v>
          </cell>
          <cell r="N132">
            <v>3.585310594179475E-2</v>
          </cell>
          <cell r="O132">
            <v>8.6184037521038065E-2</v>
          </cell>
          <cell r="P132">
            <v>6.3693327254058227E-2</v>
          </cell>
          <cell r="Q132">
            <v>9.4879838454222556E-2</v>
          </cell>
          <cell r="R132">
            <v>4.6916350060977136E-2</v>
          </cell>
          <cell r="S132">
            <v>9.7042406749124469E-2</v>
          </cell>
          <cell r="T132">
            <v>8.6229565274614936E-2</v>
          </cell>
          <cell r="U132">
            <v>0.11468441126016633</v>
          </cell>
          <cell r="V132">
            <v>9.5494463127510462E-2</v>
          </cell>
          <cell r="W132">
            <v>8.6170379194964994E-2</v>
          </cell>
          <cell r="X132">
            <v>0.11813541498129401</v>
          </cell>
          <cell r="Y132">
            <v>9.78801174149391E-2</v>
          </cell>
          <cell r="Z132">
            <v>8.2645999999999997E-2</v>
          </cell>
          <cell r="AA132">
            <v>0.12245</v>
          </cell>
          <cell r="AB132">
            <v>0.12059393665413629</v>
          </cell>
          <cell r="AC132">
            <v>0.15023677069719693</v>
          </cell>
          <cell r="AD132">
            <v>0.15510474114740425</v>
          </cell>
          <cell r="AE132">
            <v>0.17280465140370652</v>
          </cell>
        </row>
        <row r="133">
          <cell r="H133">
            <v>1.461062764590175E-2</v>
          </cell>
          <cell r="I133">
            <v>3.5845452103839388E-2</v>
          </cell>
          <cell r="J133">
            <v>2.5962577827818099E-2</v>
          </cell>
          <cell r="K133">
            <v>2.0273247501351788E-2</v>
          </cell>
          <cell r="L133">
            <v>3.4910585618269804E-2</v>
          </cell>
          <cell r="M133">
            <v>1.5411941776389961E-2</v>
          </cell>
          <cell r="N133">
            <v>4.2068991850631177E-2</v>
          </cell>
          <cell r="O133">
            <v>0.10112584326761248</v>
          </cell>
          <cell r="P133">
            <v>7.4735897903533979E-2</v>
          </cell>
          <cell r="Q133">
            <v>0.11132924319582904</v>
          </cell>
          <cell r="R133">
            <v>5.5050280764540223E-2</v>
          </cell>
          <cell r="S133">
            <v>0.11386673794237505</v>
          </cell>
          <cell r="T133">
            <v>0.10117926420964501</v>
          </cell>
          <cell r="U133">
            <v>0.13456735297998723</v>
          </cell>
          <cell r="V133">
            <v>0.11205042591326843</v>
          </cell>
          <cell r="W133">
            <v>0.10110981698500271</v>
          </cell>
          <cell r="X133">
            <v>0.13861666038605433</v>
          </cell>
          <cell r="Y133">
            <v>0.11484968327577393</v>
          </cell>
          <cell r="Z133">
            <v>2.2661000000000001E-2</v>
          </cell>
          <cell r="AA133">
            <v>3.3575000000000001E-2</v>
          </cell>
          <cell r="AB133">
            <v>3.3066079405166406E-2</v>
          </cell>
          <cell r="AC133">
            <v>4.1193953255683029E-2</v>
          </cell>
          <cell r="AD133">
            <v>4.2528719346868915E-2</v>
          </cell>
          <cell r="AE133">
            <v>4.7381920546177597E-2</v>
          </cell>
        </row>
        <row r="134">
          <cell r="H134">
            <v>4.7323598598832305E-2</v>
          </cell>
          <cell r="I134">
            <v>6.3539377139690933E-2</v>
          </cell>
          <cell r="J134">
            <v>7.4493301011168897E-2</v>
          </cell>
          <cell r="K134">
            <v>5.6242276796304551E-2</v>
          </cell>
          <cell r="L134">
            <v>4.7356692024425905E-2</v>
          </cell>
          <cell r="M134">
            <v>0.13958806915375851</v>
          </cell>
          <cell r="N134">
            <v>9.9958692005435654E-2</v>
          </cell>
          <cell r="O134">
            <v>0.13430966777158107</v>
          </cell>
          <cell r="P134">
            <v>6.0114207590754469E-2</v>
          </cell>
          <cell r="Q134">
            <v>5.8310615895903861E-2</v>
          </cell>
          <cell r="R134">
            <v>7.3368124540986873E-2</v>
          </cell>
          <cell r="S134">
            <v>0.10579968162270412</v>
          </cell>
          <cell r="T134">
            <v>0.13090104493544141</v>
          </cell>
          <cell r="U134">
            <v>0.18562102415444087</v>
          </cell>
          <cell r="V134">
            <v>6.9612020736114513E-2</v>
          </cell>
          <cell r="W134">
            <v>8.6866670950193486E-2</v>
          </cell>
          <cell r="X134">
            <v>0.15042390425477303</v>
          </cell>
          <cell r="Y134">
            <v>6.9917599237908579E-2</v>
          </cell>
          <cell r="Z134">
            <v>6.0696E-2</v>
          </cell>
          <cell r="AA134">
            <v>0.20314799999999997</v>
          </cell>
          <cell r="AB134">
            <v>0.13470040401937183</v>
          </cell>
          <cell r="AC134">
            <v>0.11643600922484103</v>
          </cell>
          <cell r="AD134">
            <v>0.11439186666203939</v>
          </cell>
          <cell r="AE134">
            <v>0.11940706859733403</v>
          </cell>
        </row>
        <row r="135">
          <cell r="H135">
            <v>8.7405897783390932E-2</v>
          </cell>
          <cell r="I135">
            <v>0.11735617045042701</v>
          </cell>
          <cell r="J135">
            <v>0.13758788525203705</v>
          </cell>
          <cell r="K135">
            <v>0.10387854775026077</v>
          </cell>
          <cell r="L135">
            <v>8.746702078883388E-2</v>
          </cell>
          <cell r="M135">
            <v>0.25781683695828184</v>
          </cell>
          <cell r="N135">
            <v>0.18462203794037227</v>
          </cell>
          <cell r="O135">
            <v>0.24806771759013438</v>
          </cell>
          <cell r="P135">
            <v>0.11102993938708366</v>
          </cell>
          <cell r="Q135">
            <v>0.10769873559044393</v>
          </cell>
          <cell r="R135">
            <v>0.1355097030669774</v>
          </cell>
          <cell r="S135">
            <v>0.19541024840104954</v>
          </cell>
          <cell r="T135">
            <v>0.24177204802951249</v>
          </cell>
          <cell r="U135">
            <v>0.34283893752939848</v>
          </cell>
          <cell r="V135">
            <v>0.12857224194920477</v>
          </cell>
          <cell r="W135">
            <v>0.16044129327991158</v>
          </cell>
          <cell r="X135">
            <v>0.27783044376924665</v>
          </cell>
          <cell r="Y135">
            <v>0.12913664034838468</v>
          </cell>
          <cell r="Z135">
            <v>3.0348E-2</v>
          </cell>
          <cell r="AA135">
            <v>0.10157399999999998</v>
          </cell>
          <cell r="AB135">
            <v>6.7350202009685917E-2</v>
          </cell>
          <cell r="AC135">
            <v>5.8218004612420514E-2</v>
          </cell>
          <cell r="AD135">
            <v>5.7195933331019695E-2</v>
          </cell>
          <cell r="AE135">
            <v>5.9703534298667017E-2</v>
          </cell>
        </row>
        <row r="136">
          <cell r="H136">
            <v>2.1851474445847733E-2</v>
          </cell>
          <cell r="I136">
            <v>2.9339042612606753E-2</v>
          </cell>
          <cell r="J136">
            <v>3.4396971313009263E-2</v>
          </cell>
          <cell r="K136">
            <v>2.5969636937565193E-2</v>
          </cell>
          <cell r="L136">
            <v>2.186675519720847E-2</v>
          </cell>
          <cell r="M136">
            <v>6.4454209239570459E-2</v>
          </cell>
          <cell r="N136">
            <v>4.6155509485093067E-2</v>
          </cell>
          <cell r="O136">
            <v>6.2016929397533595E-2</v>
          </cell>
          <cell r="P136">
            <v>2.7757484846770916E-2</v>
          </cell>
          <cell r="Q136">
            <v>2.6924683897610983E-2</v>
          </cell>
          <cell r="R136">
            <v>3.3877425766744351E-2</v>
          </cell>
          <cell r="S136">
            <v>4.8852562100262384E-2</v>
          </cell>
          <cell r="T136">
            <v>6.0443012007378123E-2</v>
          </cell>
          <cell r="U136">
            <v>8.570973438234962E-2</v>
          </cell>
          <cell r="V136">
            <v>3.2143060487301194E-2</v>
          </cell>
          <cell r="W136">
            <v>4.0110323319977895E-2</v>
          </cell>
          <cell r="X136">
            <v>6.9457610942311662E-2</v>
          </cell>
          <cell r="Y136">
            <v>3.228416008709617E-2</v>
          </cell>
          <cell r="Z136">
            <v>0.18546000000000001</v>
          </cell>
          <cell r="AA136">
            <v>0.62073</v>
          </cell>
          <cell r="AB136">
            <v>0.41158456783696956</v>
          </cell>
          <cell r="AC136">
            <v>0.35577669485368096</v>
          </cell>
          <cell r="AD136">
            <v>0.34953070368956485</v>
          </cell>
          <cell r="AE136">
            <v>0.36485493182518736</v>
          </cell>
        </row>
        <row r="137">
          <cell r="H137">
            <v>4.2189029171929009E-2</v>
          </cell>
          <cell r="I137">
            <v>5.6645409797275316E-2</v>
          </cell>
          <cell r="J137">
            <v>6.6410842423784755E-2</v>
          </cell>
          <cell r="K137">
            <v>5.0140038515869477E-2</v>
          </cell>
          <cell r="L137">
            <v>4.2218531989531759E-2</v>
          </cell>
          <cell r="M137">
            <v>0.12444288464838921</v>
          </cell>
          <cell r="N137">
            <v>8.9113260569099004E-2</v>
          </cell>
          <cell r="O137">
            <v>0.11973718524075097</v>
          </cell>
          <cell r="P137">
            <v>5.3591868175390939E-2</v>
          </cell>
          <cell r="Q137">
            <v>5.1983964616041198E-2</v>
          </cell>
          <cell r="R137">
            <v>6.5407746625291335E-2</v>
          </cell>
          <cell r="S137">
            <v>9.432050787598395E-2</v>
          </cell>
          <cell r="T137">
            <v>0.11669839502766798</v>
          </cell>
          <cell r="U137">
            <v>0.16548130393381105</v>
          </cell>
          <cell r="V137">
            <v>6.2059176827379478E-2</v>
          </cell>
          <cell r="W137">
            <v>7.7441712449917086E-2</v>
          </cell>
          <cell r="X137">
            <v>0.13410304103366871</v>
          </cell>
          <cell r="Y137">
            <v>6.2331600326610628E-2</v>
          </cell>
          <cell r="Z137">
            <v>6.0696E-2</v>
          </cell>
          <cell r="AA137">
            <v>0.20314799999999997</v>
          </cell>
          <cell r="AB137">
            <v>0.13470040401937183</v>
          </cell>
          <cell r="AC137">
            <v>0.11643600922484103</v>
          </cell>
          <cell r="AD137">
            <v>0.11439186666203939</v>
          </cell>
          <cell r="AE137">
            <v>0.11940706859733403</v>
          </cell>
        </row>
        <row r="138">
          <cell r="H138">
            <v>8.3687999999999999E-2</v>
          </cell>
          <cell r="I138">
            <v>7.8474000000000002E-2</v>
          </cell>
          <cell r="J138">
            <v>0.23700600000000002</v>
          </cell>
          <cell r="K138">
            <v>0.23515800000000001</v>
          </cell>
          <cell r="L138">
            <v>0.27984000000000003</v>
          </cell>
          <cell r="M138">
            <v>0.176814</v>
          </cell>
          <cell r="N138">
            <v>8.4347999999999992E-2</v>
          </cell>
          <cell r="O138">
            <v>0.40854000000000001</v>
          </cell>
          <cell r="P138">
            <v>0.225324</v>
          </cell>
          <cell r="Q138">
            <v>5.4120000000000001E-2</v>
          </cell>
          <cell r="R138">
            <v>0.40906799999999999</v>
          </cell>
          <cell r="S138">
            <v>0.27079799999999998</v>
          </cell>
          <cell r="T138">
            <v>0.207372</v>
          </cell>
          <cell r="U138">
            <v>0.19912200000000002</v>
          </cell>
          <cell r="V138">
            <v>0.15206400000000003</v>
          </cell>
          <cell r="W138">
            <v>0.27260000000000001</v>
          </cell>
          <cell r="X138">
            <v>0.189</v>
          </cell>
          <cell r="Y138">
            <v>0.1072</v>
          </cell>
          <cell r="Z138">
            <v>0.44969999999999999</v>
          </cell>
          <cell r="AA138">
            <v>0.112</v>
          </cell>
          <cell r="AB138">
            <v>0.4401652614761517</v>
          </cell>
          <cell r="AC138">
            <v>0.21984801303614007</v>
          </cell>
          <cell r="AD138">
            <v>0.15364627260124672</v>
          </cell>
          <cell r="AE138">
            <v>0.15855763042086438</v>
          </cell>
        </row>
        <row r="139">
          <cell r="H139">
            <v>4.3112000000000004E-2</v>
          </cell>
          <cell r="I139">
            <v>4.0426000000000004E-2</v>
          </cell>
          <cell r="J139">
            <v>0.12209400000000002</v>
          </cell>
          <cell r="K139">
            <v>0.12114200000000001</v>
          </cell>
          <cell r="L139">
            <v>0.14416000000000001</v>
          </cell>
          <cell r="M139">
            <v>9.1086E-2</v>
          </cell>
          <cell r="N139">
            <v>4.3452000000000005E-2</v>
          </cell>
          <cell r="O139">
            <v>0.21046000000000001</v>
          </cell>
          <cell r="P139">
            <v>0.11607600000000001</v>
          </cell>
          <cell r="Q139">
            <v>2.7880000000000002E-2</v>
          </cell>
          <cell r="R139">
            <v>0.210732</v>
          </cell>
          <cell r="S139">
            <v>0.13950200000000001</v>
          </cell>
          <cell r="T139">
            <v>0.10682800000000001</v>
          </cell>
          <cell r="U139">
            <v>0.102578</v>
          </cell>
          <cell r="V139">
            <v>7.8336000000000017E-2</v>
          </cell>
          <cell r="W139">
            <v>0.14680000000000001</v>
          </cell>
          <cell r="X139">
            <v>0.24359999999999998</v>
          </cell>
          <cell r="Y139">
            <v>0.1031</v>
          </cell>
          <cell r="Z139">
            <v>0.1915</v>
          </cell>
          <cell r="AA139">
            <v>0.29419999999999996</v>
          </cell>
          <cell r="AB139">
            <v>0.35744725178671727</v>
          </cell>
          <cell r="AC139">
            <v>0.22417923952580085</v>
          </cell>
          <cell r="AD139">
            <v>0.17356368464901417</v>
          </cell>
          <cell r="AE139">
            <v>0.17526384939785247</v>
          </cell>
        </row>
        <row r="140">
          <cell r="H140">
            <v>0.1671</v>
          </cell>
          <cell r="I140">
            <v>7.1599999999999997E-2</v>
          </cell>
          <cell r="J140">
            <v>0.26939999999999997</v>
          </cell>
          <cell r="K140">
            <v>4.3299999999999998E-2</v>
          </cell>
          <cell r="L140">
            <v>4.5899999999999996E-2</v>
          </cell>
          <cell r="M140">
            <v>9.9299999999999999E-2</v>
          </cell>
          <cell r="N140">
            <v>0.22140000000000001</v>
          </cell>
          <cell r="O140">
            <v>0.3105</v>
          </cell>
          <cell r="P140">
            <v>0.33019999999999999</v>
          </cell>
          <cell r="Q140">
            <v>0.38160000000000005</v>
          </cell>
          <cell r="R140">
            <v>0.1825</v>
          </cell>
          <cell r="S140">
            <v>0.3387</v>
          </cell>
          <cell r="T140">
            <v>0.48710000000000003</v>
          </cell>
          <cell r="U140">
            <v>0.3115</v>
          </cell>
          <cell r="V140">
            <v>0.2233</v>
          </cell>
          <cell r="W140">
            <v>0.1108</v>
          </cell>
          <cell r="X140">
            <v>0.22839999999999999</v>
          </cell>
          <cell r="Y140">
            <v>0.25869999999999999</v>
          </cell>
          <cell r="Z140">
            <v>7.1999999999999995E-2</v>
          </cell>
          <cell r="AA140">
            <v>0.26689999999999997</v>
          </cell>
          <cell r="AB140">
            <v>0.13994319</v>
          </cell>
          <cell r="AC140">
            <v>0.13183231000000001</v>
          </cell>
          <cell r="AD140">
            <v>0.11379148000000006</v>
          </cell>
          <cell r="AE140">
            <v>0.11830017999999998</v>
          </cell>
        </row>
        <row r="141">
          <cell r="H141">
            <v>6.2100589823534016E-2</v>
          </cell>
          <cell r="I141">
            <v>8.3379812909919804E-2</v>
          </cell>
          <cell r="J141">
            <v>9.7754145239702855E-2</v>
          </cell>
          <cell r="K141">
            <v>7.3804162521046185E-2</v>
          </cell>
          <cell r="L141">
            <v>6.2144016809424593E-2</v>
          </cell>
          <cell r="M141">
            <v>0.18317502648648007</v>
          </cell>
          <cell r="N141">
            <v>0.13117121088250666</v>
          </cell>
          <cell r="O141">
            <v>0.17624842223693205</v>
          </cell>
          <cell r="P141">
            <v>7.8885119870244436E-2</v>
          </cell>
          <cell r="Q141">
            <v>7.6518349139207631E-2</v>
          </cell>
          <cell r="R141">
            <v>9.6277627719423012E-2</v>
          </cell>
          <cell r="S141">
            <v>0.13883607389219457</v>
          </cell>
          <cell r="T141">
            <v>0.17177544269020198</v>
          </cell>
          <cell r="U141">
            <v>0.24358196386028133</v>
          </cell>
          <cell r="V141">
            <v>9.1348664820841821E-2</v>
          </cell>
          <cell r="W141">
            <v>3.3659473654209432E-2</v>
          </cell>
          <cell r="X141">
            <v>5.7814844658594489E-2</v>
          </cell>
          <cell r="Y141">
            <v>2.6639964131567617E-2</v>
          </cell>
          <cell r="Z141">
            <v>4.7600000000000003E-2</v>
          </cell>
          <cell r="AA141">
            <v>2.12E-2</v>
          </cell>
          <cell r="AB141">
            <v>3.7391982114600208E-2</v>
          </cell>
          <cell r="AC141">
            <v>3.8556202084216395E-2</v>
          </cell>
          <cell r="AD141">
            <v>3.9254739655337212E-2</v>
          </cell>
          <cell r="AE141">
            <v>3.9612886681477867E-2</v>
          </cell>
        </row>
        <row r="142">
          <cell r="H142">
            <v>2.5129410176465982E-2</v>
          </cell>
          <cell r="I142">
            <v>3.3740187090080198E-2</v>
          </cell>
          <cell r="J142">
            <v>3.9556854760297154E-2</v>
          </cell>
          <cell r="K142">
            <v>2.9865337478953799E-2</v>
          </cell>
          <cell r="L142">
            <v>2.5146983190575397E-2</v>
          </cell>
          <cell r="M142">
            <v>7.4122973513519944E-2</v>
          </cell>
          <cell r="N142">
            <v>5.3079289117493357E-2</v>
          </cell>
          <cell r="O142">
            <v>7.1320077763067966E-2</v>
          </cell>
          <cell r="P142">
            <v>3.1921380129755567E-2</v>
          </cell>
          <cell r="Q142">
            <v>3.0963650860792346E-2</v>
          </cell>
          <cell r="R142">
            <v>3.8959372280576977E-2</v>
          </cell>
          <cell r="S142">
            <v>5.6180926107805416E-2</v>
          </cell>
          <cell r="T142">
            <v>6.9510057309798035E-2</v>
          </cell>
          <cell r="U142">
            <v>9.8567036139718664E-2</v>
          </cell>
          <cell r="V142">
            <v>3.6964835179158176E-2</v>
          </cell>
          <cell r="W142">
            <v>1.3620526345790574E-2</v>
          </cell>
          <cell r="X142">
            <v>2.3395155341405505E-2</v>
          </cell>
          <cell r="Y142">
            <v>1.0780035868432387E-2</v>
          </cell>
          <cell r="Z142">
            <v>4.7600000000000003E-2</v>
          </cell>
          <cell r="AA142">
            <v>2.12E-2</v>
          </cell>
          <cell r="AB142">
            <v>3.7391982114600208E-2</v>
          </cell>
          <cell r="AC142">
            <v>3.8556202084216395E-2</v>
          </cell>
          <cell r="AD142">
            <v>3.9254739655337212E-2</v>
          </cell>
          <cell r="AE142">
            <v>3.9612886681477867E-2</v>
          </cell>
        </row>
        <row r="143">
          <cell r="H143">
            <v>1.8200000000000001E-2</v>
          </cell>
          <cell r="I143">
            <v>2.7699999999999999E-2</v>
          </cell>
          <cell r="J143">
            <v>1.0199999999999999E-2</v>
          </cell>
          <cell r="K143">
            <v>7.4000000000000003E-3</v>
          </cell>
          <cell r="L143">
            <v>3.2199999999999999E-2</v>
          </cell>
          <cell r="M143">
            <v>1.3099999999999999E-2</v>
          </cell>
          <cell r="N143">
            <v>7.7200000000000005E-2</v>
          </cell>
          <cell r="O143">
            <v>4.1299999999999996E-2</v>
          </cell>
          <cell r="P143">
            <v>4.8000000000000001E-2</v>
          </cell>
          <cell r="Q143">
            <v>4.5499999999999999E-2</v>
          </cell>
          <cell r="R143">
            <v>5.1299999999999998E-2</v>
          </cell>
          <cell r="S143">
            <v>5.0299999999999997E-2</v>
          </cell>
          <cell r="T143">
            <v>2.52E-2</v>
          </cell>
          <cell r="U143">
            <v>3.0499999999999999E-2</v>
          </cell>
          <cell r="V143">
            <v>2.5999999999999999E-2</v>
          </cell>
          <cell r="W143">
            <v>6.9501599999999997E-2</v>
          </cell>
          <cell r="X143">
            <v>0.11937869999999999</v>
          </cell>
          <cell r="Y143">
            <v>5.5007399999999998E-2</v>
          </cell>
          <cell r="Z143">
            <v>0.3372</v>
          </cell>
          <cell r="AA143">
            <v>1.1285999999999998</v>
          </cell>
          <cell r="AB143">
            <v>0.74833557788539917</v>
          </cell>
          <cell r="AC143">
            <v>0.64686671791578354</v>
          </cell>
          <cell r="AD143">
            <v>0.63551037034466329</v>
          </cell>
          <cell r="AE143">
            <v>0.66337260331852244</v>
          </cell>
        </row>
        <row r="144">
          <cell r="H144">
            <v>1.6199999999999999E-2</v>
          </cell>
          <cell r="I144">
            <v>7.2800000000000004E-2</v>
          </cell>
          <cell r="J144">
            <v>0.23139999999999999</v>
          </cell>
          <cell r="K144">
            <v>6.2899999999999998E-2</v>
          </cell>
          <cell r="L144">
            <v>8.0299999999999996E-2</v>
          </cell>
          <cell r="M144">
            <v>0.1036</v>
          </cell>
          <cell r="N144">
            <v>0.13750000000000001</v>
          </cell>
          <cell r="O144">
            <v>0.12790000000000001</v>
          </cell>
          <cell r="P144">
            <v>0.24299999999999999</v>
          </cell>
          <cell r="Q144">
            <v>0.21619999999999998</v>
          </cell>
          <cell r="R144">
            <v>0.15919999999999998</v>
          </cell>
          <cell r="S144">
            <v>0.2424</v>
          </cell>
          <cell r="T144">
            <v>0.153</v>
          </cell>
          <cell r="U144">
            <v>0.15630000000000002</v>
          </cell>
          <cell r="V144">
            <v>0.32839999999999997</v>
          </cell>
          <cell r="W144">
            <v>0.2853</v>
          </cell>
          <cell r="X144">
            <v>8.43E-2</v>
          </cell>
          <cell r="Y144">
            <v>0.13190000000000002</v>
          </cell>
          <cell r="Z144">
            <v>0.14849999999999999</v>
          </cell>
          <cell r="AA144">
            <v>0.33030000000000004</v>
          </cell>
          <cell r="AB144">
            <v>0.26767490999999999</v>
          </cell>
          <cell r="AC144">
            <v>0.22668945999999998</v>
          </cell>
          <cell r="AD144">
            <v>0.21574797999999998</v>
          </cell>
          <cell r="AE144">
            <v>0.248752</v>
          </cell>
        </row>
        <row r="145">
          <cell r="H145">
            <v>5.5926000000000003E-2</v>
          </cell>
          <cell r="I145">
            <v>7.7945400000000012E-2</v>
          </cell>
          <cell r="J145">
            <v>3.9616200000000004E-2</v>
          </cell>
          <cell r="K145">
            <v>3.7861200000000005E-2</v>
          </cell>
          <cell r="L145">
            <v>4.8601800000000001E-2</v>
          </cell>
          <cell r="M145">
            <v>4.8461400000000002E-2</v>
          </cell>
          <cell r="N145">
            <v>0.1010412</v>
          </cell>
          <cell r="O145">
            <v>5.0918399999999996E-2</v>
          </cell>
          <cell r="P145">
            <v>5.8921200000000007E-2</v>
          </cell>
          <cell r="Q145">
            <v>8.45442E-2</v>
          </cell>
          <cell r="R145">
            <v>9.3974400000000013E-2</v>
          </cell>
          <cell r="S145">
            <v>5.9202000000000005E-2</v>
          </cell>
          <cell r="T145">
            <v>7.4201400000000001E-2</v>
          </cell>
          <cell r="U145">
            <v>0.1071486</v>
          </cell>
          <cell r="V145">
            <v>0.11398140000000001</v>
          </cell>
          <cell r="W145">
            <v>9.4021200000000013E-2</v>
          </cell>
          <cell r="X145">
            <v>5.4498600000000001E-2</v>
          </cell>
          <cell r="Y145">
            <v>5.9061600000000006E-2</v>
          </cell>
          <cell r="Z145">
            <v>0.3604</v>
          </cell>
          <cell r="AA145">
            <v>0.33529999999999999</v>
          </cell>
          <cell r="AB145">
            <v>0.18800158000000008</v>
          </cell>
          <cell r="AC145">
            <v>0.1901061300000001</v>
          </cell>
          <cell r="AD145">
            <v>0.24725164000000002</v>
          </cell>
          <cell r="AE145">
            <v>0.28489977000000005</v>
          </cell>
        </row>
        <row r="146">
          <cell r="H146">
            <v>0.18307400000000001</v>
          </cell>
          <cell r="I146">
            <v>0.25515460000000001</v>
          </cell>
          <cell r="J146">
            <v>0.12968380000000002</v>
          </cell>
          <cell r="K146">
            <v>0.12393880000000002</v>
          </cell>
          <cell r="L146">
            <v>0.1590982</v>
          </cell>
          <cell r="M146">
            <v>0.15863859999999999</v>
          </cell>
          <cell r="N146">
            <v>0.33075880000000002</v>
          </cell>
          <cell r="O146">
            <v>0.16668160000000001</v>
          </cell>
          <cell r="P146">
            <v>0.19287880000000002</v>
          </cell>
          <cell r="Q146">
            <v>0.2767558</v>
          </cell>
          <cell r="R146">
            <v>0.3076256</v>
          </cell>
          <cell r="S146">
            <v>0.193798</v>
          </cell>
          <cell r="T146">
            <v>0.24289860000000002</v>
          </cell>
          <cell r="U146">
            <v>0.35075139999999999</v>
          </cell>
          <cell r="V146">
            <v>0.37311860000000002</v>
          </cell>
          <cell r="W146">
            <v>0.30777879999999996</v>
          </cell>
          <cell r="X146">
            <v>0.17840139999999999</v>
          </cell>
          <cell r="Y146">
            <v>0.19333839999999999</v>
          </cell>
          <cell r="Z146">
            <v>0.3604</v>
          </cell>
          <cell r="AA146">
            <v>0.33529999999999999</v>
          </cell>
          <cell r="AB146">
            <v>0.18800158000000008</v>
          </cell>
          <cell r="AC146">
            <v>0.1901061300000001</v>
          </cell>
          <cell r="AD146">
            <v>0.24725164000000002</v>
          </cell>
          <cell r="AE146">
            <v>0.28489977000000005</v>
          </cell>
        </row>
        <row r="147">
          <cell r="H147">
            <v>0.13889000000000001</v>
          </cell>
          <cell r="I147">
            <v>8.6394000000000026E-2</v>
          </cell>
          <cell r="J147">
            <v>8.9862000000000011E-2</v>
          </cell>
          <cell r="K147">
            <v>0.10047000000000002</v>
          </cell>
          <cell r="L147">
            <v>9.1595999999999997E-2</v>
          </cell>
          <cell r="M147">
            <v>5.3102692600000008E-2</v>
          </cell>
          <cell r="N147">
            <v>7.5077616799999997E-2</v>
          </cell>
          <cell r="O147">
            <v>0.14943000000000001</v>
          </cell>
          <cell r="P147">
            <v>0.19896800000000001</v>
          </cell>
          <cell r="Q147">
            <v>0.17751400000000001</v>
          </cell>
          <cell r="R147">
            <v>0.29961847200000008</v>
          </cell>
          <cell r="S147">
            <v>0.32215000000000005</v>
          </cell>
          <cell r="T147">
            <v>0.23167600000000005</v>
          </cell>
          <cell r="U147">
            <v>0.13569400000000001</v>
          </cell>
          <cell r="V147">
            <v>0.19543199999999999</v>
          </cell>
          <cell r="W147">
            <v>7.3900000000000007E-2</v>
          </cell>
          <cell r="X147">
            <v>0.19789999999999999</v>
          </cell>
          <cell r="Y147">
            <v>0.19040000000000001</v>
          </cell>
          <cell r="Z147">
            <v>0.27250000000000002</v>
          </cell>
          <cell r="AA147">
            <v>0.30969999999999998</v>
          </cell>
          <cell r="AB147">
            <v>0.14437921709174992</v>
          </cell>
          <cell r="AC147">
            <v>0.12593667786924057</v>
          </cell>
          <cell r="AD147">
            <v>0.11274781687252457</v>
          </cell>
          <cell r="AE147">
            <v>0.11357810546743598</v>
          </cell>
        </row>
        <row r="148">
          <cell r="H148">
            <v>0.26961000000000002</v>
          </cell>
          <cell r="I148">
            <v>0.16770600000000002</v>
          </cell>
          <cell r="J148">
            <v>0.17443800000000001</v>
          </cell>
          <cell r="K148">
            <v>0.19503000000000001</v>
          </cell>
          <cell r="L148">
            <v>0.17780399999999999</v>
          </cell>
          <cell r="M148">
            <v>0.10308169740000001</v>
          </cell>
          <cell r="N148">
            <v>0.14573890320000002</v>
          </cell>
          <cell r="O148">
            <v>0.29006999999999999</v>
          </cell>
          <cell r="P148">
            <v>0.38623200000000002</v>
          </cell>
          <cell r="Q148">
            <v>0.344586</v>
          </cell>
          <cell r="R148">
            <v>0.58161232800000007</v>
          </cell>
          <cell r="S148">
            <v>0.62535000000000007</v>
          </cell>
          <cell r="T148">
            <v>0.44972400000000012</v>
          </cell>
          <cell r="U148">
            <v>0.26340600000000003</v>
          </cell>
          <cell r="V148">
            <v>0.37936799999999998</v>
          </cell>
          <cell r="W148">
            <v>0.15509999999999999</v>
          </cell>
          <cell r="X148">
            <v>0.2155</v>
          </cell>
          <cell r="Y148">
            <v>0.21199999999999999</v>
          </cell>
          <cell r="Z148">
            <v>0.20980000000000001</v>
          </cell>
          <cell r="AA148">
            <v>0.19269999999999998</v>
          </cell>
          <cell r="AB148">
            <v>0.28119913349861531</v>
          </cell>
          <cell r="AC148">
            <v>0.25254892801661488</v>
          </cell>
          <cell r="AD148">
            <v>0.26806078039084402</v>
          </cell>
          <cell r="AE148">
            <v>0.28886737875496393</v>
          </cell>
        </row>
        <row r="168">
          <cell r="G168" t="str">
            <v>Western MT portion of state</v>
          </cell>
        </row>
        <row r="169">
          <cell r="H169">
            <v>5.8452515664333813</v>
          </cell>
          <cell r="I169">
            <v>2.3942560490388454</v>
          </cell>
          <cell r="J169">
            <v>3.2535508684892789</v>
          </cell>
          <cell r="K169">
            <v>3.8808061249763441</v>
          </cell>
          <cell r="L169">
            <v>2.6785158945721284</v>
          </cell>
          <cell r="M169">
            <v>2.1289433230787926</v>
          </cell>
          <cell r="N169">
            <v>1.9047034050448099</v>
          </cell>
          <cell r="O169">
            <v>2.9945048391710078</v>
          </cell>
          <cell r="P169">
            <v>3.7348996623363648</v>
          </cell>
          <cell r="Q169">
            <v>4.3096744291447084</v>
          </cell>
          <cell r="R169">
            <v>4.6932151602156393</v>
          </cell>
          <cell r="S169">
            <v>6.7040926655271003</v>
          </cell>
          <cell r="T169">
            <v>8.0155996509731651</v>
          </cell>
          <cell r="U169">
            <v>8.5121404979223296</v>
          </cell>
          <cell r="V169">
            <v>5.7106188925677364</v>
          </cell>
          <cell r="W169">
            <v>3.9531865469773946</v>
          </cell>
          <cell r="X169">
            <v>3.613957014984337</v>
          </cell>
          <cell r="Y169">
            <v>4.2577960031375479</v>
          </cell>
          <cell r="Z169">
            <v>2.9053730099999999</v>
          </cell>
          <cell r="AA169">
            <v>5.76397475</v>
          </cell>
          <cell r="AB169">
            <v>4.1477159651255757</v>
          </cell>
          <cell r="AC169">
            <v>4.3042855770003277</v>
          </cell>
          <cell r="AD169">
            <v>3.9757692712668407</v>
          </cell>
          <cell r="AE169">
            <v>3.9080659306945158</v>
          </cell>
        </row>
        <row r="170">
          <cell r="H170">
            <v>2.6335253613638385</v>
          </cell>
          <cell r="I170">
            <v>1.0787104635412517</v>
          </cell>
          <cell r="J170">
            <v>1.4658579924699486</v>
          </cell>
          <cell r="K170">
            <v>1.7484621896089618</v>
          </cell>
          <cell r="L170">
            <v>1.2067811725468609</v>
          </cell>
          <cell r="M170">
            <v>0.95917620833130801</v>
          </cell>
          <cell r="N170">
            <v>0.85814693620145599</v>
          </cell>
          <cell r="O170">
            <v>1.3491471408980753</v>
          </cell>
          <cell r="P170">
            <v>1.6827253491356049</v>
          </cell>
          <cell r="Q170">
            <v>1.9416849350932321</v>
          </cell>
          <cell r="R170">
            <v>2.1144857514330568</v>
          </cell>
          <cell r="S170">
            <v>3.0204684706789751</v>
          </cell>
          <cell r="T170">
            <v>3.6113561114457378</v>
          </cell>
          <cell r="U170">
            <v>3.8350681105841429</v>
          </cell>
          <cell r="V170">
            <v>2.5728678247182866</v>
          </cell>
          <cell r="W170">
            <v>1.7810725357744892</v>
          </cell>
          <cell r="X170">
            <v>1.628235730433635</v>
          </cell>
          <cell r="Y170">
            <v>1.9183115782676574</v>
          </cell>
          <cell r="Z170">
            <v>2.52049922</v>
          </cell>
          <cell r="AA170">
            <v>4.3866505</v>
          </cell>
          <cell r="AB170">
            <v>3.3467175863389964</v>
          </cell>
          <cell r="AC170">
            <v>3.4921085643107492</v>
          </cell>
          <cell r="AD170">
            <v>3.2325006595168051</v>
          </cell>
          <cell r="AE170">
            <v>3.2055077433563333</v>
          </cell>
        </row>
        <row r="171">
          <cell r="H171">
            <v>3.0901020722027819</v>
          </cell>
          <cell r="I171">
            <v>1.2657274874199036</v>
          </cell>
          <cell r="J171">
            <v>1.7199951390407733</v>
          </cell>
          <cell r="K171">
            <v>2.0515946854146958</v>
          </cell>
          <cell r="L171">
            <v>1.4160019328810107</v>
          </cell>
          <cell r="M171">
            <v>1.1254694685898994</v>
          </cell>
          <cell r="N171">
            <v>1.0069246587537342</v>
          </cell>
          <cell r="O171">
            <v>1.5830500199309174</v>
          </cell>
          <cell r="P171">
            <v>1.9744609885280306</v>
          </cell>
          <cell r="Q171">
            <v>2.2783166357620592</v>
          </cell>
          <cell r="R171">
            <v>2.4810760883513034</v>
          </cell>
          <cell r="S171">
            <v>3.5441298637939256</v>
          </cell>
          <cell r="T171">
            <v>4.2374602375810966</v>
          </cell>
          <cell r="U171">
            <v>4.4999573914935276</v>
          </cell>
          <cell r="V171">
            <v>3.0189282827139783</v>
          </cell>
          <cell r="W171">
            <v>2.0898587172481164</v>
          </cell>
          <cell r="X171">
            <v>1.9105244545820284</v>
          </cell>
          <cell r="Y171">
            <v>2.2508910185947957</v>
          </cell>
          <cell r="Z171">
            <v>0.65600877000000002</v>
          </cell>
          <cell r="AA171">
            <v>1.1345497499999999</v>
          </cell>
          <cell r="AB171">
            <v>0.87002001760199665</v>
          </cell>
          <cell r="AC171">
            <v>0.90846325570362163</v>
          </cell>
          <cell r="AD171">
            <v>0.8416976698075469</v>
          </cell>
          <cell r="AE171">
            <v>0.83495356000334453</v>
          </cell>
        </row>
        <row r="172">
          <cell r="H172">
            <v>1.9601639052244866</v>
          </cell>
          <cell r="I172">
            <v>1.8139548177464644</v>
          </cell>
          <cell r="J172">
            <v>1.5990745699068862</v>
          </cell>
          <cell r="K172">
            <v>1.2830229881440107</v>
          </cell>
          <cell r="L172">
            <v>0.979871173680254</v>
          </cell>
          <cell r="M172">
            <v>1.241660719000097</v>
          </cell>
          <cell r="N172">
            <v>1.8848305823635303</v>
          </cell>
          <cell r="O172">
            <v>2.4988567954738619</v>
          </cell>
          <cell r="P172">
            <v>2.288456066580165</v>
          </cell>
          <cell r="Q172">
            <v>1.2544054066975698</v>
          </cell>
          <cell r="R172">
            <v>1.5651299718837426</v>
          </cell>
          <cell r="S172">
            <v>2.1687149616138099</v>
          </cell>
          <cell r="T172">
            <v>2.726992850636329</v>
          </cell>
          <cell r="U172">
            <v>2.3639545922978495</v>
          </cell>
          <cell r="V172">
            <v>2.12134434059036</v>
          </cell>
          <cell r="W172">
            <v>1.7332075021200439</v>
          </cell>
          <cell r="X172">
            <v>1.6498023915828299</v>
          </cell>
          <cell r="Y172">
            <v>1.7728331175696301</v>
          </cell>
          <cell r="Z172">
            <v>3.0494837200000005</v>
          </cell>
          <cell r="AA172">
            <v>3.9300753599999996</v>
          </cell>
          <cell r="AB172">
            <v>3.2949268651724135</v>
          </cell>
          <cell r="AC172">
            <v>3.0804508752407767</v>
          </cell>
          <cell r="AD172">
            <v>2.9901146137661283</v>
          </cell>
          <cell r="AE172">
            <v>3.1209850609635708</v>
          </cell>
        </row>
        <row r="173">
          <cell r="H173">
            <v>3.620390059325949</v>
          </cell>
          <cell r="I173">
            <v>3.3503443118873304</v>
          </cell>
          <cell r="J173">
            <v>2.9534640759282804</v>
          </cell>
          <cell r="K173">
            <v>2.3697220726198811</v>
          </cell>
          <cell r="L173">
            <v>1.8098057244890269</v>
          </cell>
          <cell r="M173">
            <v>2.2933266509713843</v>
          </cell>
          <cell r="N173">
            <v>3.4812506677195292</v>
          </cell>
          <cell r="O173">
            <v>4.6153468482405211</v>
          </cell>
          <cell r="P173">
            <v>4.2267402091062101</v>
          </cell>
          <cell r="Q173">
            <v>2.3168658767096826</v>
          </cell>
          <cell r="R173">
            <v>2.8907689691960035</v>
          </cell>
          <cell r="S173">
            <v>4.0055803841765441</v>
          </cell>
          <cell r="T173">
            <v>5.0367103393662491</v>
          </cell>
          <cell r="U173">
            <v>4.366184727635269</v>
          </cell>
          <cell r="V173">
            <v>3.9180876367586932</v>
          </cell>
          <cell r="W173">
            <v>3.2012053658879802</v>
          </cell>
          <cell r="X173">
            <v>3.0471575169907066</v>
          </cell>
          <cell r="Y173">
            <v>3.2743932171110264</v>
          </cell>
          <cell r="Z173">
            <v>1.21717136</v>
          </cell>
          <cell r="AA173">
            <v>1.5786711799999997</v>
          </cell>
          <cell r="AB173">
            <v>1.3199722007364803</v>
          </cell>
          <cell r="AC173">
            <v>1.2300279538780112</v>
          </cell>
          <cell r="AD173">
            <v>1.196371930895225</v>
          </cell>
          <cell r="AE173">
            <v>1.248350009064233</v>
          </cell>
        </row>
        <row r="174">
          <cell r="H174">
            <v>0.90509751483148726</v>
          </cell>
          <cell r="I174">
            <v>0.8375860779718326</v>
          </cell>
          <cell r="J174">
            <v>0.7383660189820701</v>
          </cell>
          <cell r="K174">
            <v>0.59243051815497028</v>
          </cell>
          <cell r="L174">
            <v>0.45245143112225672</v>
          </cell>
          <cell r="M174">
            <v>0.57333166274284608</v>
          </cell>
          <cell r="N174">
            <v>0.87031266692988229</v>
          </cell>
          <cell r="O174">
            <v>1.1538367120601303</v>
          </cell>
          <cell r="P174">
            <v>1.0566850522765525</v>
          </cell>
          <cell r="Q174">
            <v>0.57921646917742065</v>
          </cell>
          <cell r="R174">
            <v>0.72269224229900086</v>
          </cell>
          <cell r="S174">
            <v>1.001395096044136</v>
          </cell>
          <cell r="T174">
            <v>1.2591775848415623</v>
          </cell>
          <cell r="U174">
            <v>1.0915461819088172</v>
          </cell>
          <cell r="V174">
            <v>0.9795219091896733</v>
          </cell>
          <cell r="W174">
            <v>0.80030134147199505</v>
          </cell>
          <cell r="X174">
            <v>0.76178937924767665</v>
          </cell>
          <cell r="Y174">
            <v>0.81859830427775659</v>
          </cell>
          <cell r="Z174">
            <v>4.4185782000000007</v>
          </cell>
          <cell r="AA174">
            <v>5.8084251000000009</v>
          </cell>
          <cell r="AB174">
            <v>4.8341193729503171</v>
          </cell>
          <cell r="AC174">
            <v>4.4973948910402894</v>
          </cell>
          <cell r="AD174">
            <v>4.3749492047650769</v>
          </cell>
          <cell r="AE174">
            <v>4.5648201170153557</v>
          </cell>
        </row>
        <row r="175">
          <cell r="H175">
            <v>1.7474878206180771</v>
          </cell>
          <cell r="I175">
            <v>1.6171422923943721</v>
          </cell>
          <cell r="J175">
            <v>1.4255763651827631</v>
          </cell>
          <cell r="K175">
            <v>1.1438161060811387</v>
          </cell>
          <cell r="L175">
            <v>0.87355600070846262</v>
          </cell>
          <cell r="M175">
            <v>1.1069416072856728</v>
          </cell>
          <cell r="N175">
            <v>1.6803280979870585</v>
          </cell>
          <cell r="O175">
            <v>2.2277329992254882</v>
          </cell>
          <cell r="P175">
            <v>2.0401605670370717</v>
          </cell>
          <cell r="Q175">
            <v>1.1183035074153274</v>
          </cell>
          <cell r="R175">
            <v>1.3953147266212531</v>
          </cell>
          <cell r="S175">
            <v>1.9334112681655102</v>
          </cell>
          <cell r="T175">
            <v>2.4311164901558593</v>
          </cell>
          <cell r="U175">
            <v>2.1074675681580644</v>
          </cell>
          <cell r="V175">
            <v>1.8911803184612741</v>
          </cell>
          <cell r="W175">
            <v>1.5451559905199812</v>
          </cell>
          <cell r="X175">
            <v>1.4708002621787872</v>
          </cell>
          <cell r="Y175">
            <v>1.580482261041587</v>
          </cell>
          <cell r="Z175">
            <v>1.38987072</v>
          </cell>
          <cell r="AA175">
            <v>1.8173303599999999</v>
          </cell>
          <cell r="AB175">
            <v>1.5136049433773811</v>
          </cell>
          <cell r="AC175">
            <v>1.4027949732052674</v>
          </cell>
          <cell r="AD175">
            <v>1.3671049082637361</v>
          </cell>
          <cell r="AE175">
            <v>1.4256651163527188</v>
          </cell>
        </row>
        <row r="176">
          <cell r="H176">
            <v>2.3326221600000001</v>
          </cell>
          <cell r="I176">
            <v>2.1343561800000002</v>
          </cell>
          <cell r="J176">
            <v>2.7849274200000003</v>
          </cell>
          <cell r="K176">
            <v>3.7213380599999999</v>
          </cell>
          <cell r="L176">
            <v>3.8396688000000001</v>
          </cell>
          <cell r="M176">
            <v>4.5304399799999997</v>
          </cell>
          <cell r="N176">
            <v>3.8655843599999997</v>
          </cell>
          <cell r="O176">
            <v>3.7622019600000001</v>
          </cell>
          <cell r="P176">
            <v>4.9317826799999995</v>
          </cell>
          <cell r="Q176">
            <v>3.5256144000000003</v>
          </cell>
          <cell r="R176">
            <v>4.1166087600000001</v>
          </cell>
          <cell r="S176">
            <v>3.6865428600000003</v>
          </cell>
          <cell r="T176">
            <v>4.4936060400000004</v>
          </cell>
          <cell r="U176">
            <v>4.0552175400000001</v>
          </cell>
          <cell r="V176">
            <v>4.7025844800000005</v>
          </cell>
          <cell r="W176">
            <v>5.7826820000000012</v>
          </cell>
          <cell r="X176">
            <v>6.4745300000000006</v>
          </cell>
          <cell r="Y176">
            <v>4.3306040000000001</v>
          </cell>
          <cell r="Z176">
            <v>5.0644289999999996</v>
          </cell>
          <cell r="AA176">
            <v>4.8802399999999997</v>
          </cell>
          <cell r="AB176">
            <v>5.314560624425317</v>
          </cell>
          <cell r="AC176">
            <v>5.8392883922912757</v>
          </cell>
          <cell r="AD176">
            <v>5.5907307068579604</v>
          </cell>
          <cell r="AE176">
            <v>5.3970025110934667</v>
          </cell>
        </row>
        <row r="177">
          <cell r="H177">
            <v>1.2016538399999999</v>
          </cell>
          <cell r="I177">
            <v>1.0995168200000001</v>
          </cell>
          <cell r="J177">
            <v>1.4346595800000002</v>
          </cell>
          <cell r="K177">
            <v>1.91705294</v>
          </cell>
          <cell r="L177">
            <v>1.9780112000000001</v>
          </cell>
          <cell r="M177">
            <v>2.3338630200000003</v>
          </cell>
          <cell r="N177">
            <v>1.99136164</v>
          </cell>
          <cell r="O177">
            <v>1.93810404</v>
          </cell>
          <cell r="P177">
            <v>2.5406153199999997</v>
          </cell>
          <cell r="Q177">
            <v>1.8162256000000001</v>
          </cell>
          <cell r="R177">
            <v>2.12067724</v>
          </cell>
          <cell r="S177">
            <v>1.8991281399999997</v>
          </cell>
          <cell r="T177">
            <v>2.3148879600000005</v>
          </cell>
          <cell r="U177">
            <v>2.0890514600000003</v>
          </cell>
          <cell r="V177">
            <v>2.4225435200000001</v>
          </cell>
          <cell r="W177">
            <v>2.7598760000000002</v>
          </cell>
          <cell r="X177">
            <v>3.2231519999999998</v>
          </cell>
          <cell r="Y177">
            <v>1.711967</v>
          </cell>
          <cell r="Z177">
            <v>2.2422549999999997</v>
          </cell>
          <cell r="AA177">
            <v>1.9980939999999998</v>
          </cell>
          <cell r="AB177">
            <v>2.2146394799898173</v>
          </cell>
          <cell r="AC177">
            <v>2.4529568455976025</v>
          </cell>
          <cell r="AD177">
            <v>2.3252751304701671</v>
          </cell>
          <cell r="AE177">
            <v>2.2545756506342292</v>
          </cell>
        </row>
        <row r="178">
          <cell r="H178">
            <v>7.7681670999999994</v>
          </cell>
          <cell r="I178">
            <v>6.1909778999999991</v>
          </cell>
          <cell r="J178">
            <v>6.2494579999999997</v>
          </cell>
          <cell r="K178">
            <v>6.6152219000000008</v>
          </cell>
          <cell r="L178">
            <v>5.5810154000000001</v>
          </cell>
          <cell r="M178">
            <v>5.2429889000000003</v>
          </cell>
          <cell r="N178">
            <v>4.4018980000000001</v>
          </cell>
          <cell r="O178">
            <v>6.0446849999999994</v>
          </cell>
          <cell r="P178">
            <v>9.751614</v>
          </cell>
          <cell r="Q178">
            <v>11.116424999999998</v>
          </cell>
          <cell r="R178">
            <v>11.370925</v>
          </cell>
          <cell r="S178">
            <v>11.869458999999999</v>
          </cell>
          <cell r="T178">
            <v>10.888947</v>
          </cell>
          <cell r="U178">
            <v>9.4940550000000012</v>
          </cell>
          <cell r="V178">
            <v>10.433181000000001</v>
          </cell>
          <cell r="W178">
            <v>5.9005559999999999</v>
          </cell>
          <cell r="X178">
            <v>6.8123880000000003</v>
          </cell>
          <cell r="Y178">
            <v>6.1123589999999997</v>
          </cell>
          <cell r="Z178">
            <v>9.229140000000001</v>
          </cell>
          <cell r="AA178">
            <v>8.458632999999999</v>
          </cell>
          <cell r="AB178">
            <v>8.0452519383000087</v>
          </cell>
          <cell r="AC178">
            <v>7.6519041966999959</v>
          </cell>
          <cell r="AD178">
            <v>7.4193123636000031</v>
          </cell>
          <cell r="AE178">
            <v>7.7886886725999984</v>
          </cell>
        </row>
        <row r="179">
          <cell r="H179">
            <v>0.94562667569891845</v>
          </cell>
          <cell r="I179">
            <v>0.87797440847584418</v>
          </cell>
          <cell r="J179">
            <v>0.76896588931383225</v>
          </cell>
          <cell r="K179">
            <v>0.63948110135578418</v>
          </cell>
          <cell r="L179">
            <v>0.43394926096228958</v>
          </cell>
          <cell r="M179">
            <v>0.70856563684818685</v>
          </cell>
          <cell r="N179">
            <v>0.99833300111063006</v>
          </cell>
          <cell r="O179">
            <v>1.2788148464054281</v>
          </cell>
          <cell r="P179">
            <v>1.1413744588863326</v>
          </cell>
          <cell r="Q179">
            <v>0.71823731071012475</v>
          </cell>
          <cell r="R179">
            <v>0.84101134433644587</v>
          </cell>
          <cell r="S179">
            <v>1.2251082266483837</v>
          </cell>
          <cell r="T179">
            <v>1.5651012636603874</v>
          </cell>
          <cell r="U179">
            <v>1.2759510039866273</v>
          </cell>
          <cell r="V179">
            <v>1.107505460703968</v>
          </cell>
          <cell r="W179">
            <v>0.63798485303363595</v>
          </cell>
          <cell r="X179">
            <v>0.62624539967892912</v>
          </cell>
          <cell r="Y179">
            <v>0.67166554183832972</v>
          </cell>
          <cell r="Z179">
            <v>0.492732</v>
          </cell>
          <cell r="AA179">
            <v>0.49918399999999996</v>
          </cell>
          <cell r="AB179">
            <v>0.51242220696340901</v>
          </cell>
          <cell r="AC179">
            <v>0.56820095103565071</v>
          </cell>
          <cell r="AD179">
            <v>0.49314781500982674</v>
          </cell>
          <cell r="AE179">
            <v>0.5050087559041242</v>
          </cell>
        </row>
        <row r="180">
          <cell r="H180">
            <v>0.38265402430108175</v>
          </cell>
          <cell r="I180">
            <v>0.35527809152415585</v>
          </cell>
          <cell r="J180">
            <v>0.31116708068616789</v>
          </cell>
          <cell r="K180">
            <v>0.25877021364421587</v>
          </cell>
          <cell r="L180">
            <v>0.17560040903771046</v>
          </cell>
          <cell r="M180">
            <v>0.28672572315181322</v>
          </cell>
          <cell r="N180">
            <v>0.4039819838893699</v>
          </cell>
          <cell r="O180">
            <v>0.51748079859457219</v>
          </cell>
          <cell r="P180">
            <v>0.46186464611366751</v>
          </cell>
          <cell r="Q180">
            <v>0.29063942928987535</v>
          </cell>
          <cell r="R180">
            <v>0.34032074566355414</v>
          </cell>
          <cell r="S180">
            <v>0.49574806335161636</v>
          </cell>
          <cell r="T180">
            <v>0.63332847133961268</v>
          </cell>
          <cell r="U180">
            <v>0.51632192601337268</v>
          </cell>
          <cell r="V180">
            <v>0.44815933429603194</v>
          </cell>
          <cell r="W180">
            <v>0.25816474696636388</v>
          </cell>
          <cell r="X180">
            <v>0.25341430032107087</v>
          </cell>
          <cell r="Y180">
            <v>0.27179385816167018</v>
          </cell>
          <cell r="Z180">
            <v>0.492732</v>
          </cell>
          <cell r="AA180">
            <v>0.49918399999999996</v>
          </cell>
          <cell r="AB180">
            <v>0.51242220696340901</v>
          </cell>
          <cell r="AC180">
            <v>0.56820095103565071</v>
          </cell>
          <cell r="AD180">
            <v>0.49314781500982674</v>
          </cell>
          <cell r="AE180">
            <v>0.5050087559041242</v>
          </cell>
        </row>
        <row r="181">
          <cell r="H181">
            <v>0.40274807407407415</v>
          </cell>
          <cell r="I181">
            <v>0.37036307407407404</v>
          </cell>
          <cell r="J181">
            <v>0.48768807407407411</v>
          </cell>
          <cell r="K181">
            <v>0.46379207407407413</v>
          </cell>
          <cell r="L181">
            <v>0.53812807407407393</v>
          </cell>
          <cell r="M181">
            <v>0.42164107407407414</v>
          </cell>
          <cell r="N181">
            <v>0.43037807407407414</v>
          </cell>
          <cell r="O181">
            <v>0.50291507407407388</v>
          </cell>
          <cell r="P181">
            <v>0.48163407407407416</v>
          </cell>
          <cell r="Q181">
            <v>0.45580907407407417</v>
          </cell>
          <cell r="R181">
            <v>0.6205150740740738</v>
          </cell>
          <cell r="S181">
            <v>0.56234507407407419</v>
          </cell>
          <cell r="T181">
            <v>0.58473807407407419</v>
          </cell>
          <cell r="U181">
            <v>0.5404590740740739</v>
          </cell>
          <cell r="V181">
            <v>0.42069407407407394</v>
          </cell>
          <cell r="W181">
            <v>1.2428048860740741</v>
          </cell>
          <cell r="X181">
            <v>1.1604115330740739</v>
          </cell>
          <cell r="Y181">
            <v>1.2477731920740742</v>
          </cell>
          <cell r="Z181">
            <v>8.7690780740740752</v>
          </cell>
          <cell r="AA181">
            <v>11.037976074074074</v>
          </cell>
          <cell r="AB181">
            <v>9.3237041313177169</v>
          </cell>
          <cell r="AC181">
            <v>8.7162296123734357</v>
          </cell>
          <cell r="AD181">
            <v>8.4335868012343536</v>
          </cell>
          <cell r="AE181">
            <v>8.7947699601225242</v>
          </cell>
        </row>
        <row r="182">
          <cell r="H182">
            <v>1.2680339999999999</v>
          </cell>
          <cell r="I182">
            <v>3.2701959999999999</v>
          </cell>
          <cell r="J182">
            <v>2.1934979999999999</v>
          </cell>
          <cell r="K182">
            <v>2.1689530000000001</v>
          </cell>
          <cell r="L182">
            <v>1.452771</v>
          </cell>
          <cell r="M182">
            <v>0.90405199999999997</v>
          </cell>
          <cell r="N182">
            <v>1.359175</v>
          </cell>
          <cell r="O182">
            <v>1.5139029999999998</v>
          </cell>
          <cell r="P182">
            <v>2.30301</v>
          </cell>
          <cell r="Q182">
            <v>2.7516340000000001</v>
          </cell>
          <cell r="R182">
            <v>4.7814439999999996</v>
          </cell>
          <cell r="S182">
            <v>4.4062680000000007</v>
          </cell>
          <cell r="T182">
            <v>3.36571</v>
          </cell>
          <cell r="U182">
            <v>3.4345909999999997</v>
          </cell>
          <cell r="V182">
            <v>2.0285880000000001</v>
          </cell>
          <cell r="W182">
            <v>0.95992100000000002</v>
          </cell>
          <cell r="X182">
            <v>1.6628509999999999</v>
          </cell>
          <cell r="Y182">
            <v>1.8797829999999998</v>
          </cell>
          <cell r="Z182">
            <v>2.3661449999999999</v>
          </cell>
          <cell r="AA182">
            <v>3.0826709999999999</v>
          </cell>
          <cell r="AB182">
            <v>3.0169681880581578</v>
          </cell>
          <cell r="AC182">
            <v>2.5401827085011996</v>
          </cell>
          <cell r="AD182">
            <v>2.2922556070064219</v>
          </cell>
          <cell r="AE182">
            <v>2.6029925645564869</v>
          </cell>
        </row>
        <row r="183">
          <cell r="H183">
            <v>0.75905672000000002</v>
          </cell>
          <cell r="I183">
            <v>0.75352307799999996</v>
          </cell>
          <cell r="J183">
            <v>1.0492427340000001</v>
          </cell>
          <cell r="K183">
            <v>0.82287268399999991</v>
          </cell>
          <cell r="L183">
            <v>0.67738382599999991</v>
          </cell>
          <cell r="M183">
            <v>1.2262085980000001</v>
          </cell>
          <cell r="N183">
            <v>0.94672238399999986</v>
          </cell>
          <cell r="O183">
            <v>0.94664478799999996</v>
          </cell>
          <cell r="P183">
            <v>0.89970378400000006</v>
          </cell>
          <cell r="Q183">
            <v>0.77038129399999988</v>
          </cell>
          <cell r="R183">
            <v>1.1871685080000001</v>
          </cell>
          <cell r="S183">
            <v>1.3819149399999999</v>
          </cell>
          <cell r="T183">
            <v>2.1635749979999996</v>
          </cell>
          <cell r="U183">
            <v>1.9397220020000001</v>
          </cell>
          <cell r="V183">
            <v>1.5831111979999999</v>
          </cell>
          <cell r="W183">
            <v>1.026218284</v>
          </cell>
          <cell r="X183">
            <v>1.045345602</v>
          </cell>
          <cell r="Y183">
            <v>1.134643912</v>
          </cell>
          <cell r="Z183">
            <v>7.6951280000000004</v>
          </cell>
          <cell r="AA183">
            <v>4.5313210000000002</v>
          </cell>
          <cell r="AB183">
            <v>4.4960725606</v>
          </cell>
          <cell r="AC183">
            <v>4.5696217040999993</v>
          </cell>
          <cell r="AD183">
            <v>4.8413475147999998</v>
          </cell>
          <cell r="AE183">
            <v>5.1556288689000001</v>
          </cell>
        </row>
        <row r="184">
          <cell r="H184">
            <v>1.5868732800000001</v>
          </cell>
          <cell r="I184">
            <v>1.5850439220000003</v>
          </cell>
          <cell r="J184">
            <v>2.1840582660000001</v>
          </cell>
          <cell r="K184">
            <v>1.6983533159999999</v>
          </cell>
          <cell r="L184">
            <v>1.4102051739999999</v>
          </cell>
          <cell r="M184">
            <v>2.5247384019999997</v>
          </cell>
          <cell r="N184">
            <v>1.9978036160000001</v>
          </cell>
          <cell r="O184">
            <v>1.9580872119999999</v>
          </cell>
          <cell r="P184">
            <v>1.839522216</v>
          </cell>
          <cell r="Q184">
            <v>1.601259706</v>
          </cell>
          <cell r="R184">
            <v>2.454743492</v>
          </cell>
          <cell r="S184">
            <v>2.82329506</v>
          </cell>
          <cell r="T184">
            <v>4.3995720020000002</v>
          </cell>
          <cell r="U184">
            <v>3.9502809980000002</v>
          </cell>
          <cell r="V184">
            <v>3.2548358020000001</v>
          </cell>
          <cell r="W184">
            <v>3.1835925159999996</v>
          </cell>
          <cell r="X184">
            <v>3.2696349979999999</v>
          </cell>
          <cell r="Y184">
            <v>3.3710648879999998</v>
          </cell>
          <cell r="Z184">
            <v>7.6951280000000004</v>
          </cell>
          <cell r="AA184">
            <v>4.5313210000000002</v>
          </cell>
          <cell r="AB184">
            <v>4.4960725606</v>
          </cell>
          <cell r="AC184">
            <v>4.5696217040999993</v>
          </cell>
          <cell r="AD184">
            <v>4.8413475147999998</v>
          </cell>
          <cell r="AE184">
            <v>5.1556288689000001</v>
          </cell>
        </row>
        <row r="185">
          <cell r="H185">
            <v>2.0197172999999999</v>
          </cell>
          <cell r="I185">
            <v>2.4033025800000001</v>
          </cell>
          <cell r="J185">
            <v>1.6100873399999998</v>
          </cell>
          <cell r="K185">
            <v>2.2882799</v>
          </cell>
          <cell r="L185">
            <v>2.8939977200000002</v>
          </cell>
          <cell r="M185">
            <v>2.6208346827820002</v>
          </cell>
          <cell r="N185">
            <v>2.808180909576</v>
          </cell>
          <cell r="O185">
            <v>2.4410076620000001</v>
          </cell>
          <cell r="P185">
            <v>3.4118360120000002</v>
          </cell>
          <cell r="Q185">
            <v>4.6980795400000002</v>
          </cell>
          <cell r="R185">
            <v>5.0203619890400004</v>
          </cell>
          <cell r="S185">
            <v>6.1223928520000008</v>
          </cell>
          <cell r="T185">
            <v>6.8415446340000008</v>
          </cell>
          <cell r="U185">
            <v>6.7605348059999999</v>
          </cell>
          <cell r="V185">
            <v>5.2803142400000009</v>
          </cell>
          <cell r="W185">
            <v>4.7062230000000014</v>
          </cell>
          <cell r="X185">
            <v>4.0795029999999999</v>
          </cell>
          <cell r="Y185">
            <v>5.6370279999999999</v>
          </cell>
          <cell r="Z185">
            <v>3.2726250000000001</v>
          </cell>
          <cell r="AA185">
            <v>4.1234289999999998</v>
          </cell>
          <cell r="AB185">
            <v>4.1990751697822688</v>
          </cell>
          <cell r="AC185">
            <v>3.9559845486033547</v>
          </cell>
          <cell r="AD185">
            <v>4.2245626971251937</v>
          </cell>
          <cell r="AE185">
            <v>4.3471217789162413</v>
          </cell>
        </row>
        <row r="186">
          <cell r="H186">
            <v>3.9206276999999998</v>
          </cell>
          <cell r="I186">
            <v>5.0675564199999998</v>
          </cell>
          <cell r="J186">
            <v>3.3396976600000001</v>
          </cell>
          <cell r="K186">
            <v>4.6083171000000016</v>
          </cell>
          <cell r="L186">
            <v>5.7593702800000006</v>
          </cell>
          <cell r="M186">
            <v>5.3036676835180003</v>
          </cell>
          <cell r="N186">
            <v>5.8835187068239998</v>
          </cell>
          <cell r="O186">
            <v>5.0332471999999999</v>
          </cell>
          <cell r="P186">
            <v>6.8259360000000013</v>
          </cell>
          <cell r="Q186">
            <v>9.5154594599999989</v>
          </cell>
          <cell r="R186">
            <v>10.112064566960001</v>
          </cell>
          <cell r="S186">
            <v>12.42666404</v>
          </cell>
          <cell r="T186">
            <v>13.837188780000002</v>
          </cell>
          <cell r="U186">
            <v>13.824212319999997</v>
          </cell>
          <cell r="V186">
            <v>10.725069760000002</v>
          </cell>
          <cell r="W186">
            <v>7.2359570000000009</v>
          </cell>
          <cell r="X186">
            <v>9.5127849999999992</v>
          </cell>
          <cell r="Y186">
            <v>8.7675900000000002</v>
          </cell>
          <cell r="Z186">
            <v>3.607186</v>
          </cell>
          <cell r="AA186">
            <v>4.0182390000000003</v>
          </cell>
          <cell r="AB186">
            <v>4.2711939641417151</v>
          </cell>
          <cell r="AC186">
            <v>4.5946027044206739</v>
          </cell>
          <cell r="AD186">
            <v>4.429112704129059</v>
          </cell>
          <cell r="AE186">
            <v>4.328169119778071</v>
          </cell>
        </row>
        <row r="207">
          <cell r="G207" t="str">
            <v>Low</v>
          </cell>
          <cell r="H207">
            <v>42.389799174074071</v>
          </cell>
          <cell r="I207">
            <v>36.465809974074077</v>
          </cell>
          <cell r="J207">
            <v>35.569335074074075</v>
          </cell>
          <cell r="K207">
            <v>38.272286974074078</v>
          </cell>
          <cell r="L207">
            <v>34.157084474074075</v>
          </cell>
          <cell r="M207">
            <v>35.53257534037408</v>
          </cell>
          <cell r="N207">
            <v>36.773434690474069</v>
          </cell>
          <cell r="O207">
            <v>42.359566936074067</v>
          </cell>
          <cell r="P207">
            <v>51.593021086074074</v>
          </cell>
          <cell r="Q207">
            <v>51.05823207407407</v>
          </cell>
          <cell r="R207">
            <v>58.828523630074066</v>
          </cell>
          <cell r="S207">
            <v>69.276658966074081</v>
          </cell>
          <cell r="T207">
            <v>78.406612488074074</v>
          </cell>
          <cell r="U207">
            <v>74.656716200074086</v>
          </cell>
          <cell r="V207">
            <v>62.619136074074078</v>
          </cell>
          <cell r="W207">
            <v>48.797968286074081</v>
          </cell>
          <cell r="X207">
            <v>52.20252758307408</v>
          </cell>
          <cell r="Y207">
            <v>51.00957789207407</v>
          </cell>
          <cell r="Z207">
            <v>67.083563074074078</v>
          </cell>
          <cell r="AA207">
            <v>72.079969074074057</v>
          </cell>
          <cell r="AB207">
            <v>65.729459982444979</v>
          </cell>
          <cell r="AC207">
            <v>64.942320409137878</v>
          </cell>
          <cell r="AD207">
            <v>63.362334928324181</v>
          </cell>
          <cell r="AE207">
            <v>65.142943044759335</v>
          </cell>
        </row>
        <row r="214">
          <cell r="G214">
            <v>1986</v>
          </cell>
          <cell r="H214">
            <v>1987</v>
          </cell>
          <cell r="I214">
            <v>1988</v>
          </cell>
          <cell r="J214">
            <v>1989</v>
          </cell>
          <cell r="K214">
            <v>1990</v>
          </cell>
          <cell r="L214">
            <v>1991</v>
          </cell>
          <cell r="M214">
            <v>1992</v>
          </cell>
          <cell r="N214">
            <v>1993</v>
          </cell>
          <cell r="O214">
            <v>1994</v>
          </cell>
          <cell r="P214">
            <v>1995</v>
          </cell>
          <cell r="Q214">
            <v>1996</v>
          </cell>
          <cell r="R214">
            <v>1997</v>
          </cell>
          <cell r="S214">
            <v>1998</v>
          </cell>
          <cell r="T214">
            <v>1999</v>
          </cell>
          <cell r="U214">
            <v>2000</v>
          </cell>
          <cell r="V214">
            <v>2001</v>
          </cell>
          <cell r="W214">
            <v>2002</v>
          </cell>
          <cell r="X214">
            <v>2003</v>
          </cell>
          <cell r="Y214">
            <v>2004</v>
          </cell>
          <cell r="Z214">
            <v>2005</v>
          </cell>
          <cell r="AA214">
            <v>2006</v>
          </cell>
          <cell r="AB214">
            <v>2007</v>
          </cell>
          <cell r="AC214">
            <v>2008</v>
          </cell>
          <cell r="AD214">
            <v>2009</v>
          </cell>
          <cell r="AE214">
            <v>2010</v>
          </cell>
        </row>
        <row r="216">
          <cell r="G216">
            <v>208998.69198523989</v>
          </cell>
          <cell r="H216">
            <v>200145.98024940802</v>
          </cell>
          <cell r="I216">
            <v>204298.48758186327</v>
          </cell>
          <cell r="J216">
            <v>212514.47308934119</v>
          </cell>
          <cell r="K216">
            <v>218248.8879770175</v>
          </cell>
          <cell r="L216">
            <v>230735.79972918943</v>
          </cell>
          <cell r="M216">
            <v>231528.43027437758</v>
          </cell>
          <cell r="N216">
            <v>244878.83743148466</v>
          </cell>
          <cell r="O216">
            <v>242786.25970780815</v>
          </cell>
          <cell r="P216">
            <v>255559.09058324914</v>
          </cell>
          <cell r="Q216">
            <v>268008.32621918456</v>
          </cell>
          <cell r="R216">
            <v>265489.37581064156</v>
          </cell>
          <cell r="S216">
            <v>272482.6174634418</v>
          </cell>
          <cell r="T216">
            <v>284410.89610058442</v>
          </cell>
          <cell r="U216">
            <v>300017.95217937022</v>
          </cell>
          <cell r="V216">
            <v>317942.85702325829</v>
          </cell>
          <cell r="W216">
            <v>335695.10260296741</v>
          </cell>
          <cell r="X216">
            <v>348922.95366756298</v>
          </cell>
          <cell r="Y216">
            <v>353537.99027757213</v>
          </cell>
          <cell r="Z216">
            <v>354596.7797693297</v>
          </cell>
          <cell r="AA216">
            <v>359853.55392939574</v>
          </cell>
          <cell r="AB216">
            <v>355546.86718435638</v>
          </cell>
          <cell r="AC216">
            <v>351120.83370566339</v>
          </cell>
          <cell r="AD216">
            <v>353655.16843746061</v>
          </cell>
          <cell r="AE216">
            <v>360684.15806895884</v>
          </cell>
        </row>
        <row r="217">
          <cell r="G217">
            <v>73536.576809621445</v>
          </cell>
          <cell r="H217">
            <v>90173.965820167112</v>
          </cell>
          <cell r="I217">
            <v>92044.840537701777</v>
          </cell>
          <cell r="J217">
            <v>95746.478689050549</v>
          </cell>
          <cell r="K217">
            <v>98330.06758469365</v>
          </cell>
          <cell r="L217">
            <v>103955.93302619121</v>
          </cell>
          <cell r="M217">
            <v>104313.04556775086</v>
          </cell>
          <cell r="N217">
            <v>110327.95107407245</v>
          </cell>
          <cell r="O217">
            <v>109385.15905848605</v>
          </cell>
          <cell r="P217">
            <v>115139.84278160419</v>
          </cell>
          <cell r="Q217">
            <v>120748.73358881973</v>
          </cell>
          <cell r="R217">
            <v>119613.84320651177</v>
          </cell>
          <cell r="S217">
            <v>122764.58514490072</v>
          </cell>
          <cell r="T217">
            <v>128138.76347603065</v>
          </cell>
          <cell r="U217">
            <v>135170.38179605946</v>
          </cell>
          <cell r="V217">
            <v>143246.28596714657</v>
          </cell>
          <cell r="W217">
            <v>151244.40006437257</v>
          </cell>
          <cell r="X217">
            <v>157204.08902883093</v>
          </cell>
          <cell r="Y217">
            <v>159283.35213974226</v>
          </cell>
          <cell r="Z217">
            <v>162515.65727255808</v>
          </cell>
          <cell r="AA217">
            <v>167612.08530117007</v>
          </cell>
          <cell r="AB217">
            <v>168423.08861424751</v>
          </cell>
          <cell r="AC217">
            <v>169187.35438208625</v>
          </cell>
          <cell r="AD217">
            <v>173048.3572794295</v>
          </cell>
          <cell r="AE217">
            <v>179117.10252840212</v>
          </cell>
        </row>
        <row r="218">
          <cell r="G218">
            <v>104499.34599261994</v>
          </cell>
          <cell r="H218">
            <v>105807.50910078075</v>
          </cell>
          <cell r="I218">
            <v>108002.7390865257</v>
          </cell>
          <cell r="J218">
            <v>112346.13364419344</v>
          </cell>
          <cell r="K218">
            <v>115377.64171974598</v>
          </cell>
          <cell r="L218">
            <v>121978.86862029215</v>
          </cell>
          <cell r="M218">
            <v>122397.89409119615</v>
          </cell>
          <cell r="N218">
            <v>129455.60928994505</v>
          </cell>
          <cell r="O218">
            <v>128349.36455664544</v>
          </cell>
          <cell r="P218">
            <v>135101.74308261863</v>
          </cell>
          <cell r="Q218">
            <v>141683.05244094582</v>
          </cell>
          <cell r="R218">
            <v>140351.40507064035</v>
          </cell>
          <cell r="S218">
            <v>144048.39403289961</v>
          </cell>
          <cell r="T218">
            <v>150354.29859757473</v>
          </cell>
          <cell r="U218">
            <v>158604.99504441186</v>
          </cell>
          <cell r="V218">
            <v>168081.02613950011</v>
          </cell>
          <cell r="W218">
            <v>177465.78062417047</v>
          </cell>
          <cell r="X218">
            <v>184458.70633847601</v>
          </cell>
          <cell r="Y218">
            <v>186898.45320476568</v>
          </cell>
          <cell r="Z218">
            <v>186028.83658052023</v>
          </cell>
          <cell r="AA218">
            <v>187392.62346713556</v>
          </cell>
          <cell r="AB218">
            <v>183688.58010542323</v>
          </cell>
          <cell r="AC218">
            <v>179917.79537687683</v>
          </cell>
          <cell r="AD218">
            <v>179846.95356055681</v>
          </cell>
          <cell r="AE218">
            <v>182057.43147324634</v>
          </cell>
        </row>
        <row r="219">
          <cell r="G219">
            <v>13423.836588687245</v>
          </cell>
          <cell r="H219">
            <v>21791.875763514865</v>
          </cell>
          <cell r="I219">
            <v>22224.659925521173</v>
          </cell>
          <cell r="J219">
            <v>22732.952835002077</v>
          </cell>
          <cell r="K219">
            <v>23080.895311996119</v>
          </cell>
          <cell r="L219">
            <v>24394.967985397427</v>
          </cell>
          <cell r="M219">
            <v>24342.77819338522</v>
          </cell>
          <cell r="N219">
            <v>25847.114822320538</v>
          </cell>
          <cell r="O219">
            <v>25597.201842348808</v>
          </cell>
          <cell r="P219">
            <v>26685.15216798272</v>
          </cell>
          <cell r="Q219">
            <v>27183.979842094126</v>
          </cell>
          <cell r="R219">
            <v>26370.318525564584</v>
          </cell>
          <cell r="S219">
            <v>26408.046610476242</v>
          </cell>
          <cell r="T219">
            <v>27113.984701041256</v>
          </cell>
          <cell r="U219">
            <v>28084.473978898819</v>
          </cell>
          <cell r="V219">
            <v>29362.800335296797</v>
          </cell>
          <cell r="W219">
            <v>30805.387561284086</v>
          </cell>
          <cell r="X219">
            <v>32039.384416567875</v>
          </cell>
          <cell r="Y219">
            <v>32288.612309161115</v>
          </cell>
          <cell r="Z219">
            <v>32756.354184115167</v>
          </cell>
          <cell r="AA219">
            <v>33718.918515821199</v>
          </cell>
          <cell r="AB219">
            <v>33600.302576498187</v>
          </cell>
          <cell r="AC219">
            <v>33338.384168395656</v>
          </cell>
          <cell r="AD219">
            <v>33752.759044080267</v>
          </cell>
          <cell r="AE219">
            <v>34616.681984882525</v>
          </cell>
        </row>
        <row r="220">
          <cell r="G220">
            <v>42956.277083799177</v>
          </cell>
          <cell r="H220">
            <v>40249.231290308788</v>
          </cell>
          <cell r="I220">
            <v>41048.576423532184</v>
          </cell>
          <cell r="J220">
            <v>41987.384954699257</v>
          </cell>
          <cell r="K220">
            <v>42630.028909915964</v>
          </cell>
          <cell r="L220">
            <v>45057.099233644389</v>
          </cell>
          <cell r="M220">
            <v>44960.705557740206</v>
          </cell>
          <cell r="N220">
            <v>47739.190235863898</v>
          </cell>
          <cell r="O220">
            <v>47277.605127611147</v>
          </cell>
          <cell r="P220">
            <v>49287.03124420641</v>
          </cell>
          <cell r="Q220">
            <v>50208.35764342035</v>
          </cell>
          <cell r="R220">
            <v>48705.538754566136</v>
          </cell>
          <cell r="S220">
            <v>48775.221898515229</v>
          </cell>
          <cell r="T220">
            <v>50079.077784632274</v>
          </cell>
          <cell r="U220">
            <v>51871.555303921945</v>
          </cell>
          <cell r="V220">
            <v>54232.602775994215</v>
          </cell>
          <cell r="W220">
            <v>56897.037336162713</v>
          </cell>
          <cell r="X220">
            <v>59176.208958597657</v>
          </cell>
          <cell r="Y220">
            <v>59636.528721881943</v>
          </cell>
          <cell r="Z220">
            <v>59267.380594230824</v>
          </cell>
          <cell r="AA220">
            <v>59661.108667141169</v>
          </cell>
          <cell r="AB220">
            <v>58346.611071043306</v>
          </cell>
          <cell r="AC220">
            <v>56953.433458145395</v>
          </cell>
          <cell r="AD220">
            <v>56761.820168837978</v>
          </cell>
          <cell r="AE220">
            <v>57298.25438694148</v>
          </cell>
        </row>
        <row r="221">
          <cell r="G221">
            <v>10739.069270949794</v>
          </cell>
          <cell r="H221">
            <v>10062.307822577197</v>
          </cell>
          <cell r="I221">
            <v>10262.144105883046</v>
          </cell>
          <cell r="J221">
            <v>10496.846238674814</v>
          </cell>
          <cell r="K221">
            <v>10657.507227478991</v>
          </cell>
          <cell r="L221">
            <v>11264.274808411097</v>
          </cell>
          <cell r="M221">
            <v>11240.176389435052</v>
          </cell>
          <cell r="N221">
            <v>11934.797558965975</v>
          </cell>
          <cell r="O221">
            <v>11819.401281902787</v>
          </cell>
          <cell r="P221">
            <v>12321.757811051602</v>
          </cell>
          <cell r="Q221">
            <v>12552.089410855087</v>
          </cell>
          <cell r="R221">
            <v>12176.384688641534</v>
          </cell>
          <cell r="S221">
            <v>12193.805474628807</v>
          </cell>
          <cell r="T221">
            <v>12519.769446158069</v>
          </cell>
          <cell r="U221">
            <v>12967.888825980486</v>
          </cell>
          <cell r="V221">
            <v>13558.150693998554</v>
          </cell>
          <cell r="W221">
            <v>14224.259334040678</v>
          </cell>
          <cell r="X221">
            <v>14794.052239649414</v>
          </cell>
          <cell r="Y221">
            <v>14909.132180470486</v>
          </cell>
          <cell r="Z221">
            <v>16089.783930114661</v>
          </cell>
          <cell r="AA221">
            <v>17617.092653342384</v>
          </cell>
          <cell r="AB221">
            <v>18419.311769849035</v>
          </cell>
          <cell r="AC221">
            <v>19009.848165719726</v>
          </cell>
          <cell r="AD221">
            <v>19949.851202602753</v>
          </cell>
          <cell r="AE221">
            <v>21177.433659989274</v>
          </cell>
        </row>
        <row r="222">
          <cell r="G222">
            <v>22373.060981145409</v>
          </cell>
          <cell r="H222">
            <v>19427.476132820269</v>
          </cell>
          <cell r="I222">
            <v>19813.303588395116</v>
          </cell>
          <cell r="J222">
            <v>20266.447157796101</v>
          </cell>
          <cell r="K222">
            <v>20576.638177640001</v>
          </cell>
          <cell r="L222">
            <v>21748.135105042526</v>
          </cell>
          <cell r="M222">
            <v>21701.60786022446</v>
          </cell>
          <cell r="N222">
            <v>23042.725268910268</v>
          </cell>
          <cell r="O222">
            <v>22819.927630635757</v>
          </cell>
          <cell r="P222">
            <v>23789.836288996135</v>
          </cell>
          <cell r="Q222">
            <v>24234.541592860558</v>
          </cell>
          <cell r="R222">
            <v>23509.161823876082</v>
          </cell>
          <cell r="S222">
            <v>23542.796444278309</v>
          </cell>
          <cell r="T222">
            <v>24172.140863938701</v>
          </cell>
          <cell r="U222">
            <v>25037.332896388816</v>
          </cell>
          <cell r="V222">
            <v>26176.96195119722</v>
          </cell>
          <cell r="W222">
            <v>27463.02971362921</v>
          </cell>
          <cell r="X222">
            <v>28563.138979768595</v>
          </cell>
          <cell r="Y222">
            <v>28785.325862051341</v>
          </cell>
          <cell r="Z222">
            <v>28924.071606197242</v>
          </cell>
          <cell r="AA222">
            <v>29469.866159102188</v>
          </cell>
          <cell r="AB222">
            <v>29116.933433380244</v>
          </cell>
          <cell r="AC222">
            <v>28678.217716061263</v>
          </cell>
          <cell r="AD222">
            <v>28831.690819149815</v>
          </cell>
          <cell r="AE222">
            <v>29362.860829323748</v>
          </cell>
        </row>
        <row r="223">
          <cell r="G223">
            <v>4115.706901028545</v>
          </cell>
          <cell r="H223">
            <v>4205.010520242442</v>
          </cell>
          <cell r="I223">
            <v>4292.0902136220993</v>
          </cell>
          <cell r="J223">
            <v>4385.1340717390349</v>
          </cell>
          <cell r="K223">
            <v>4578.7455890095252</v>
          </cell>
          <cell r="L223">
            <v>4925.2542379471824</v>
          </cell>
          <cell r="M223">
            <v>5059.9086971479355</v>
          </cell>
          <cell r="N223">
            <v>5491.2305796720329</v>
          </cell>
          <cell r="O223">
            <v>5593.5954805401325</v>
          </cell>
          <cell r="P223">
            <v>5926.3175733184044</v>
          </cell>
          <cell r="Q223">
            <v>6182.9348882424329</v>
          </cell>
          <cell r="R223">
            <v>6169.7723192810736</v>
          </cell>
          <cell r="S223">
            <v>6245.6036993975076</v>
          </cell>
          <cell r="T223">
            <v>6577.8422959626059</v>
          </cell>
          <cell r="U223">
            <v>6928.8339007962168</v>
          </cell>
          <cell r="V223">
            <v>7490.3140941843267</v>
          </cell>
          <cell r="W223">
            <v>8257.6043067687824</v>
          </cell>
          <cell r="X223">
            <v>8802.0048065065639</v>
          </cell>
          <cell r="Y223">
            <v>9009.5800347258555</v>
          </cell>
          <cell r="Z223">
            <v>9145.9892087019052</v>
          </cell>
          <cell r="AA223">
            <v>9211.6710302419669</v>
          </cell>
          <cell r="AB223">
            <v>9178.9855009367984</v>
          </cell>
          <cell r="AC223">
            <v>9148.5358510380192</v>
          </cell>
          <cell r="AD223">
            <v>9307.2672479613648</v>
          </cell>
          <cell r="AE223">
            <v>9585.7986641014031</v>
          </cell>
        </row>
        <row r="224">
          <cell r="G224">
            <v>7052.2389172900575</v>
          </cell>
          <cell r="H224">
            <v>7205.2601294462738</v>
          </cell>
          <cell r="I224">
            <v>7354.4706581173587</v>
          </cell>
          <cell r="J224">
            <v>7513.9007470440247</v>
          </cell>
          <cell r="K224">
            <v>7845.6529125321231</v>
          </cell>
          <cell r="L224">
            <v>8439.3933896795734</v>
          </cell>
          <cell r="M224">
            <v>8670.1229922479361</v>
          </cell>
          <cell r="N224">
            <v>9409.1904328995261</v>
          </cell>
          <cell r="O224">
            <v>9584.5920722840365</v>
          </cell>
          <cell r="P224">
            <v>10154.709368719003</v>
          </cell>
          <cell r="Q224">
            <v>10594.421587950512</v>
          </cell>
          <cell r="R224">
            <v>10571.867605533151</v>
          </cell>
          <cell r="S224">
            <v>10701.80421736411</v>
          </cell>
          <cell r="T224">
            <v>11271.093045957972</v>
          </cell>
          <cell r="U224">
            <v>11872.515040957445</v>
          </cell>
          <cell r="V224">
            <v>12834.607961157768</v>
          </cell>
          <cell r="W224">
            <v>14047.589314524124</v>
          </cell>
          <cell r="X224">
            <v>15152.652396838437</v>
          </cell>
          <cell r="Y224">
            <v>15479.510456527292</v>
          </cell>
          <cell r="Z224">
            <v>15798.174448709171</v>
          </cell>
          <cell r="AA224">
            <v>16024.318633545427</v>
          </cell>
          <cell r="AB224">
            <v>15915.266706434264</v>
          </cell>
          <cell r="AC224">
            <v>15890.102655033168</v>
          </cell>
          <cell r="AD224">
            <v>16206.894670169306</v>
          </cell>
          <cell r="AE224">
            <v>16751.236087215875</v>
          </cell>
        </row>
        <row r="225">
          <cell r="G225">
            <v>50887.549088008323</v>
          </cell>
          <cell r="H225">
            <v>52096.128378848516</v>
          </cell>
          <cell r="I225">
            <v>53891.473390088919</v>
          </cell>
          <cell r="J225">
            <v>55301.704088136066</v>
          </cell>
          <cell r="K225">
            <v>56320.720929326286</v>
          </cell>
          <cell r="L225">
            <v>59598.948196798665</v>
          </cell>
          <cell r="M225">
            <v>59875.038133999398</v>
          </cell>
          <cell r="N225">
            <v>63090.538108352572</v>
          </cell>
          <cell r="O225">
            <v>62290.990920621967</v>
          </cell>
          <cell r="P225">
            <v>65911.63038498332</v>
          </cell>
          <cell r="Q225">
            <v>68983.639135362406</v>
          </cell>
          <cell r="R225">
            <v>69732.96582170199</v>
          </cell>
          <cell r="S225">
            <v>71331.440918664593</v>
          </cell>
          <cell r="T225">
            <v>74031.11753504441</v>
          </cell>
          <cell r="U225">
            <v>76942.356081206293</v>
          </cell>
          <cell r="V225">
            <v>81143.432123224557</v>
          </cell>
          <cell r="W225">
            <v>85690.254182846576</v>
          </cell>
          <cell r="X225">
            <v>88772.478710730531</v>
          </cell>
          <cell r="Y225">
            <v>89611.133454044131</v>
          </cell>
          <cell r="Z225">
            <v>90910.782716700836</v>
          </cell>
          <cell r="AA225">
            <v>92712.944275381815</v>
          </cell>
          <cell r="AB225">
            <v>92106.864078517261</v>
          </cell>
          <cell r="AC225">
            <v>91226.675126907721</v>
          </cell>
          <cell r="AD225">
            <v>92126.824590314762</v>
          </cell>
          <cell r="AE225">
            <v>94226.839366206506</v>
          </cell>
        </row>
        <row r="226">
          <cell r="G226">
            <v>19812.879259651741</v>
          </cell>
          <cell r="H226">
            <v>18032.884427272984</v>
          </cell>
          <cell r="I226">
            <v>18390.850686182566</v>
          </cell>
          <cell r="J226">
            <v>18811.272058336421</v>
          </cell>
          <cell r="K226">
            <v>19099.063705396456</v>
          </cell>
          <cell r="L226">
            <v>20186.310587606091</v>
          </cell>
          <cell r="M226">
            <v>20143.040724556799</v>
          </cell>
          <cell r="N226">
            <v>21387.69116528075</v>
          </cell>
          <cell r="O226">
            <v>21180.748251774428</v>
          </cell>
          <cell r="P226">
            <v>22080.758751653964</v>
          </cell>
          <cell r="Q226">
            <v>22493.41427857352</v>
          </cell>
          <cell r="R226">
            <v>21820.012288958882</v>
          </cell>
          <cell r="S226">
            <v>21851.072681430713</v>
          </cell>
          <cell r="T226">
            <v>22435.037007354465</v>
          </cell>
          <cell r="U226">
            <v>23237.856100070774</v>
          </cell>
          <cell r="V226">
            <v>24295.423566588957</v>
          </cell>
          <cell r="W226">
            <v>25676.409631101869</v>
          </cell>
          <cell r="X226">
            <v>26947.489232296917</v>
          </cell>
          <cell r="Y226">
            <v>27352.311253779546</v>
          </cell>
          <cell r="Z226">
            <v>27335.965576247774</v>
          </cell>
          <cell r="AA226">
            <v>27602.57300118457</v>
          </cell>
          <cell r="AB226">
            <v>27114.80587866436</v>
          </cell>
          <cell r="AC226">
            <v>26610.841990217854</v>
          </cell>
          <cell r="AD226">
            <v>26693.236756604154</v>
          </cell>
          <cell r="AE226">
            <v>27154.544217813003</v>
          </cell>
        </row>
        <row r="227">
          <cell r="G227">
            <v>7419.0906995658279</v>
          </cell>
          <cell r="H227">
            <v>10929.866269561855</v>
          </cell>
          <cell r="I227">
            <v>11146.832299299163</v>
          </cell>
          <cell r="J227">
            <v>11401.652840795985</v>
          </cell>
          <cell r="K227">
            <v>11576.085512870666</v>
          </cell>
          <cell r="L227">
            <v>12235.073988756241</v>
          </cell>
          <cell r="M227">
            <v>12208.847800786238</v>
          </cell>
          <cell r="N227">
            <v>12963.239752020037</v>
          </cell>
          <cell r="O227">
            <v>12837.810102693569</v>
          </cell>
          <cell r="P227">
            <v>13383.313205347922</v>
          </cell>
          <cell r="Q227">
            <v>13633.426809902779</v>
          </cell>
          <cell r="R227">
            <v>13225.27282201311</v>
          </cell>
          <cell r="S227">
            <v>13244.098758449756</v>
          </cell>
          <cell r="T227">
            <v>13598.043908726899</v>
          </cell>
          <cell r="U227">
            <v>14084.638571795298</v>
          </cell>
          <cell r="V227">
            <v>14725.638131610645</v>
          </cell>
          <cell r="W227">
            <v>15562.664125213003</v>
          </cell>
          <cell r="X227">
            <v>16333.074988492226</v>
          </cell>
          <cell r="Y227">
            <v>16578.44064674971</v>
          </cell>
          <cell r="Z227">
            <v>16857.311575218704</v>
          </cell>
          <cell r="AA227">
            <v>17266.656645919924</v>
          </cell>
          <cell r="AB227">
            <v>17209.046241024487</v>
          </cell>
          <cell r="AC227">
            <v>17136.3703707032</v>
          </cell>
          <cell r="AD227">
            <v>17456.408368183093</v>
          </cell>
          <cell r="AE227">
            <v>18058.866872371669</v>
          </cell>
        </row>
        <row r="228">
          <cell r="G228">
            <v>83364.422267462985</v>
          </cell>
          <cell r="H228">
            <v>83832.227579195271</v>
          </cell>
          <cell r="I228">
            <v>84473.651357137482</v>
          </cell>
          <cell r="J228">
            <v>85669.000717749455</v>
          </cell>
          <cell r="K228">
            <v>86953.915160136385</v>
          </cell>
          <cell r="L228">
            <v>91285.461447874812</v>
          </cell>
          <cell r="M228">
            <v>90938.245242666802</v>
          </cell>
          <cell r="N228">
            <v>95719.927133708654</v>
          </cell>
          <cell r="O228">
            <v>93952.396537730761</v>
          </cell>
          <cell r="P228">
            <v>96705.968870619268</v>
          </cell>
          <cell r="Q228">
            <v>98084.385907262404</v>
          </cell>
          <cell r="R228">
            <v>94854.133820205563</v>
          </cell>
          <cell r="S228">
            <v>94531.289301758676</v>
          </cell>
          <cell r="T228">
            <v>96314.095346684699</v>
          </cell>
          <cell r="U228">
            <v>98468.71184276056</v>
          </cell>
          <cell r="V228">
            <v>101998.44637128555</v>
          </cell>
          <cell r="W228">
            <v>108335.20040286546</v>
          </cell>
          <cell r="X228">
            <v>114395.71234984108</v>
          </cell>
          <cell r="Y228">
            <v>116727.38959742447</v>
          </cell>
          <cell r="Z228">
            <v>141998.01843454241</v>
          </cell>
          <cell r="AA228">
            <v>171946.05794425026</v>
          </cell>
          <cell r="AB228">
            <v>192464.78312542022</v>
          </cell>
          <cell r="AC228">
            <v>208908.64373695463</v>
          </cell>
          <cell r="AD228">
            <v>228706.45614921703</v>
          </cell>
          <cell r="AE228">
            <v>252084.95499626573</v>
          </cell>
        </row>
        <row r="229">
          <cell r="G229">
            <v>12778.134917081974</v>
          </cell>
          <cell r="H229">
            <v>12894.186073617273</v>
          </cell>
          <cell r="I229">
            <v>13178.009408971293</v>
          </cell>
          <cell r="J229">
            <v>13341.082749817862</v>
          </cell>
          <cell r="K229">
            <v>13581.568601140933</v>
          </cell>
          <cell r="L229">
            <v>14287.410756019724</v>
          </cell>
          <cell r="M229">
            <v>14217.523844548945</v>
          </cell>
          <cell r="N229">
            <v>14955.493690163396</v>
          </cell>
          <cell r="O229">
            <v>14749.068526871995</v>
          </cell>
          <cell r="P229">
            <v>15217.615920965041</v>
          </cell>
          <cell r="Q229">
            <v>15615.500853886677</v>
          </cell>
          <cell r="R229">
            <v>15768.602167633129</v>
          </cell>
          <cell r="S229">
            <v>16113.909210513591</v>
          </cell>
          <cell r="T229">
            <v>16679.827859739111</v>
          </cell>
          <cell r="U229">
            <v>17277.728711114269</v>
          </cell>
          <cell r="V229">
            <v>17914.590049087761</v>
          </cell>
          <cell r="W229">
            <v>18631.873619577422</v>
          </cell>
          <cell r="X229">
            <v>19246.310352174143</v>
          </cell>
          <cell r="Y229">
            <v>19226.799168199374</v>
          </cell>
          <cell r="Z229">
            <v>19109.077435323827</v>
          </cell>
          <cell r="AA229">
            <v>19277.963444280296</v>
          </cell>
          <cell r="AB229">
            <v>18940.524142835653</v>
          </cell>
          <cell r="AC229">
            <v>18579.144573461443</v>
          </cell>
          <cell r="AD229">
            <v>18559.369474301344</v>
          </cell>
          <cell r="AE229">
            <v>18786.218095097855</v>
          </cell>
        </row>
        <row r="230">
          <cell r="G230">
            <v>19927.728810231933</v>
          </cell>
          <cell r="H230">
            <v>20387.498878375507</v>
          </cell>
          <cell r="I230">
            <v>21039.067675030969</v>
          </cell>
          <cell r="J230">
            <v>21751.96518935723</v>
          </cell>
          <cell r="K230">
            <v>22543.066584433152</v>
          </cell>
          <cell r="L230">
            <v>23942.959888780144</v>
          </cell>
          <cell r="M230">
            <v>24443.241717863308</v>
          </cell>
          <cell r="N230">
            <v>25857.012921133639</v>
          </cell>
          <cell r="O230">
            <v>26019.551101581019</v>
          </cell>
          <cell r="P230">
            <v>27043.216886545717</v>
          </cell>
          <cell r="Q230">
            <v>27714.128414291805</v>
          </cell>
          <cell r="R230">
            <v>27458.778506721221</v>
          </cell>
          <cell r="S230">
            <v>28235.725930746761</v>
          </cell>
          <cell r="T230">
            <v>30700.328022192367</v>
          </cell>
          <cell r="U230">
            <v>33048.146988518049</v>
          </cell>
          <cell r="V230">
            <v>35494.528422093819</v>
          </cell>
          <cell r="W230">
            <v>37620.955907392017</v>
          </cell>
          <cell r="X230">
            <v>39513.733368011992</v>
          </cell>
          <cell r="Y230">
            <v>40010.808440145935</v>
          </cell>
          <cell r="Z230">
            <v>48908.818659119788</v>
          </cell>
          <cell r="AA230">
            <v>52282.519633483942</v>
          </cell>
          <cell r="AB230">
            <v>55374.912449867224</v>
          </cell>
          <cell r="AC230">
            <v>58076.99156480789</v>
          </cell>
          <cell r="AD230">
            <v>62210.734014487818</v>
          </cell>
          <cell r="AE230">
            <v>67374.994373915324</v>
          </cell>
        </row>
        <row r="231">
          <cell r="G231">
            <v>45108.374295171176</v>
          </cell>
          <cell r="H231">
            <v>46149.56065856183</v>
          </cell>
          <cell r="I231">
            <v>47625.090696060222</v>
          </cell>
          <cell r="J231">
            <v>49239.504556032982</v>
          </cell>
          <cell r="K231">
            <v>51031.017404918923</v>
          </cell>
          <cell r="L231">
            <v>54200.373325811925</v>
          </cell>
          <cell r="M231">
            <v>55333.543476117171</v>
          </cell>
          <cell r="N231">
            <v>58534.252384181593</v>
          </cell>
          <cell r="O231">
            <v>58902.884869384878</v>
          </cell>
          <cell r="P231">
            <v>61220.727174027903</v>
          </cell>
          <cell r="Q231">
            <v>62739.911562789377</v>
          </cell>
          <cell r="R231">
            <v>62162.601935177241</v>
          </cell>
          <cell r="S231">
            <v>63922.405058420525</v>
          </cell>
          <cell r="T231">
            <v>69503.539738679581</v>
          </cell>
          <cell r="U231">
            <v>74820.119795511695</v>
          </cell>
          <cell r="V231">
            <v>80359.598457471366</v>
          </cell>
          <cell r="W231">
            <v>86541.70128799032</v>
          </cell>
          <cell r="X231">
            <v>92483.477913026232</v>
          </cell>
          <cell r="Y231">
            <v>94848.756057148668</v>
          </cell>
          <cell r="Z231">
            <v>104876.15733776866</v>
          </cell>
          <cell r="AA231">
            <v>108880.94517899094</v>
          </cell>
          <cell r="AB231">
            <v>111269.29774283603</v>
          </cell>
          <cell r="AC231">
            <v>113174.32196937493</v>
          </cell>
          <cell r="AD231">
            <v>117725.13831993856</v>
          </cell>
          <cell r="AE231">
            <v>124056.03016699647</v>
          </cell>
        </row>
        <row r="232">
          <cell r="G232">
            <v>14732.614363471273</v>
          </cell>
          <cell r="H232">
            <v>15190.025849992297</v>
          </cell>
          <cell r="I232">
            <v>15978.652657210951</v>
          </cell>
          <cell r="J232">
            <v>16358.081684185232</v>
          </cell>
          <cell r="K232">
            <v>16802.815184019466</v>
          </cell>
          <cell r="L232">
            <v>17995.075095351578</v>
          </cell>
          <cell r="M232">
            <v>18068.872042573646</v>
          </cell>
          <cell r="N232">
            <v>19587.401185481136</v>
          </cell>
          <cell r="O232">
            <v>19396.744558816688</v>
          </cell>
          <cell r="P232">
            <v>20469.625724466405</v>
          </cell>
          <cell r="Q232">
            <v>22021.466826109994</v>
          </cell>
          <cell r="R232">
            <v>22443.493824552352</v>
          </cell>
          <cell r="S232">
            <v>23154.520006260926</v>
          </cell>
          <cell r="T232">
            <v>24297.299686122278</v>
          </cell>
          <cell r="U232">
            <v>25604.628317990238</v>
          </cell>
          <cell r="V232">
            <v>27252.115344501475</v>
          </cell>
          <cell r="W232">
            <v>29326.592850202847</v>
          </cell>
          <cell r="X232">
            <v>31071.045803116915</v>
          </cell>
          <cell r="Y232">
            <v>31809.338088577882</v>
          </cell>
          <cell r="Z232">
            <v>32253.678455315665</v>
          </cell>
          <cell r="AA232">
            <v>33031.407872308417</v>
          </cell>
          <cell r="AB232">
            <v>33044.701825989607</v>
          </cell>
          <cell r="AC232">
            <v>33079.38765057132</v>
          </cell>
          <cell r="AD232">
            <v>33840.932034592515</v>
          </cell>
          <cell r="AE232">
            <v>35028.551814055783</v>
          </cell>
        </row>
        <row r="233">
          <cell r="G233">
            <v>30607.73667734694</v>
          </cell>
          <cell r="H233">
            <v>31558.031715771514</v>
          </cell>
          <cell r="I233">
            <v>33196.443002222775</v>
          </cell>
          <cell r="J233">
            <v>33984.725615128584</v>
          </cell>
          <cell r="K233">
            <v>34908.681507727801</v>
          </cell>
          <cell r="L233">
            <v>37385.660577205868</v>
          </cell>
          <cell r="M233">
            <v>37538.977393382476</v>
          </cell>
          <cell r="N233">
            <v>40693.796965544178</v>
          </cell>
          <cell r="O233">
            <v>40297.698372262203</v>
          </cell>
          <cell r="P233">
            <v>42526.662179644067</v>
          </cell>
          <cell r="Q233">
            <v>45750.688997447731</v>
          </cell>
          <cell r="R233">
            <v>46627.471007780034</v>
          </cell>
          <cell r="S233">
            <v>48104.663147852298</v>
          </cell>
          <cell r="T233">
            <v>50478.844583575272</v>
          </cell>
          <cell r="U233">
            <v>53194.884624247505</v>
          </cell>
          <cell r="V233">
            <v>56617.620592401901</v>
          </cell>
          <cell r="W233">
            <v>59923.157134890702</v>
          </cell>
          <cell r="X233">
            <v>63973.486449511773</v>
          </cell>
          <cell r="Y233">
            <v>66181.538107032015</v>
          </cell>
          <cell r="Z233">
            <v>66453.563269918333</v>
          </cell>
          <cell r="AA233">
            <v>66959.267579956038</v>
          </cell>
          <cell r="AB233">
            <v>66094.364426773463</v>
          </cell>
          <cell r="AC233">
            <v>65334.982685483985</v>
          </cell>
          <cell r="AD233">
            <v>65811.632936669848</v>
          </cell>
          <cell r="AE233">
            <v>67051.855449590992</v>
          </cell>
        </row>
        <row r="236">
          <cell r="G236">
            <v>365235.87759901345</v>
          </cell>
          <cell r="H236">
            <v>354859.62782446295</v>
          </cell>
          <cell r="I236">
            <v>359099.12116031331</v>
          </cell>
          <cell r="J236">
            <v>363684.89253116085</v>
          </cell>
          <cell r="K236">
            <v>371183.65691280959</v>
          </cell>
          <cell r="L236">
            <v>393810.14448577375</v>
          </cell>
          <cell r="M236">
            <v>392919.76472724194</v>
          </cell>
          <cell r="N236">
            <v>416337.28299488511</v>
          </cell>
          <cell r="O236">
            <v>415847.40765335562</v>
          </cell>
          <cell r="P236">
            <v>440930.75205977412</v>
          </cell>
          <cell r="Q236">
            <v>462610.57949277834</v>
          </cell>
          <cell r="R236">
            <v>464545.80548638868</v>
          </cell>
          <cell r="S236">
            <v>474100.778496566</v>
          </cell>
          <cell r="T236">
            <v>490120.37038982578</v>
          </cell>
          <cell r="U236">
            <v>507824.3128671766</v>
          </cell>
          <cell r="V236">
            <v>523265.66056981642</v>
          </cell>
          <cell r="W236">
            <v>547621.81359517598</v>
          </cell>
          <cell r="X236">
            <v>577195.13074333861</v>
          </cell>
          <cell r="Y236">
            <v>597901.31757310289</v>
          </cell>
          <cell r="Z236">
            <v>606724.96847552957</v>
          </cell>
          <cell r="AA236">
            <v>621130.50828699535</v>
          </cell>
          <cell r="AB236">
            <v>615303.10013566166</v>
          </cell>
          <cell r="AC236">
            <v>604685.27239587845</v>
          </cell>
          <cell r="AD236">
            <v>611946.42316720472</v>
          </cell>
          <cell r="AE236">
            <v>621775.7724142184</v>
          </cell>
        </row>
        <row r="237">
          <cell r="G237">
            <v>128508.91989594916</v>
          </cell>
          <cell r="H237">
            <v>159878.80401357694</v>
          </cell>
          <cell r="I237">
            <v>161788.86949021256</v>
          </cell>
          <cell r="J237">
            <v>163854.9474116308</v>
          </cell>
          <cell r="K237">
            <v>167233.44805501943</v>
          </cell>
          <cell r="L237">
            <v>177427.60791020317</v>
          </cell>
          <cell r="M237">
            <v>177026.45534239855</v>
          </cell>
          <cell r="N237">
            <v>187577.00694092782</v>
          </cell>
          <cell r="O237">
            <v>187356.29802512456</v>
          </cell>
          <cell r="P237">
            <v>198657.37256252611</v>
          </cell>
          <cell r="Q237">
            <v>208425.02323177626</v>
          </cell>
          <cell r="R237">
            <v>209296.92184490184</v>
          </cell>
          <cell r="S237">
            <v>213601.82873615521</v>
          </cell>
          <cell r="T237">
            <v>220819.31134577713</v>
          </cell>
          <cell r="U237">
            <v>228795.66291599342</v>
          </cell>
          <cell r="V237">
            <v>235752.62282205813</v>
          </cell>
          <cell r="W237">
            <v>246726.06784295075</v>
          </cell>
          <cell r="X237">
            <v>260050.0590936582</v>
          </cell>
          <cell r="Y237">
            <v>269379.04477264325</v>
          </cell>
          <cell r="Z237">
            <v>274246.47257606586</v>
          </cell>
          <cell r="AA237">
            <v>283323.60322947107</v>
          </cell>
          <cell r="AB237">
            <v>282176.62280447973</v>
          </cell>
          <cell r="AC237">
            <v>278788.25314832455</v>
          </cell>
          <cell r="AD237">
            <v>283474.80692722125</v>
          </cell>
          <cell r="AE237">
            <v>289306.68472038873</v>
          </cell>
        </row>
        <row r="238">
          <cell r="G238">
            <v>182617.93879950672</v>
          </cell>
          <cell r="H238">
            <v>187597.13911690007</v>
          </cell>
          <cell r="I238">
            <v>189838.35439964873</v>
          </cell>
          <cell r="J238">
            <v>192262.63014803207</v>
          </cell>
          <cell r="K238">
            <v>196226.86455117722</v>
          </cell>
          <cell r="L238">
            <v>208188.39526396897</v>
          </cell>
          <cell r="M238">
            <v>207717.6945070184</v>
          </cell>
          <cell r="N238">
            <v>220097.40492705166</v>
          </cell>
          <cell r="O238">
            <v>219838.43150379052</v>
          </cell>
          <cell r="P238">
            <v>233098.78371397682</v>
          </cell>
          <cell r="Q238">
            <v>244559.86095151352</v>
          </cell>
          <cell r="R238">
            <v>245582.9214280509</v>
          </cell>
          <cell r="S238">
            <v>250634.17398117352</v>
          </cell>
          <cell r="T238">
            <v>259102.95818021009</v>
          </cell>
          <cell r="U238">
            <v>268462.17714857374</v>
          </cell>
          <cell r="V238">
            <v>276625.27158364275</v>
          </cell>
          <cell r="W238">
            <v>289501.19284710946</v>
          </cell>
          <cell r="X238">
            <v>305135.17669927207</v>
          </cell>
          <cell r="Y238">
            <v>316081.53719425993</v>
          </cell>
          <cell r="Z238">
            <v>318864.90587520832</v>
          </cell>
          <cell r="AA238">
            <v>321024.71413024032</v>
          </cell>
          <cell r="AB238">
            <v>314825.8482508192</v>
          </cell>
          <cell r="AC238">
            <v>306269.79725356057</v>
          </cell>
          <cell r="AD238">
            <v>307123.92753089877</v>
          </cell>
          <cell r="AE238">
            <v>309360.53101240424</v>
          </cell>
        </row>
        <row r="239">
          <cell r="G239">
            <v>22826.038376498713</v>
          </cell>
          <cell r="H239">
            <v>37085.098831852469</v>
          </cell>
          <cell r="I239">
            <v>37893.103890682374</v>
          </cell>
          <cell r="J239">
            <v>38462.381555532207</v>
          </cell>
          <cell r="K239">
            <v>38969.129623895285</v>
          </cell>
          <cell r="L239">
            <v>41122.671401230393</v>
          </cell>
          <cell r="M239">
            <v>41185.78757641455</v>
          </cell>
          <cell r="N239">
            <v>44212.728429698531</v>
          </cell>
          <cell r="O239">
            <v>44951.843483761288</v>
          </cell>
          <cell r="P239">
            <v>48023.926933948365</v>
          </cell>
          <cell r="Q239">
            <v>50150.466781839837</v>
          </cell>
          <cell r="R239">
            <v>50124.859380140115</v>
          </cell>
          <cell r="S239">
            <v>50689.163852827936</v>
          </cell>
          <cell r="T239">
            <v>51823.573400304151</v>
          </cell>
          <cell r="U239">
            <v>52861.045289321017</v>
          </cell>
          <cell r="V239">
            <v>54320.35492645581</v>
          </cell>
          <cell r="W239">
            <v>56926.871894878575</v>
          </cell>
          <cell r="X239">
            <v>59891.068626553875</v>
          </cell>
          <cell r="Y239">
            <v>62046.543913457623</v>
          </cell>
          <cell r="Z239">
            <v>63939.99342109407</v>
          </cell>
          <cell r="AA239">
            <v>65822.79068051881</v>
          </cell>
          <cell r="AB239">
            <v>65849.37613974858</v>
          </cell>
          <cell r="AC239">
            <v>65246.726750042319</v>
          </cell>
          <cell r="AD239">
            <v>66564.13506297869</v>
          </cell>
          <cell r="AE239">
            <v>68260.473116669134</v>
          </cell>
        </row>
        <row r="240">
          <cell r="G240">
            <v>73043.322804795869</v>
          </cell>
          <cell r="H240">
            <v>68495.559377511716</v>
          </cell>
          <cell r="I240">
            <v>69987.931252677838</v>
          </cell>
          <cell r="J240">
            <v>71039.377610467272</v>
          </cell>
          <cell r="K240">
            <v>71975.332845840443</v>
          </cell>
          <cell r="L240">
            <v>75952.888611573333</v>
          </cell>
          <cell r="M240">
            <v>76069.463135066151</v>
          </cell>
          <cell r="N240">
            <v>81660.172435542656</v>
          </cell>
          <cell r="O240">
            <v>83025.305620219151</v>
          </cell>
          <cell r="P240">
            <v>88699.392544701768</v>
          </cell>
          <cell r="Q240">
            <v>92627.076196842638</v>
          </cell>
          <cell r="R240">
            <v>92579.779752748451</v>
          </cell>
          <cell r="S240">
            <v>93622.040707511944</v>
          </cell>
          <cell r="T240">
            <v>95717.276232429431</v>
          </cell>
          <cell r="U240">
            <v>97633.469518009108</v>
          </cell>
          <cell r="V240">
            <v>100328.79009282413</v>
          </cell>
          <cell r="W240">
            <v>105142.983485933</v>
          </cell>
          <cell r="X240">
            <v>110617.80543966891</v>
          </cell>
          <cell r="Y240">
            <v>114598.93236534574</v>
          </cell>
          <cell r="Z240">
            <v>115858.64768204739</v>
          </cell>
          <cell r="AA240">
            <v>116478.30055393775</v>
          </cell>
          <cell r="AB240">
            <v>114286.39036749169</v>
          </cell>
          <cell r="AC240">
            <v>111201.59592874881</v>
          </cell>
          <cell r="AD240">
            <v>111549.77156105102</v>
          </cell>
          <cell r="AE240">
            <v>112441.44112659105</v>
          </cell>
        </row>
        <row r="241">
          <cell r="G241">
            <v>18260.830701198967</v>
          </cell>
          <cell r="H241">
            <v>17123.889844377929</v>
          </cell>
          <cell r="I241">
            <v>17496.982813169459</v>
          </cell>
          <cell r="J241">
            <v>17759.844402616818</v>
          </cell>
          <cell r="K241">
            <v>17993.833211460111</v>
          </cell>
          <cell r="L241">
            <v>18988.222152893333</v>
          </cell>
          <cell r="M241">
            <v>19017.365783766538</v>
          </cell>
          <cell r="N241">
            <v>20415.043108885664</v>
          </cell>
          <cell r="O241">
            <v>20756.326405054788</v>
          </cell>
          <cell r="P241">
            <v>22174.848136175442</v>
          </cell>
          <cell r="Q241">
            <v>23156.769049210659</v>
          </cell>
          <cell r="R241">
            <v>23144.944938187113</v>
          </cell>
          <cell r="S241">
            <v>23405.510176877986</v>
          </cell>
          <cell r="T241">
            <v>23929.319058107358</v>
          </cell>
          <cell r="U241">
            <v>24408.367379502277</v>
          </cell>
          <cell r="V241">
            <v>25082.197523206032</v>
          </cell>
          <cell r="W241">
            <v>26285.74587148325</v>
          </cell>
          <cell r="X241">
            <v>27654.451359917228</v>
          </cell>
          <cell r="Y241">
            <v>28649.733091336435</v>
          </cell>
          <cell r="Z241">
            <v>30793.004144602553</v>
          </cell>
          <cell r="AA241">
            <v>33283.211347743643</v>
          </cell>
          <cell r="AB241">
            <v>34566.484046841208</v>
          </cell>
          <cell r="AC241">
            <v>35406.47476373057</v>
          </cell>
          <cell r="AD241">
            <v>37197.32778087561</v>
          </cell>
          <cell r="AE241">
            <v>39251.843081514526</v>
          </cell>
        </row>
        <row r="242">
          <cell r="G242">
            <v>38043.397294164519</v>
          </cell>
          <cell r="H242">
            <v>33061.397754723999</v>
          </cell>
          <cell r="I242">
            <v>33781.73496506628</v>
          </cell>
          <cell r="J242">
            <v>34289.246496741514</v>
          </cell>
          <cell r="K242">
            <v>34741.012838946874</v>
          </cell>
          <cell r="L242">
            <v>36660.897200175481</v>
          </cell>
          <cell r="M242">
            <v>36717.165325062553</v>
          </cell>
          <cell r="N242">
            <v>39415.685719579902</v>
          </cell>
          <cell r="O242">
            <v>40074.60743095701</v>
          </cell>
          <cell r="P242">
            <v>42813.372489743997</v>
          </cell>
          <cell r="Q242">
            <v>44709.184607467789</v>
          </cell>
          <cell r="R242">
            <v>44686.35558665546</v>
          </cell>
          <cell r="S242">
            <v>45189.43351320739</v>
          </cell>
          <cell r="T242">
            <v>46200.760608112003</v>
          </cell>
          <cell r="U242">
            <v>47125.667696472541</v>
          </cell>
          <cell r="V242">
            <v>48426.643502937863</v>
          </cell>
          <cell r="W242">
            <v>50750.35563966936</v>
          </cell>
          <cell r="X242">
            <v>53392.939595384662</v>
          </cell>
          <cell r="Y242">
            <v>55314.547682069737</v>
          </cell>
          <cell r="Z242">
            <v>56206.338067598081</v>
          </cell>
          <cell r="AA242">
            <v>56867.860447024854</v>
          </cell>
          <cell r="AB242">
            <v>56094.0735060183</v>
          </cell>
          <cell r="AC242">
            <v>54855.157088644417</v>
          </cell>
          <cell r="AD242">
            <v>55287.638953758076</v>
          </cell>
          <cell r="AE242">
            <v>56002.286494712542</v>
          </cell>
        </row>
        <row r="243">
          <cell r="G243">
            <v>4628.0563230687512</v>
          </cell>
          <cell r="H243">
            <v>4701.4044369701423</v>
          </cell>
          <cell r="I243">
            <v>4765.7538702829233</v>
          </cell>
          <cell r="J243">
            <v>4856.2183556535629</v>
          </cell>
          <cell r="K243">
            <v>4946.6084717631393</v>
          </cell>
          <cell r="L243">
            <v>5278.2857012813538</v>
          </cell>
          <cell r="M243">
            <v>5357.0931278130192</v>
          </cell>
          <cell r="N243">
            <v>5747.3914872416699</v>
          </cell>
          <cell r="O243">
            <v>5732.4673645938337</v>
          </cell>
          <cell r="P243">
            <v>6142.1880301032079</v>
          </cell>
          <cell r="Q243">
            <v>6440.7376439136387</v>
          </cell>
          <cell r="R243">
            <v>6446.5319933809833</v>
          </cell>
          <cell r="S243">
            <v>6508.8716791976822</v>
          </cell>
          <cell r="T243">
            <v>6604.0308077340533</v>
          </cell>
          <cell r="U243">
            <v>6726.1553145885591</v>
          </cell>
          <cell r="V243">
            <v>6888.1269957209943</v>
          </cell>
          <cell r="W243">
            <v>7236.5674433278036</v>
          </cell>
          <cell r="X243">
            <v>7730.2118587169389</v>
          </cell>
          <cell r="Y243">
            <v>8038.0237502793789</v>
          </cell>
          <cell r="Z243">
            <v>8252.3093205514033</v>
          </cell>
          <cell r="AA243">
            <v>8409.382277396091</v>
          </cell>
          <cell r="AB243">
            <v>8362.9356517854412</v>
          </cell>
          <cell r="AC243">
            <v>8292.2030909308778</v>
          </cell>
          <cell r="AD243">
            <v>8458.0331189855751</v>
          </cell>
          <cell r="AE243">
            <v>8650.3301626552002</v>
          </cell>
        </row>
        <row r="244">
          <cell r="G244">
            <v>15523.354711945038</v>
          </cell>
          <cell r="H244">
            <v>15769.377817555918</v>
          </cell>
          <cell r="I244">
            <v>15985.217688356061</v>
          </cell>
          <cell r="J244">
            <v>16288.652261578984</v>
          </cell>
          <cell r="K244">
            <v>16591.837386580326</v>
          </cell>
          <cell r="L244">
            <v>17704.344003671897</v>
          </cell>
          <cell r="M244">
            <v>17968.678651002941</v>
          </cell>
          <cell r="N244">
            <v>19277.81135250035</v>
          </cell>
          <cell r="O244">
            <v>19227.753091871116</v>
          </cell>
          <cell r="P244">
            <v>20602.031791076501</v>
          </cell>
          <cell r="Q244">
            <v>21603.422273554581</v>
          </cell>
          <cell r="R244">
            <v>21622.857590635365</v>
          </cell>
          <cell r="S244">
            <v>21831.956397566515</v>
          </cell>
          <cell r="T244">
            <v>22151.137670055909</v>
          </cell>
          <cell r="U244">
            <v>22560.765796117001</v>
          </cell>
          <cell r="V244">
            <v>23104.048695889851</v>
          </cell>
          <cell r="W244">
            <v>24222.842301479006</v>
          </cell>
          <cell r="X244">
            <v>25741.472768522566</v>
          </cell>
          <cell r="Y244">
            <v>26592.666617849558</v>
          </cell>
          <cell r="Z244">
            <v>27217.575877861957</v>
          </cell>
          <cell r="AA244">
            <v>27703.370878767415</v>
          </cell>
          <cell r="AB244">
            <v>27506.937031022229</v>
          </cell>
          <cell r="AC244">
            <v>27126.465394959287</v>
          </cell>
          <cell r="AD244">
            <v>27532.444745598816</v>
          </cell>
          <cell r="AE244">
            <v>28038.123006593294</v>
          </cell>
        </row>
        <row r="245">
          <cell r="G245">
            <v>42989.038650593269</v>
          </cell>
          <cell r="H245">
            <v>46177.524094383676</v>
          </cell>
          <cell r="I245">
            <v>48049.097799709365</v>
          </cell>
          <cell r="J245">
            <v>50221.351556134323</v>
          </cell>
          <cell r="K245">
            <v>53009.132948004757</v>
          </cell>
          <cell r="L245">
            <v>57640.128982233764</v>
          </cell>
          <cell r="M245">
            <v>59025.056673692248</v>
          </cell>
          <cell r="N245">
            <v>64140.796106645364</v>
          </cell>
          <cell r="O245">
            <v>65738.378600449563</v>
          </cell>
          <cell r="P245">
            <v>72214.596280012745</v>
          </cell>
          <cell r="Q245">
            <v>79060.97595669709</v>
          </cell>
          <cell r="R245">
            <v>81293.356899375809</v>
          </cell>
          <cell r="S245">
            <v>84841.963710676544</v>
          </cell>
          <cell r="T245">
            <v>88452.881885079623</v>
          </cell>
          <cell r="U245">
            <v>92105.077335115246</v>
          </cell>
          <cell r="V245">
            <v>97065.846332970599</v>
          </cell>
          <cell r="W245">
            <v>102052.43951083547</v>
          </cell>
          <cell r="X245">
            <v>109775.5245398815</v>
          </cell>
          <cell r="Y245">
            <v>114575.40812346498</v>
          </cell>
          <cell r="Z245">
            <v>118916.91832645051</v>
          </cell>
          <cell r="AA245">
            <v>122334.77011979968</v>
          </cell>
          <cell r="AB245">
            <v>122593.4152380662</v>
          </cell>
          <cell r="AC245">
            <v>121709.85508655623</v>
          </cell>
          <cell r="AD245">
            <v>124569.45637297981</v>
          </cell>
          <cell r="AE245">
            <v>128234.69570832193</v>
          </cell>
        </row>
        <row r="246">
          <cell r="G246">
            <v>33299.04878638684</v>
          </cell>
          <cell r="H246">
            <v>30330.448544332252</v>
          </cell>
          <cell r="I246">
            <v>30989.602297357953</v>
          </cell>
          <cell r="J246">
            <v>31454.007198291205</v>
          </cell>
          <cell r="K246">
            <v>31867.401752508187</v>
          </cell>
          <cell r="L246">
            <v>33627.757716878958</v>
          </cell>
          <cell r="M246">
            <v>33678.283068356512</v>
          </cell>
          <cell r="N246">
            <v>36151.728628515026</v>
          </cell>
          <cell r="O246">
            <v>36753.502636978956</v>
          </cell>
          <cell r="P246">
            <v>39263.465870843895</v>
          </cell>
          <cell r="Q246">
            <v>41001.093157340103</v>
          </cell>
          <cell r="R246">
            <v>40978.97325122216</v>
          </cell>
          <cell r="S246">
            <v>41438.624077021566</v>
          </cell>
          <cell r="T246">
            <v>42363.69971619008</v>
          </cell>
          <cell r="U246">
            <v>43210.133146248801</v>
          </cell>
          <cell r="V246">
            <v>44401.32382270151</v>
          </cell>
          <cell r="W246">
            <v>46342.560297745775</v>
          </cell>
          <cell r="X246">
            <v>48642.611386782039</v>
          </cell>
          <cell r="Y246">
            <v>50263.175879098308</v>
          </cell>
          <cell r="Z246">
            <v>50977.817961385736</v>
          </cell>
          <cell r="AA246">
            <v>51339.024248911577</v>
          </cell>
          <cell r="AB246">
            <v>50538.39378639061</v>
          </cell>
          <cell r="AC246">
            <v>49436.659552163255</v>
          </cell>
          <cell r="AD246">
            <v>49738.779482392318</v>
          </cell>
          <cell r="AE246">
            <v>50267.876249741275</v>
          </cell>
        </row>
        <row r="247">
          <cell r="G247">
            <v>10691.658369472056</v>
          </cell>
          <cell r="H247">
            <v>15762.991449869804</v>
          </cell>
          <cell r="I247">
            <v>16105.559247965732</v>
          </cell>
          <cell r="J247">
            <v>16346.914415265306</v>
          </cell>
          <cell r="K247">
            <v>16561.759072574627</v>
          </cell>
          <cell r="L247">
            <v>17476.631003154402</v>
          </cell>
          <cell r="M247">
            <v>17502.889457004119</v>
          </cell>
          <cell r="N247">
            <v>18788.360100786689</v>
          </cell>
          <cell r="O247">
            <v>19101.107158790332</v>
          </cell>
          <cell r="P247">
            <v>20405.55634743558</v>
          </cell>
          <cell r="Q247">
            <v>21308.615991280461</v>
          </cell>
          <cell r="R247">
            <v>21297.120088392661</v>
          </cell>
          <cell r="S247">
            <v>21536.004522508803</v>
          </cell>
          <cell r="T247">
            <v>22016.774181070974</v>
          </cell>
          <cell r="U247">
            <v>22456.672816311991</v>
          </cell>
          <cell r="V247">
            <v>23075.744717627389</v>
          </cell>
          <cell r="W247">
            <v>24084.621784300914</v>
          </cell>
          <cell r="X247">
            <v>25279.97785026049</v>
          </cell>
          <cell r="Y247">
            <v>26122.198966740394</v>
          </cell>
          <cell r="Z247">
            <v>26801.516390175642</v>
          </cell>
          <cell r="AA247">
            <v>27292.56324226594</v>
          </cell>
          <cell r="AB247">
            <v>27183.612671531475</v>
          </cell>
          <cell r="AC247">
            <v>26965.245592442159</v>
          </cell>
          <cell r="AD247">
            <v>27407.916763462723</v>
          </cell>
          <cell r="AE247">
            <v>27972.689694185861</v>
          </cell>
        </row>
        <row r="248">
          <cell r="G248">
            <v>112714.25036667172</v>
          </cell>
          <cell r="H248">
            <v>114141.16481280299</v>
          </cell>
          <cell r="I248">
            <v>115190.36661142894</v>
          </cell>
          <cell r="J248">
            <v>116520.75449208662</v>
          </cell>
          <cell r="K248">
            <v>117639.50338136432</v>
          </cell>
          <cell r="L248">
            <v>125133.03018357205</v>
          </cell>
          <cell r="M248">
            <v>125028.1219180683</v>
          </cell>
          <cell r="N248">
            <v>132782.30628235237</v>
          </cell>
          <cell r="O248">
            <v>132776.26779086614</v>
          </cell>
          <cell r="P248">
            <v>140250.1217333712</v>
          </cell>
          <cell r="Q248">
            <v>146590.53423395441</v>
          </cell>
          <cell r="R248">
            <v>146845.81875868811</v>
          </cell>
          <cell r="S248">
            <v>147443.91759888123</v>
          </cell>
          <cell r="T248">
            <v>149119.28301449967</v>
          </cell>
          <cell r="U248">
            <v>151298.35382192422</v>
          </cell>
          <cell r="V248">
            <v>153935.93009441264</v>
          </cell>
          <cell r="W248">
            <v>164146.30188532348</v>
          </cell>
          <cell r="X248">
            <v>174886.41228830878</v>
          </cell>
          <cell r="Y248">
            <v>184122.16950487869</v>
          </cell>
          <cell r="Z248">
            <v>222578.6043170327</v>
          </cell>
          <cell r="AA248">
            <v>270108.4559566789</v>
          </cell>
          <cell r="AB248">
            <v>303077.22933959612</v>
          </cell>
          <cell r="AC248">
            <v>330226.38848079956</v>
          </cell>
          <cell r="AD248">
            <v>364736.77247703593</v>
          </cell>
          <cell r="AE248">
            <v>402666.75528648176</v>
          </cell>
        </row>
        <row r="249">
          <cell r="G249">
            <v>14752.415649731582</v>
          </cell>
          <cell r="H249">
            <v>14949.486256197217</v>
          </cell>
          <cell r="I249">
            <v>15653.173296422536</v>
          </cell>
          <cell r="J249">
            <v>16126.238339946436</v>
          </cell>
          <cell r="K249">
            <v>16429.953298851924</v>
          </cell>
          <cell r="L249">
            <v>17486.291276105734</v>
          </cell>
          <cell r="M249">
            <v>17416.657106211544</v>
          </cell>
          <cell r="N249">
            <v>18528.371104601782</v>
          </cell>
          <cell r="O249">
            <v>18478.233325586072</v>
          </cell>
          <cell r="P249">
            <v>19711.765341966311</v>
          </cell>
          <cell r="Q249">
            <v>20744.547614122177</v>
          </cell>
          <cell r="R249">
            <v>21201.557636324564</v>
          </cell>
          <cell r="S249">
            <v>21869.370611957627</v>
          </cell>
          <cell r="T249">
            <v>22409.704663340748</v>
          </cell>
          <cell r="U249">
            <v>23146.437011872487</v>
          </cell>
          <cell r="V249">
            <v>23754.6214532173</v>
          </cell>
          <cell r="W249">
            <v>24638.42210750085</v>
          </cell>
          <cell r="X249">
            <v>25998.629422016213</v>
          </cell>
          <cell r="Y249">
            <v>27022.019736324251</v>
          </cell>
          <cell r="Z249">
            <v>27815.476693020497</v>
          </cell>
          <cell r="AA249">
            <v>28513.040758287032</v>
          </cell>
          <cell r="AB249">
            <v>28522.892788035613</v>
          </cell>
          <cell r="AC249">
            <v>28160.258081621505</v>
          </cell>
          <cell r="AD249">
            <v>28635.095426973003</v>
          </cell>
          <cell r="AE249">
            <v>29323.666041989127</v>
          </cell>
        </row>
        <row r="250">
          <cell r="G250">
            <v>34875.560548544068</v>
          </cell>
          <cell r="H250">
            <v>35490.215717743871</v>
          </cell>
          <cell r="I250">
            <v>36041.055471905849</v>
          </cell>
          <cell r="J250">
            <v>36987.832605266187</v>
          </cell>
          <cell r="K250">
            <v>37609.896544160554</v>
          </cell>
          <cell r="L250">
            <v>39880.544867932578</v>
          </cell>
          <cell r="M250">
            <v>40403.524766928334</v>
          </cell>
          <cell r="N250">
            <v>43318.517315310317</v>
          </cell>
          <cell r="O250">
            <v>43477.324084102991</v>
          </cell>
          <cell r="P250">
            <v>46102.792950617768</v>
          </cell>
          <cell r="Q250">
            <v>48157.744443856565</v>
          </cell>
          <cell r="R250">
            <v>48381.995246132137</v>
          </cell>
          <cell r="S250">
            <v>49049.199908716473</v>
          </cell>
          <cell r="T250">
            <v>50428.752236485008</v>
          </cell>
          <cell r="U250">
            <v>51749.10969971741</v>
          </cell>
          <cell r="V250">
            <v>53283.685692529973</v>
          </cell>
          <cell r="W250">
            <v>55740.603359634508</v>
          </cell>
          <cell r="X250">
            <v>58846.279199835903</v>
          </cell>
          <cell r="Y250">
            <v>60989.003348343955</v>
          </cell>
          <cell r="Z250">
            <v>66855.58838065021</v>
          </cell>
          <cell r="AA250">
            <v>70982.670891079164</v>
          </cell>
          <cell r="AB250">
            <v>72875.175932513535</v>
          </cell>
          <cell r="AC250">
            <v>74055.453637505809</v>
          </cell>
          <cell r="AD250">
            <v>77727.363212703494</v>
          </cell>
          <cell r="AE250">
            <v>81944.81933887284</v>
          </cell>
        </row>
        <row r="251">
          <cell r="G251">
            <v>95092.731567875642</v>
          </cell>
          <cell r="H251">
            <v>96766.415545228316</v>
          </cell>
          <cell r="I251">
            <v>98266.332436564364</v>
          </cell>
          <cell r="J251">
            <v>100844.37260873445</v>
          </cell>
          <cell r="K251">
            <v>102538.23040020447</v>
          </cell>
          <cell r="L251">
            <v>108726.98855621848</v>
          </cell>
          <cell r="M251">
            <v>110149.4485241012</v>
          </cell>
          <cell r="N251">
            <v>118093.70785323142</v>
          </cell>
          <cell r="O251">
            <v>118524.17778565657</v>
          </cell>
          <cell r="P251">
            <v>125679.56328821628</v>
          </cell>
          <cell r="Q251">
            <v>131279.82577985615</v>
          </cell>
          <cell r="R251">
            <v>131888.41597728548</v>
          </cell>
          <cell r="S251">
            <v>133704.03605860649</v>
          </cell>
          <cell r="T251">
            <v>137459.9244662337</v>
          </cell>
          <cell r="U251">
            <v>141055.35189563283</v>
          </cell>
          <cell r="V251">
            <v>145235.13322236884</v>
          </cell>
          <cell r="W251">
            <v>153068.71128711573</v>
          </cell>
          <cell r="X251">
            <v>162786.7828709142</v>
          </cell>
          <cell r="Y251">
            <v>169902.61285857085</v>
          </cell>
          <cell r="Z251">
            <v>177924.99831106921</v>
          </cell>
          <cell r="AA251">
            <v>183099.6511936677</v>
          </cell>
          <cell r="AB251">
            <v>183290.58023238834</v>
          </cell>
          <cell r="AC251">
            <v>181910.0452579376</v>
          </cell>
          <cell r="AD251">
            <v>186440.59700101402</v>
          </cell>
          <cell r="AE251">
            <v>192071.4052546951</v>
          </cell>
        </row>
        <row r="252">
          <cell r="G252">
            <v>20269.095261833754</v>
          </cell>
          <cell r="H252">
            <v>20530.532236312658</v>
          </cell>
          <cell r="I252">
            <v>20719.297673345118</v>
          </cell>
          <cell r="J252">
            <v>20905.426610008475</v>
          </cell>
          <cell r="K252">
            <v>21238.400627835614</v>
          </cell>
          <cell r="L252">
            <v>22707.133589089823</v>
          </cell>
          <cell r="M252">
            <v>22914.0953188536</v>
          </cell>
          <cell r="N252">
            <v>24446.984147439664</v>
          </cell>
          <cell r="O252">
            <v>24508.760457259279</v>
          </cell>
          <cell r="P252">
            <v>26182.572155659302</v>
          </cell>
          <cell r="Q252">
            <v>27665.032170520342</v>
          </cell>
          <cell r="R252">
            <v>27944.373484518161</v>
          </cell>
          <cell r="S252">
            <v>28737.453154020208</v>
          </cell>
          <cell r="T252">
            <v>29887.275798005736</v>
          </cell>
          <cell r="U252">
            <v>31124.852838925988</v>
          </cell>
          <cell r="V252">
            <v>32286.30287308092</v>
          </cell>
          <cell r="W252">
            <v>34084.157085432591</v>
          </cell>
          <cell r="X252">
            <v>36026.430975225201</v>
          </cell>
          <cell r="Y252">
            <v>37766.179529638641</v>
          </cell>
          <cell r="Z252">
            <v>38453.867170200647</v>
          </cell>
          <cell r="AA252">
            <v>38998.349356101215</v>
          </cell>
          <cell r="AB252">
            <v>38753.276478936947</v>
          </cell>
          <cell r="AC252">
            <v>38078.707519783769</v>
          </cell>
          <cell r="AD252">
            <v>38623.220290712226</v>
          </cell>
          <cell r="AE252">
            <v>39376.63752481604</v>
          </cell>
        </row>
        <row r="253">
          <cell r="G253">
            <v>111590.53378044043</v>
          </cell>
          <cell r="H253">
            <v>113029.8625297102</v>
          </cell>
          <cell r="I253">
            <v>114069.10160800362</v>
          </cell>
          <cell r="J253">
            <v>115093.82555971152</v>
          </cell>
          <cell r="K253">
            <v>116926.99807700257</v>
          </cell>
          <cell r="L253">
            <v>125013.03709404237</v>
          </cell>
          <cell r="M253">
            <v>126152.45499099954</v>
          </cell>
          <cell r="N253">
            <v>134591.7010648037</v>
          </cell>
          <cell r="O253">
            <v>134931.80758158234</v>
          </cell>
          <cell r="P253">
            <v>144146.89776985085</v>
          </cell>
          <cell r="Q253">
            <v>152308.51042347541</v>
          </cell>
          <cell r="R253">
            <v>153846.41065697235</v>
          </cell>
          <cell r="S253">
            <v>158212.67281652676</v>
          </cell>
          <cell r="T253">
            <v>164542.96634653877</v>
          </cell>
          <cell r="U253">
            <v>171356.38750849618</v>
          </cell>
          <cell r="V253">
            <v>177750.69507853885</v>
          </cell>
          <cell r="W253">
            <v>186860.74176010364</v>
          </cell>
          <cell r="X253">
            <v>198849.0352817431</v>
          </cell>
          <cell r="Y253">
            <v>207459.88509259641</v>
          </cell>
          <cell r="Z253">
            <v>210238.94541030767</v>
          </cell>
          <cell r="AA253">
            <v>212559.78193989891</v>
          </cell>
          <cell r="AB253">
            <v>209370.44418938732</v>
          </cell>
          <cell r="AC253">
            <v>204710.6763606098</v>
          </cell>
          <cell r="AD253">
            <v>206356.08182021734</v>
          </cell>
          <cell r="AE253">
            <v>208941.43593905578</v>
          </cell>
        </row>
        <row r="256">
          <cell r="G256">
            <v>41700.08658172701</v>
          </cell>
          <cell r="H256">
            <v>42703.510343600574</v>
          </cell>
          <cell r="I256">
            <v>44257.002746285623</v>
          </cell>
          <cell r="J256">
            <v>46606.120598262525</v>
          </cell>
          <cell r="K256">
            <v>48934.561178675896</v>
          </cell>
          <cell r="L256">
            <v>49695.768483822583</v>
          </cell>
          <cell r="M256">
            <v>49546.517070036483</v>
          </cell>
          <cell r="N256">
            <v>52273.811962574538</v>
          </cell>
          <cell r="O256">
            <v>52585.807956194207</v>
          </cell>
          <cell r="P256">
            <v>56289.490101634299</v>
          </cell>
          <cell r="Q256">
            <v>59687.816054859606</v>
          </cell>
          <cell r="R256">
            <v>62488.410252297035</v>
          </cell>
          <cell r="S256">
            <v>66288.542174939212</v>
          </cell>
          <cell r="T256">
            <v>70860.892025420588</v>
          </cell>
          <cell r="U256">
            <v>78425.921481403377</v>
          </cell>
          <cell r="V256">
            <v>82710.375879353072</v>
          </cell>
          <cell r="W256">
            <v>87029.28237334211</v>
          </cell>
          <cell r="X256">
            <v>91919.753724823735</v>
          </cell>
          <cell r="Y256">
            <v>97412.530517584542</v>
          </cell>
          <cell r="Z256">
            <v>101803.61807623306</v>
          </cell>
          <cell r="AA256">
            <v>106254.40114189948</v>
          </cell>
          <cell r="AB256">
            <v>108563.77406324894</v>
          </cell>
          <cell r="AC256">
            <v>110216.79388037193</v>
          </cell>
          <cell r="AD256">
            <v>113386.61374144799</v>
          </cell>
          <cell r="AE256">
            <v>117712.63216067546</v>
          </cell>
        </row>
        <row r="257">
          <cell r="G257">
            <v>14672.252686163205</v>
          </cell>
          <cell r="H257">
            <v>19239.68134321988</v>
          </cell>
          <cell r="I257">
            <v>19939.593330695461</v>
          </cell>
          <cell r="J257">
            <v>20997.967186756636</v>
          </cell>
          <cell r="K257">
            <v>22047.02508465117</v>
          </cell>
          <cell r="L257">
            <v>22389.980168889302</v>
          </cell>
          <cell r="M257">
            <v>22322.736290852939</v>
          </cell>
          <cell r="N257">
            <v>23551.49440088233</v>
          </cell>
          <cell r="O257">
            <v>23692.06138119155</v>
          </cell>
          <cell r="P257">
            <v>25360.721959712802</v>
          </cell>
          <cell r="Q257">
            <v>26891.807060548002</v>
          </cell>
          <cell r="R257">
            <v>28153.589511143226</v>
          </cell>
          <cell r="S257">
            <v>29865.70466667843</v>
          </cell>
          <cell r="T257">
            <v>31925.735643175518</v>
          </cell>
          <cell r="U257">
            <v>35334.09141800685</v>
          </cell>
          <cell r="V257">
            <v>37264.413695563177</v>
          </cell>
          <cell r="W257">
            <v>39210.258054186605</v>
          </cell>
          <cell r="X257">
            <v>41413.615803083063</v>
          </cell>
          <cell r="Y257">
            <v>43888.336834956921</v>
          </cell>
          <cell r="Z257">
            <v>49736.807319184532</v>
          </cell>
          <cell r="AA257">
            <v>56142.539444000598</v>
          </cell>
          <cell r="AB257">
            <v>60827.935304007333</v>
          </cell>
          <cell r="AC257">
            <v>65095.991258090726</v>
          </cell>
          <cell r="AD257">
            <v>69834.495854563807</v>
          </cell>
          <cell r="AE257">
            <v>75291.428799324145</v>
          </cell>
        </row>
        <row r="258">
          <cell r="G258">
            <v>20850.043290863505</v>
          </cell>
          <cell r="H258">
            <v>22575.282569679115</v>
          </cell>
          <cell r="I258">
            <v>23396.538941304792</v>
          </cell>
          <cell r="J258">
            <v>24638.404044926261</v>
          </cell>
          <cell r="K258">
            <v>25869.338074156876</v>
          </cell>
          <cell r="L258">
            <v>26271.751596359642</v>
          </cell>
          <cell r="M258">
            <v>26192.849585423435</v>
          </cell>
          <cell r="N258">
            <v>27634.638617624529</v>
          </cell>
          <cell r="O258">
            <v>27799.575824423198</v>
          </cell>
          <cell r="P258">
            <v>29757.533620136724</v>
          </cell>
          <cell r="Q258">
            <v>31554.064351232275</v>
          </cell>
          <cell r="R258">
            <v>33034.603184256543</v>
          </cell>
          <cell r="S258">
            <v>35043.549316914716</v>
          </cell>
          <cell r="T258">
            <v>37460.729755981731</v>
          </cell>
          <cell r="U258">
            <v>41459.995302130206</v>
          </cell>
          <cell r="V258">
            <v>43724.979325981389</v>
          </cell>
          <cell r="W258">
            <v>46008.176508351571</v>
          </cell>
          <cell r="X258">
            <v>48593.532413997003</v>
          </cell>
          <cell r="Y258">
            <v>51497.298104241556</v>
          </cell>
          <cell r="Z258">
            <v>52757.518908787002</v>
          </cell>
          <cell r="AA258">
            <v>53903.877954527678</v>
          </cell>
          <cell r="AB258">
            <v>54125.33752447724</v>
          </cell>
          <cell r="AC258">
            <v>54033.163247066717</v>
          </cell>
          <cell r="AD258">
            <v>54801.231162971046</v>
          </cell>
          <cell r="AE258">
            <v>56126.369631058922</v>
          </cell>
        </row>
        <row r="259">
          <cell r="G259">
            <v>3084.9199261436966</v>
          </cell>
          <cell r="H259">
            <v>5192.3238248352354</v>
          </cell>
          <cell r="I259">
            <v>5441.9087153135188</v>
          </cell>
          <cell r="J259">
            <v>5708.9913981860245</v>
          </cell>
          <cell r="K259">
            <v>5939.2683798155113</v>
          </cell>
          <cell r="L259">
            <v>5907.767503560216</v>
          </cell>
          <cell r="M259">
            <v>5893.8371432833674</v>
          </cell>
          <cell r="N259">
            <v>6195.5678689534261</v>
          </cell>
          <cell r="O259">
            <v>6123.6377703355965</v>
          </cell>
          <cell r="P259">
            <v>6556.9250028957049</v>
          </cell>
          <cell r="Q259">
            <v>6960.5527448298462</v>
          </cell>
          <cell r="R259">
            <v>7163.8361106454095</v>
          </cell>
          <cell r="S259">
            <v>7643.6281214589717</v>
          </cell>
          <cell r="T259">
            <v>8227.1598087030998</v>
          </cell>
          <cell r="U259">
            <v>8657.9336583136501</v>
          </cell>
          <cell r="V259">
            <v>9040.8792984394131</v>
          </cell>
          <cell r="W259">
            <v>9412.5989064156402</v>
          </cell>
          <cell r="X259">
            <v>9908.961078993003</v>
          </cell>
          <cell r="Y259">
            <v>10279.707681731243</v>
          </cell>
          <cell r="Z259">
            <v>10839.759702525946</v>
          </cell>
          <cell r="AA259">
            <v>11663.103603960732</v>
          </cell>
          <cell r="AB259">
            <v>12117.020713681366</v>
          </cell>
          <cell r="AC259">
            <v>12408.832497687614</v>
          </cell>
          <cell r="AD259">
            <v>12917.727582640358</v>
          </cell>
          <cell r="AE259">
            <v>13578.615297081387</v>
          </cell>
        </row>
        <row r="260">
          <cell r="G260">
            <v>9871.7437636598297</v>
          </cell>
          <cell r="H260">
            <v>9590.1355545478818</v>
          </cell>
          <cell r="I260">
            <v>10051.114686975101</v>
          </cell>
          <cell r="J260">
            <v>10544.41195028686</v>
          </cell>
          <cell r="K260">
            <v>10969.729696910446</v>
          </cell>
          <cell r="L260">
            <v>10911.548103549427</v>
          </cell>
          <cell r="M260">
            <v>10885.818960320785</v>
          </cell>
          <cell r="N260">
            <v>11443.110581137555</v>
          </cell>
          <cell r="O260">
            <v>11310.256887980453</v>
          </cell>
          <cell r="P260">
            <v>12110.53118413112</v>
          </cell>
          <cell r="Q260">
            <v>12856.024895484399</v>
          </cell>
          <cell r="R260">
            <v>13231.48588365146</v>
          </cell>
          <cell r="S260">
            <v>14117.653730056369</v>
          </cell>
          <cell r="T260">
            <v>15195.427029610313</v>
          </cell>
          <cell r="U260">
            <v>15991.059149348286</v>
          </cell>
          <cell r="V260">
            <v>16698.353363407765</v>
          </cell>
          <cell r="W260">
            <v>17384.91328321179</v>
          </cell>
          <cell r="X260">
            <v>18301.685942189361</v>
          </cell>
          <cell r="Y260">
            <v>18986.448737537681</v>
          </cell>
          <cell r="Z260">
            <v>19186.457357777792</v>
          </cell>
          <cell r="AA260">
            <v>19421.389500806956</v>
          </cell>
          <cell r="AB260">
            <v>19309.143644282176</v>
          </cell>
          <cell r="AC260">
            <v>19047.886232108558</v>
          </cell>
          <cell r="AD260">
            <v>19147.291907871771</v>
          </cell>
          <cell r="AE260">
            <v>19450.207372063909</v>
          </cell>
        </row>
        <row r="261">
          <cell r="G261">
            <v>2467.9359409149574</v>
          </cell>
          <cell r="H261">
            <v>2397.5338886369705</v>
          </cell>
          <cell r="I261">
            <v>2512.7786717437752</v>
          </cell>
          <cell r="J261">
            <v>2636.1029875717149</v>
          </cell>
          <cell r="K261">
            <v>2742.4324242276116</v>
          </cell>
          <cell r="L261">
            <v>2727.8870258873567</v>
          </cell>
          <cell r="M261">
            <v>2721.4547400801962</v>
          </cell>
          <cell r="N261">
            <v>2860.7776452843887</v>
          </cell>
          <cell r="O261">
            <v>2827.5642219951133</v>
          </cell>
          <cell r="P261">
            <v>3027.6327960327799</v>
          </cell>
          <cell r="Q261">
            <v>3214.0062238710998</v>
          </cell>
          <cell r="R261">
            <v>3307.8714709128649</v>
          </cell>
          <cell r="S261">
            <v>3529.4134325140922</v>
          </cell>
          <cell r="T261">
            <v>3798.8567574025783</v>
          </cell>
          <cell r="U261">
            <v>3997.7647873370715</v>
          </cell>
          <cell r="V261">
            <v>4174.5883408519412</v>
          </cell>
          <cell r="W261">
            <v>4346.2283208029476</v>
          </cell>
          <cell r="X261">
            <v>4575.4214855473401</v>
          </cell>
          <cell r="Y261">
            <v>4746.6121843844203</v>
          </cell>
          <cell r="Z261">
            <v>5696.4113678519134</v>
          </cell>
          <cell r="AA261">
            <v>7141.6915145381108</v>
          </cell>
          <cell r="AB261">
            <v>8138.7616941484803</v>
          </cell>
          <cell r="AC261">
            <v>8936.3970229625047</v>
          </cell>
          <cell r="AD261">
            <v>9867.6418435425585</v>
          </cell>
          <cell r="AE261">
            <v>10933.03441460919</v>
          </cell>
        </row>
        <row r="262">
          <cell r="G262">
            <v>5141.5332102394941</v>
          </cell>
          <cell r="H262">
            <v>4628.9611906538521</v>
          </cell>
          <cell r="I262">
            <v>4851.4663368605652</v>
          </cell>
          <cell r="J262">
            <v>5089.5707801541757</v>
          </cell>
          <cell r="K262">
            <v>5294.8629088856933</v>
          </cell>
          <cell r="L262">
            <v>5266.7798503984886</v>
          </cell>
          <cell r="M262">
            <v>5254.3609221365559</v>
          </cell>
          <cell r="N262">
            <v>5523.3541256178196</v>
          </cell>
          <cell r="O262">
            <v>5459.2283803495338</v>
          </cell>
          <cell r="P262">
            <v>5845.504323759169</v>
          </cell>
          <cell r="Q262">
            <v>6205.3388055662963</v>
          </cell>
          <cell r="R262">
            <v>6386.5661024010788</v>
          </cell>
          <cell r="S262">
            <v>6814.3010959349658</v>
          </cell>
          <cell r="T262">
            <v>7334.5201009303946</v>
          </cell>
          <cell r="U262">
            <v>7718.5553612618451</v>
          </cell>
          <cell r="V262">
            <v>8059.9517313791303</v>
          </cell>
          <cell r="W262">
            <v>8391.3400841041475</v>
          </cell>
          <cell r="X262">
            <v>8833.8473912138234</v>
          </cell>
          <cell r="Y262">
            <v>9164.3683089257556</v>
          </cell>
          <cell r="Z262">
            <v>9427.4013538185536</v>
          </cell>
          <cell r="AA262">
            <v>9797.3565548521656</v>
          </cell>
          <cell r="AB262">
            <v>9932.861944815053</v>
          </cell>
          <cell r="AC262">
            <v>9966.4333527343661</v>
          </cell>
          <cell r="AD262">
            <v>10182.127978430055</v>
          </cell>
          <cell r="AE262">
            <v>10511.460426461397</v>
          </cell>
        </row>
        <row r="263">
          <cell r="G263">
            <v>38695.862157504649</v>
          </cell>
          <cell r="H263">
            <v>39188.4671848789</v>
          </cell>
          <cell r="I263">
            <v>39741.214823901777</v>
          </cell>
          <cell r="J263">
            <v>40107.89074653374</v>
          </cell>
          <cell r="K263">
            <v>41756.080499778414</v>
          </cell>
          <cell r="L263">
            <v>42655.293736363157</v>
          </cell>
          <cell r="M263">
            <v>41788.422279535007</v>
          </cell>
          <cell r="N263">
            <v>42758.588014985733</v>
          </cell>
          <cell r="O263">
            <v>42675.647914828987</v>
          </cell>
          <cell r="P263">
            <v>44698.188170030255</v>
          </cell>
          <cell r="Q263">
            <v>46622.423951739962</v>
          </cell>
          <cell r="R263">
            <v>47476.187309589091</v>
          </cell>
          <cell r="S263">
            <v>47987.913010357173</v>
          </cell>
          <cell r="T263">
            <v>48926.548887985504</v>
          </cell>
          <cell r="U263">
            <v>49631.181693389517</v>
          </cell>
          <cell r="V263">
            <v>51502.693953272537</v>
          </cell>
          <cell r="W263">
            <v>53982.101264314697</v>
          </cell>
          <cell r="X263">
            <v>56987.497434832425</v>
          </cell>
          <cell r="Y263">
            <v>57959.733733594301</v>
          </cell>
          <cell r="Z263">
            <v>59424.072963241932</v>
          </cell>
          <cell r="AA263">
            <v>62248.204735016327</v>
          </cell>
          <cell r="AB263">
            <v>63461.255420553018</v>
          </cell>
          <cell r="AC263">
            <v>63503.996144116907</v>
          </cell>
          <cell r="AD263">
            <v>64899.250469511047</v>
          </cell>
          <cell r="AE263">
            <v>67021.594229596027</v>
          </cell>
        </row>
        <row r="264">
          <cell r="G264">
            <v>15817.337232070206</v>
          </cell>
          <cell r="H264">
            <v>16018.694674591499</v>
          </cell>
          <cell r="I264">
            <v>16244.636036876404</v>
          </cell>
          <cell r="J264">
            <v>16394.518644467444</v>
          </cell>
          <cell r="K264">
            <v>17068.233395760493</v>
          </cell>
          <cell r="L264">
            <v>17435.796184482177</v>
          </cell>
          <cell r="M264">
            <v>17081.453435541836</v>
          </cell>
          <cell r="N264">
            <v>17478.018798168017</v>
          </cell>
          <cell r="O264">
            <v>17444.116167212251</v>
          </cell>
          <cell r="P264">
            <v>18270.850590436661</v>
          </cell>
          <cell r="Q264">
            <v>19057.402034863284</v>
          </cell>
          <cell r="R264">
            <v>19406.386711636154</v>
          </cell>
          <cell r="S264">
            <v>19615.559928824609</v>
          </cell>
          <cell r="T264">
            <v>19999.237133227925</v>
          </cell>
          <cell r="U264">
            <v>20287.263141344494</v>
          </cell>
          <cell r="V264">
            <v>21052.263296348981</v>
          </cell>
          <cell r="W264">
            <v>22167.22763662495</v>
          </cell>
          <cell r="X264">
            <v>23362.862099979786</v>
          </cell>
          <cell r="Y264">
            <v>23744.685317019321</v>
          </cell>
          <cell r="Z264">
            <v>23996.322284808713</v>
          </cell>
          <cell r="AA264">
            <v>23948.878801276289</v>
          </cell>
          <cell r="AB264">
            <v>23807.88839224822</v>
          </cell>
          <cell r="AC264">
            <v>23579.111074955865</v>
          </cell>
          <cell r="AD264">
            <v>23808.133708016674</v>
          </cell>
          <cell r="AE264">
            <v>24242.268569309461</v>
          </cell>
        </row>
        <row r="265">
          <cell r="G265">
            <v>5322.184838687871</v>
          </cell>
          <cell r="H265">
            <v>5545.0304646425429</v>
          </cell>
          <cell r="I265">
            <v>5646.0717363855647</v>
          </cell>
          <cell r="J265">
            <v>5772.714861515663</v>
          </cell>
          <cell r="K265">
            <v>5942.4333319450498</v>
          </cell>
          <cell r="L265">
            <v>6101.6843781988837</v>
          </cell>
          <cell r="M265">
            <v>5984.6208573422091</v>
          </cell>
          <cell r="N265">
            <v>6060.5218777927839</v>
          </cell>
          <cell r="O265">
            <v>5984.088884824102</v>
          </cell>
          <cell r="P265">
            <v>6250.5787353942815</v>
          </cell>
          <cell r="Q265">
            <v>6572.719636686692</v>
          </cell>
          <cell r="R265">
            <v>6621.4012106557939</v>
          </cell>
          <cell r="S265">
            <v>7007.3620811741166</v>
          </cell>
          <cell r="T265">
            <v>7493.6319939120322</v>
          </cell>
          <cell r="U265">
            <v>7852.5601573598751</v>
          </cell>
          <cell r="V265">
            <v>8244.2529789954897</v>
          </cell>
          <cell r="W265">
            <v>8590.1003647840844</v>
          </cell>
          <cell r="X265">
            <v>8791.169223543573</v>
          </cell>
          <cell r="Y265">
            <v>9001.664162895453</v>
          </cell>
          <cell r="Z265">
            <v>9312.348144124393</v>
          </cell>
          <cell r="AA265">
            <v>9600.2460714418157</v>
          </cell>
          <cell r="AB265">
            <v>9649.7064927956617</v>
          </cell>
          <cell r="AC265">
            <v>9594.2324440334487</v>
          </cell>
          <cell r="AD265">
            <v>9674.6836717986062</v>
          </cell>
          <cell r="AE265">
            <v>9849.4812135498341</v>
          </cell>
        </row>
        <row r="266">
          <cell r="G266">
            <v>40188.47897715179</v>
          </cell>
          <cell r="H266">
            <v>37894.786608260598</v>
          </cell>
          <cell r="I266">
            <v>39692.417744606828</v>
          </cell>
          <cell r="J266">
            <v>41616.076447625463</v>
          </cell>
          <cell r="K266">
            <v>43274.642682815946</v>
          </cell>
          <cell r="L266">
            <v>43037.119273569937</v>
          </cell>
          <cell r="M266">
            <v>42915.311055033781</v>
          </cell>
          <cell r="N266">
            <v>45084.536114695635</v>
          </cell>
          <cell r="O266">
            <v>44539.564838901228</v>
          </cell>
          <cell r="P266">
            <v>47662.286009123229</v>
          </cell>
          <cell r="Q266">
            <v>50573.227173981133</v>
          </cell>
          <cell r="R266">
            <v>52028.353540521784</v>
          </cell>
          <cell r="S266">
            <v>55480.383681701147</v>
          </cell>
          <cell r="T266">
            <v>59679.121785217372</v>
          </cell>
          <cell r="U266">
            <v>62780.458365300248</v>
          </cell>
          <cell r="V266">
            <v>65538.345071305797</v>
          </cell>
          <cell r="W266">
            <v>66650.46253738238</v>
          </cell>
          <cell r="X266">
            <v>67942.572302651621</v>
          </cell>
          <cell r="Y266">
            <v>68392.695694490918</v>
          </cell>
          <cell r="Z266">
            <v>68988.233738220995</v>
          </cell>
          <cell r="AA266">
            <v>69484.825010124769</v>
          </cell>
          <cell r="AB266">
            <v>68888.699697287899</v>
          </cell>
          <cell r="AC266">
            <v>67780.569700880937</v>
          </cell>
          <cell r="AD266">
            <v>67936.197356717166</v>
          </cell>
          <cell r="AE266">
            <v>68764.752407722292</v>
          </cell>
        </row>
        <row r="267">
          <cell r="G267">
            <v>1188.7545350603505</v>
          </cell>
          <cell r="H267">
            <v>1814.3315151782574</v>
          </cell>
          <cell r="I267">
            <v>1900.3987322087844</v>
          </cell>
          <cell r="J267">
            <v>1992.499913445489</v>
          </cell>
          <cell r="K267">
            <v>2071.9089630760959</v>
          </cell>
          <cell r="L267">
            <v>2060.5367864375899</v>
          </cell>
          <cell r="M267">
            <v>2054.7048367295088</v>
          </cell>
          <cell r="N267">
            <v>2158.5632758848569</v>
          </cell>
          <cell r="O267">
            <v>2132.4710703590135</v>
          </cell>
          <cell r="P267">
            <v>2281.9811201401903</v>
          </cell>
          <cell r="Q267">
            <v>2421.3515393175903</v>
          </cell>
          <cell r="R267">
            <v>2491.0202684932815</v>
          </cell>
          <cell r="S267">
            <v>2656.2970159581087</v>
          </cell>
          <cell r="T267">
            <v>2857.3247442295396</v>
          </cell>
          <cell r="U267">
            <v>3005.8109398265065</v>
          </cell>
          <cell r="V267">
            <v>3137.8533977435613</v>
          </cell>
          <cell r="W267">
            <v>3191.0995022312723</v>
          </cell>
          <cell r="X267">
            <v>3252.9633013979505</v>
          </cell>
          <cell r="Y267">
            <v>3274.5143676165139</v>
          </cell>
          <cell r="Z267">
            <v>3365.3187326417874</v>
          </cell>
          <cell r="AA267">
            <v>3474.0116701583424</v>
          </cell>
          <cell r="AB267">
            <v>3512.953897458478</v>
          </cell>
          <cell r="AC267">
            <v>3516.3128897770621</v>
          </cell>
          <cell r="AD267">
            <v>3581.1158402421911</v>
          </cell>
          <cell r="AE267">
            <v>3680.4791879235472</v>
          </cell>
        </row>
        <row r="268">
          <cell r="G268">
            <v>3849.7950827751201</v>
          </cell>
          <cell r="H268">
            <v>3906.2891171259025</v>
          </cell>
          <cell r="I268">
            <v>3961.8719573742533</v>
          </cell>
          <cell r="J268">
            <v>4034.5396870432041</v>
          </cell>
          <cell r="K268">
            <v>4138.6436132460585</v>
          </cell>
          <cell r="L268">
            <v>4100.6830786251285</v>
          </cell>
          <cell r="M268">
            <v>4035.3829999262734</v>
          </cell>
          <cell r="N268">
            <v>4110.6521986094058</v>
          </cell>
          <cell r="O268">
            <v>4006.1320247028834</v>
          </cell>
          <cell r="P268">
            <v>4254.9883579236111</v>
          </cell>
          <cell r="Q268">
            <v>4437.9947273019006</v>
          </cell>
          <cell r="R268">
            <v>4680.7221218276991</v>
          </cell>
          <cell r="S268">
            <v>4828.4799985370428</v>
          </cell>
          <cell r="T268">
            <v>5017.4618558662078</v>
          </cell>
          <cell r="U268">
            <v>5345.4511655331662</v>
          </cell>
          <cell r="V268">
            <v>5516.9923667331486</v>
          </cell>
          <cell r="W268">
            <v>5867.6518045882958</v>
          </cell>
          <cell r="X268">
            <v>6329.7630600932562</v>
          </cell>
          <cell r="Y268">
            <v>6722.9459400846354</v>
          </cell>
          <cell r="Z268">
            <v>6861.7784227451157</v>
          </cell>
          <cell r="AA268">
            <v>6955.8284829545846</v>
          </cell>
          <cell r="AB268">
            <v>6957.0865987713378</v>
          </cell>
          <cell r="AC268">
            <v>6912.3452832716694</v>
          </cell>
          <cell r="AD268">
            <v>6996.4987096325658</v>
          </cell>
          <cell r="AE268">
            <v>7149.722042615902</v>
          </cell>
        </row>
        <row r="269">
          <cell r="G269">
            <v>534.44742790618818</v>
          </cell>
          <cell r="H269">
            <v>549.59350482299533</v>
          </cell>
          <cell r="I269">
            <v>558.80354351382152</v>
          </cell>
          <cell r="J269">
            <v>563.62274980553275</v>
          </cell>
          <cell r="K269">
            <v>587.5147936961863</v>
          </cell>
          <cell r="L269">
            <v>579.97784016970309</v>
          </cell>
          <cell r="M269">
            <v>560.90805620046797</v>
          </cell>
          <cell r="N269">
            <v>573.68000690966471</v>
          </cell>
          <cell r="O269">
            <v>553.53475886949707</v>
          </cell>
          <cell r="P269">
            <v>576.68826299924194</v>
          </cell>
          <cell r="Q269">
            <v>617.12387357911405</v>
          </cell>
          <cell r="R269">
            <v>611.47974591985735</v>
          </cell>
          <cell r="S269">
            <v>612.49116303855203</v>
          </cell>
          <cell r="T269">
            <v>617.39099685506926</v>
          </cell>
          <cell r="U269">
            <v>625.42155541820807</v>
          </cell>
          <cell r="V269">
            <v>634.89317973156528</v>
          </cell>
          <cell r="W269">
            <v>649.66639439859387</v>
          </cell>
          <cell r="X269">
            <v>664.18689457805033</v>
          </cell>
          <cell r="Y269">
            <v>675.222447049018</v>
          </cell>
          <cell r="Z269">
            <v>689.29368563316996</v>
          </cell>
          <cell r="AA269">
            <v>708.88049415932687</v>
          </cell>
          <cell r="AB269">
            <v>715.26417571277989</v>
          </cell>
          <cell r="AC269">
            <v>712.08311568624777</v>
          </cell>
          <cell r="AD269">
            <v>720.56979461845128</v>
          </cell>
          <cell r="AE269">
            <v>738.00039313122193</v>
          </cell>
        </row>
        <row r="270">
          <cell r="G270">
            <v>3115.2089672205038</v>
          </cell>
          <cell r="H270">
            <v>3197.5651166446492</v>
          </cell>
          <cell r="I270">
            <v>3229.0497286223444</v>
          </cell>
          <cell r="J270">
            <v>3272.3257565644481</v>
          </cell>
          <cell r="K270">
            <v>3286.9654885929872</v>
          </cell>
          <cell r="L270">
            <v>3293.264126133221</v>
          </cell>
          <cell r="M270">
            <v>3300.0809674539782</v>
          </cell>
          <cell r="N270">
            <v>3451.930911696365</v>
          </cell>
          <cell r="O270">
            <v>3297.3681869148945</v>
          </cell>
          <cell r="P270">
            <v>3489.5232829070401</v>
          </cell>
          <cell r="Q270">
            <v>3673.2929341504673</v>
          </cell>
          <cell r="R270">
            <v>3717.6174958107317</v>
          </cell>
          <cell r="S270">
            <v>3800.0880835238581</v>
          </cell>
          <cell r="T270">
            <v>3887.0650904153217</v>
          </cell>
          <cell r="U270">
            <v>4056.124578585614</v>
          </cell>
          <cell r="V270">
            <v>4194.5406633190933</v>
          </cell>
          <cell r="W270">
            <v>4344.0884180067906</v>
          </cell>
          <cell r="X270">
            <v>4474.3387921523226</v>
          </cell>
          <cell r="Y270">
            <v>4678.5785905776456</v>
          </cell>
          <cell r="Z270">
            <v>5141.8087527319158</v>
          </cell>
          <cell r="AA270">
            <v>5563.8893544924167</v>
          </cell>
          <cell r="AB270">
            <v>5764.1241758474371</v>
          </cell>
          <cell r="AC270">
            <v>5987.6855187118917</v>
          </cell>
          <cell r="AD270">
            <v>6250.8438285058528</v>
          </cell>
          <cell r="AE270">
            <v>6624.8401927575715</v>
          </cell>
        </row>
        <row r="271">
          <cell r="G271">
            <v>11420.491920913755</v>
          </cell>
          <cell r="H271">
            <v>11592.720625003223</v>
          </cell>
          <cell r="I271">
            <v>11658.563357544677</v>
          </cell>
          <cell r="J271">
            <v>11749.065090113814</v>
          </cell>
          <cell r="K271">
            <v>11779.680679758576</v>
          </cell>
          <cell r="L271">
            <v>11687.872839212228</v>
          </cell>
          <cell r="M271">
            <v>11490.221763086443</v>
          </cell>
          <cell r="N271">
            <v>11768.452142521628</v>
          </cell>
          <cell r="O271">
            <v>11179.822225067792</v>
          </cell>
          <cell r="P271">
            <v>11601.176974790342</v>
          </cell>
          <cell r="Q271">
            <v>12023.171597635273</v>
          </cell>
          <cell r="R271">
            <v>12026.872322236679</v>
          </cell>
          <cell r="S271">
            <v>12163.184919060364</v>
          </cell>
          <cell r="T271">
            <v>12304.230792458153</v>
          </cell>
          <cell r="U271">
            <v>12644.901097631564</v>
          </cell>
          <cell r="V271">
            <v>12931.671530017473</v>
          </cell>
          <cell r="W271">
            <v>13317.881753484435</v>
          </cell>
          <cell r="X271">
            <v>13653.779577349764</v>
          </cell>
          <cell r="Y271">
            <v>14138.492855194008</v>
          </cell>
          <cell r="Z271">
            <v>14622.668209005438</v>
          </cell>
          <cell r="AA271">
            <v>15006.014751748147</v>
          </cell>
          <cell r="AB271">
            <v>15029.928175957646</v>
          </cell>
          <cell r="AC271">
            <v>15034.086030244467</v>
          </cell>
          <cell r="AD271">
            <v>15245.007781740544</v>
          </cell>
          <cell r="AE271">
            <v>15663.703138796815</v>
          </cell>
        </row>
        <row r="272">
          <cell r="G272">
            <v>3691.5192148666688</v>
          </cell>
          <cell r="H272">
            <v>3753.6667501636275</v>
          </cell>
          <cell r="I272">
            <v>3908.1283727573941</v>
          </cell>
          <cell r="J272">
            <v>3990.3782404125386</v>
          </cell>
          <cell r="K272">
            <v>4054.2488327687715</v>
          </cell>
          <cell r="L272">
            <v>4020.6948301558132</v>
          </cell>
          <cell r="M272">
            <v>3920.8513231352058</v>
          </cell>
          <cell r="N272">
            <v>4041.18327816493</v>
          </cell>
          <cell r="O272">
            <v>3904.2872844354733</v>
          </cell>
          <cell r="P272">
            <v>3990.4226943218055</v>
          </cell>
          <cell r="Q272">
            <v>4159.7894375329506</v>
          </cell>
          <cell r="R272">
            <v>4196.5362378426089</v>
          </cell>
          <cell r="S272">
            <v>4339.6995561507783</v>
          </cell>
          <cell r="T272">
            <v>4479.5142833859791</v>
          </cell>
          <cell r="U272">
            <v>4693.9937824858698</v>
          </cell>
          <cell r="V272">
            <v>4845.6041433523815</v>
          </cell>
          <cell r="W272">
            <v>4995.1928652936713</v>
          </cell>
          <cell r="X272">
            <v>5242.7236629585241</v>
          </cell>
          <cell r="Y272">
            <v>5545.2672924388035</v>
          </cell>
          <cell r="Z272">
            <v>5673.8896302172889</v>
          </cell>
          <cell r="AA272">
            <v>5924.0874725941449</v>
          </cell>
          <cell r="AB272">
            <v>5934.4464396809926</v>
          </cell>
          <cell r="AC272">
            <v>5912.4372921907834</v>
          </cell>
          <cell r="AD272">
            <v>6006.6769874874071</v>
          </cell>
          <cell r="AE272">
            <v>6164.8604393322439</v>
          </cell>
        </row>
        <row r="273">
          <cell r="G273">
            <v>17497.207948601801</v>
          </cell>
          <cell r="H273">
            <v>17791.777280438058</v>
          </cell>
          <cell r="I273">
            <v>18901.054967077107</v>
          </cell>
          <cell r="J273">
            <v>19491.738538742164</v>
          </cell>
          <cell r="K273">
            <v>19950.42997123814</v>
          </cell>
          <cell r="L273">
            <v>19905.594194185171</v>
          </cell>
          <cell r="M273">
            <v>19584.467713881531</v>
          </cell>
          <cell r="N273">
            <v>20522.118178496305</v>
          </cell>
          <cell r="O273">
            <v>20034.834221414225</v>
          </cell>
          <cell r="P273">
            <v>20616.976813630718</v>
          </cell>
          <cell r="Q273">
            <v>21762.89295682016</v>
          </cell>
          <cell r="R273">
            <v>22193.060520158731</v>
          </cell>
          <cell r="S273">
            <v>23288.74802317745</v>
          </cell>
          <cell r="T273">
            <v>24369.151315222582</v>
          </cell>
          <cell r="U273">
            <v>25933.512365323673</v>
          </cell>
          <cell r="V273">
            <v>27027.347784204048</v>
          </cell>
          <cell r="W273">
            <v>28045.729928476008</v>
          </cell>
          <cell r="X273">
            <v>28851.325810615399</v>
          </cell>
          <cell r="Y273">
            <v>28873.897229677121</v>
          </cell>
          <cell r="Z273">
            <v>29028.51577124407</v>
          </cell>
          <cell r="AA273">
            <v>28959.754956209981</v>
          </cell>
          <cell r="AB273">
            <v>28706.819769662256</v>
          </cell>
          <cell r="AC273">
            <v>28180.95717693547</v>
          </cell>
          <cell r="AD273">
            <v>28203.027422428651</v>
          </cell>
          <cell r="AE273">
            <v>28506.77394470897</v>
          </cell>
        </row>
        <row r="276">
          <cell r="G276">
            <v>53708.756626847957</v>
          </cell>
          <cell r="H276">
            <v>50349.464058565485</v>
          </cell>
          <cell r="I276">
            <v>50585.765733522334</v>
          </cell>
          <cell r="J276">
            <v>50756.917170227302</v>
          </cell>
          <cell r="K276">
            <v>50890.56319950617</v>
          </cell>
          <cell r="L276">
            <v>50409.683971895211</v>
          </cell>
          <cell r="M276">
            <v>49748.857660934671</v>
          </cell>
          <cell r="N276">
            <v>51074.418525560905</v>
          </cell>
          <cell r="O276">
            <v>50637.294229816769</v>
          </cell>
          <cell r="P276">
            <v>51882.363343747689</v>
          </cell>
          <cell r="Q276">
            <v>53040.286432316985</v>
          </cell>
          <cell r="R276">
            <v>53738.485192411041</v>
          </cell>
          <cell r="S276">
            <v>55949.769545049654</v>
          </cell>
          <cell r="T276">
            <v>57329.270888827872</v>
          </cell>
          <cell r="U276">
            <v>59883.340093594605</v>
          </cell>
          <cell r="V276">
            <v>62238.988957004687</v>
          </cell>
          <cell r="W276">
            <v>64365.633187934131</v>
          </cell>
          <cell r="X276">
            <v>65570.953790492698</v>
          </cell>
          <cell r="Y276">
            <v>67305.727422033131</v>
          </cell>
          <cell r="Z276">
            <v>68196.039917622096</v>
          </cell>
          <cell r="AA276">
            <v>68883.240349581378</v>
          </cell>
          <cell r="AB276">
            <v>68252.643635550878</v>
          </cell>
          <cell r="AC276">
            <v>68712.851087571893</v>
          </cell>
          <cell r="AD276">
            <v>69589.365365579099</v>
          </cell>
          <cell r="AE276">
            <v>71181.30416701932</v>
          </cell>
        </row>
        <row r="277">
          <cell r="G277">
            <v>18897.525479816875</v>
          </cell>
          <cell r="H277">
            <v>22684.496812891877</v>
          </cell>
          <cell r="I277">
            <v>22790.96040079034</v>
          </cell>
          <cell r="J277">
            <v>22868.071136585651</v>
          </cell>
          <cell r="K277">
            <v>22928.284149413474</v>
          </cell>
          <cell r="L277">
            <v>22711.628351579398</v>
          </cell>
          <cell r="M277">
            <v>22413.899018702621</v>
          </cell>
          <cell r="N277">
            <v>23011.11850794945</v>
          </cell>
          <cell r="O277">
            <v>22814.176099940669</v>
          </cell>
          <cell r="P277">
            <v>23375.130757053677</v>
          </cell>
          <cell r="Q277">
            <v>23896.822558612297</v>
          </cell>
          <cell r="R277">
            <v>24211.389711297299</v>
          </cell>
          <cell r="S277">
            <v>25207.663927671896</v>
          </cell>
          <cell r="T277">
            <v>25829.18581318625</v>
          </cell>
          <cell r="U277">
            <v>26979.898652314874</v>
          </cell>
          <cell r="V277">
            <v>28041.214996658913</v>
          </cell>
          <cell r="W277">
            <v>28999.35536976318</v>
          </cell>
          <cell r="X277">
            <v>29542.401693661457</v>
          </cell>
          <cell r="Y277">
            <v>30323.988303401613</v>
          </cell>
          <cell r="Z277">
            <v>31006.105312805237</v>
          </cell>
          <cell r="AA277">
            <v>31737.357087980727</v>
          </cell>
          <cell r="AB277">
            <v>31853.529467166318</v>
          </cell>
          <cell r="AC277">
            <v>32575.680823859493</v>
          </cell>
          <cell r="AD277">
            <v>33518.523530953906</v>
          </cell>
          <cell r="AE277">
            <v>34882.341931854091</v>
          </cell>
        </row>
        <row r="278">
          <cell r="G278">
            <v>26854.378313423978</v>
          </cell>
          <cell r="H278">
            <v>26617.32886145165</v>
          </cell>
          <cell r="I278">
            <v>26742.250139372747</v>
          </cell>
          <cell r="J278">
            <v>26832.72963426046</v>
          </cell>
          <cell r="K278">
            <v>26903.381832428946</v>
          </cell>
          <cell r="L278">
            <v>26649.16421992223</v>
          </cell>
          <cell r="M278">
            <v>26299.817279134986</v>
          </cell>
          <cell r="N278">
            <v>27000.577259789123</v>
          </cell>
          <cell r="O278">
            <v>26769.490765608803</v>
          </cell>
          <cell r="P278">
            <v>27427.698646872188</v>
          </cell>
          <cell r="Q278">
            <v>28039.836635250114</v>
          </cell>
          <cell r="R278">
            <v>28408.940584131567</v>
          </cell>
          <cell r="S278">
            <v>29577.939776494393</v>
          </cell>
          <cell r="T278">
            <v>30307.215482179141</v>
          </cell>
          <cell r="U278">
            <v>31657.428463177443</v>
          </cell>
          <cell r="V278">
            <v>32902.746196978107</v>
          </cell>
          <cell r="W278">
            <v>34027.00024663622</v>
          </cell>
          <cell r="X278">
            <v>34664.19501050633</v>
          </cell>
          <cell r="Y278">
            <v>35581.286008678158</v>
          </cell>
          <cell r="Z278">
            <v>36083.497426165137</v>
          </cell>
          <cell r="AA278">
            <v>36494.12300096816</v>
          </cell>
          <cell r="AB278">
            <v>36205.695140698299</v>
          </cell>
          <cell r="AC278">
            <v>36506.780251500866</v>
          </cell>
          <cell r="AD278">
            <v>37031.665828922414</v>
          </cell>
          <cell r="AE278">
            <v>37945.836580810574</v>
          </cell>
        </row>
        <row r="279">
          <cell r="G279">
            <v>2899.3137186553386</v>
          </cell>
          <cell r="H279">
            <v>4653.2063275829678</v>
          </cell>
          <cell r="I279">
            <v>4722.1827958588665</v>
          </cell>
          <cell r="J279">
            <v>4803.0505198635774</v>
          </cell>
          <cell r="K279">
            <v>4864.1054718609148</v>
          </cell>
          <cell r="L279">
            <v>4847.1465088239911</v>
          </cell>
          <cell r="M279">
            <v>4921.2901977497777</v>
          </cell>
          <cell r="N279">
            <v>5132.826898850004</v>
          </cell>
          <cell r="O279">
            <v>5165.3941277993135</v>
          </cell>
          <cell r="P279">
            <v>5307.180926289423</v>
          </cell>
          <cell r="Q279">
            <v>5413.9324826064094</v>
          </cell>
          <cell r="R279">
            <v>5527.7892431994651</v>
          </cell>
          <cell r="S279">
            <v>5793.8879649185292</v>
          </cell>
          <cell r="T279">
            <v>6012.6273752844645</v>
          </cell>
          <cell r="U279">
            <v>6396.3583829453282</v>
          </cell>
          <cell r="V279">
            <v>6644.3243452930392</v>
          </cell>
          <cell r="W279">
            <v>6897.2765527024421</v>
          </cell>
          <cell r="X279">
            <v>7099.8649378566442</v>
          </cell>
          <cell r="Y279">
            <v>7280.7841604239902</v>
          </cell>
          <cell r="Z279">
            <v>7440.8024860006608</v>
          </cell>
          <cell r="AA279">
            <v>7753.3183815559305</v>
          </cell>
          <cell r="AB279">
            <v>7831.6449985303652</v>
          </cell>
          <cell r="AC279">
            <v>8006.5157584517292</v>
          </cell>
          <cell r="AD279">
            <v>8228.1687845852503</v>
          </cell>
          <cell r="AE279">
            <v>8541.3880336494094</v>
          </cell>
        </row>
        <row r="280">
          <cell r="G280">
            <v>9277.8038996970827</v>
          </cell>
          <cell r="H280">
            <v>8594.3945235766678</v>
          </cell>
          <cell r="I280">
            <v>8721.7929107257623</v>
          </cell>
          <cell r="J280">
            <v>8871.1542489927488</v>
          </cell>
          <cell r="K280">
            <v>8983.9217276176933</v>
          </cell>
          <cell r="L280">
            <v>8952.5988055744328</v>
          </cell>
          <cell r="M280">
            <v>9089.5409631323892</v>
          </cell>
          <cell r="N280">
            <v>9480.2457239968408</v>
          </cell>
          <cell r="O280">
            <v>9540.3968530088641</v>
          </cell>
          <cell r="P280">
            <v>9802.2747064011619</v>
          </cell>
          <cell r="Q280">
            <v>9999.4430514959204</v>
          </cell>
          <cell r="R280">
            <v>10209.734590453189</v>
          </cell>
          <cell r="S280">
            <v>10701.214493916017</v>
          </cell>
          <cell r="T280">
            <v>11105.222538733551</v>
          </cell>
          <cell r="U280">
            <v>11813.967313539215</v>
          </cell>
          <cell r="V280">
            <v>12271.956312694891</v>
          </cell>
          <cell r="W280">
            <v>12739.154823364681</v>
          </cell>
          <cell r="X280">
            <v>13113.332193834716</v>
          </cell>
          <cell r="Y280">
            <v>13447.486982206243</v>
          </cell>
          <cell r="Z280">
            <v>13640.857864027112</v>
          </cell>
          <cell r="AA280">
            <v>13872.69083053642</v>
          </cell>
          <cell r="AB280">
            <v>13796.657277388424</v>
          </cell>
          <cell r="AC280">
            <v>13921.166336675924</v>
          </cell>
          <cell r="AD280">
            <v>14127.797044953708</v>
          </cell>
          <cell r="AE280">
            <v>14478.709794728822</v>
          </cell>
        </row>
        <row r="281">
          <cell r="G281">
            <v>2319.4509749242707</v>
          </cell>
          <cell r="H281">
            <v>2148.5986308941669</v>
          </cell>
          <cell r="I281">
            <v>2180.4482276814406</v>
          </cell>
          <cell r="J281">
            <v>2217.7885622481872</v>
          </cell>
          <cell r="K281">
            <v>2245.9804319044233</v>
          </cell>
          <cell r="L281">
            <v>2238.1497013936082</v>
          </cell>
          <cell r="M281">
            <v>2272.3852407830973</v>
          </cell>
          <cell r="N281">
            <v>2370.0614309992102</v>
          </cell>
          <cell r="O281">
            <v>2385.099213252216</v>
          </cell>
          <cell r="P281">
            <v>2450.5686766002905</v>
          </cell>
          <cell r="Q281">
            <v>2499.8607628739801</v>
          </cell>
          <cell r="R281">
            <v>2552.4336476132971</v>
          </cell>
          <cell r="S281">
            <v>2675.3036234790043</v>
          </cell>
          <cell r="T281">
            <v>2776.3056346833878</v>
          </cell>
          <cell r="U281">
            <v>2953.4918283848037</v>
          </cell>
          <cell r="V281">
            <v>3067.9890781737226</v>
          </cell>
          <cell r="W281">
            <v>3184.7887058411702</v>
          </cell>
          <cell r="X281">
            <v>3278.3330484586791</v>
          </cell>
          <cell r="Y281">
            <v>3361.8717455515607</v>
          </cell>
          <cell r="Z281">
            <v>3632.5223696265007</v>
          </cell>
          <cell r="AA281">
            <v>4441.9015054216325</v>
          </cell>
          <cell r="AB281">
            <v>4903.0609251577835</v>
          </cell>
          <cell r="AC281">
            <v>5365.9975567944002</v>
          </cell>
          <cell r="AD281">
            <v>5858.7859645388498</v>
          </cell>
          <cell r="AE281">
            <v>6441.6862271514865</v>
          </cell>
        </row>
        <row r="282">
          <cell r="G282">
            <v>4832.1895310922318</v>
          </cell>
          <cell r="H282">
            <v>4148.337474535304</v>
          </cell>
          <cell r="I282">
            <v>4209.8300557934908</v>
          </cell>
          <cell r="J282">
            <v>4281.9237018415006</v>
          </cell>
          <cell r="K282">
            <v>4336.3542444708164</v>
          </cell>
          <cell r="L282">
            <v>4321.2353142230195</v>
          </cell>
          <cell r="M282">
            <v>4387.3344771696347</v>
          </cell>
          <cell r="N282">
            <v>4575.9196295648571</v>
          </cell>
          <cell r="O282">
            <v>4604.9533424031115</v>
          </cell>
          <cell r="P282">
            <v>4731.3563961607624</v>
          </cell>
          <cell r="Q282">
            <v>4826.5255011518029</v>
          </cell>
          <cell r="R282">
            <v>4928.0289019138954</v>
          </cell>
          <cell r="S282">
            <v>5165.2561429862953</v>
          </cell>
          <cell r="T282">
            <v>5360.2625169353532</v>
          </cell>
          <cell r="U282">
            <v>5702.3590428909547</v>
          </cell>
          <cell r="V282">
            <v>5923.4209132659416</v>
          </cell>
          <cell r="W282">
            <v>6148.928025435609</v>
          </cell>
          <cell r="X282">
            <v>6329.5357464083654</v>
          </cell>
          <cell r="Y282">
            <v>6490.8253901516618</v>
          </cell>
          <cell r="Z282">
            <v>6641.7124607483611</v>
          </cell>
          <cell r="AA282">
            <v>6948.1408095370089</v>
          </cell>
          <cell r="AB282">
            <v>7035.7465017183213</v>
          </cell>
          <cell r="AC282">
            <v>7207.6309870677396</v>
          </cell>
          <cell r="AD282">
            <v>7421.5670118882181</v>
          </cell>
          <cell r="AE282">
            <v>7719.1351981849666</v>
          </cell>
        </row>
        <row r="283">
          <cell r="G283">
            <v>52715.95523740026</v>
          </cell>
          <cell r="H283">
            <v>52972.193082349717</v>
          </cell>
          <cell r="I283">
            <v>53212.466582069668</v>
          </cell>
          <cell r="J283">
            <v>53938.137008894228</v>
          </cell>
          <cell r="K283">
            <v>54658.14918677666</v>
          </cell>
          <cell r="L283">
            <v>54742.833531026023</v>
          </cell>
          <cell r="M283">
            <v>54443.844986943564</v>
          </cell>
          <cell r="N283">
            <v>55849.634953873981</v>
          </cell>
          <cell r="O283">
            <v>55878.248310892755</v>
          </cell>
          <cell r="P283">
            <v>57396.258918086387</v>
          </cell>
          <cell r="Q283">
            <v>58035.309287294032</v>
          </cell>
          <cell r="R283">
            <v>59654.398509755512</v>
          </cell>
          <cell r="S283">
            <v>62104.8709686109</v>
          </cell>
          <cell r="T283">
            <v>63526.574546607473</v>
          </cell>
          <cell r="U283">
            <v>65957.962889180169</v>
          </cell>
          <cell r="V283">
            <v>68171.241513705259</v>
          </cell>
          <cell r="W283">
            <v>70617.724740144578</v>
          </cell>
          <cell r="X283">
            <v>71464.039108899116</v>
          </cell>
          <cell r="Y283">
            <v>72789.143125892486</v>
          </cell>
          <cell r="Z283">
            <v>75215.745131270101</v>
          </cell>
          <cell r="AA283">
            <v>76186.560911929831</v>
          </cell>
          <cell r="AB283">
            <v>76853.980700327316</v>
          </cell>
          <cell r="AC283">
            <v>77917.122126248083</v>
          </cell>
          <cell r="AD283">
            <v>79216.483772401363</v>
          </cell>
          <cell r="AE283">
            <v>81328.70406933871</v>
          </cell>
        </row>
        <row r="284">
          <cell r="G284">
            <v>12325.222891105739</v>
          </cell>
          <cell r="H284">
            <v>12411.478571584297</v>
          </cell>
          <cell r="I284">
            <v>12492.3602782791</v>
          </cell>
          <cell r="J284">
            <v>12736.637997994008</v>
          </cell>
          <cell r="K284">
            <v>12979.011018139992</v>
          </cell>
          <cell r="L284">
            <v>13082.905311561863</v>
          </cell>
          <cell r="M284">
            <v>13062.787028174751</v>
          </cell>
          <cell r="N284">
            <v>13424.845554871805</v>
          </cell>
          <cell r="O284">
            <v>13548.59001540821</v>
          </cell>
          <cell r="P284">
            <v>13980.657672693853</v>
          </cell>
          <cell r="Q284">
            <v>14151.634240852109</v>
          </cell>
          <cell r="R284">
            <v>14662.608287554143</v>
          </cell>
          <cell r="S284">
            <v>15342.221667490938</v>
          </cell>
          <cell r="T284">
            <v>15752.539658883021</v>
          </cell>
          <cell r="U284">
            <v>16413.182641424464</v>
          </cell>
          <cell r="V284">
            <v>17008.725904970168</v>
          </cell>
          <cell r="W284">
            <v>17714.846912884725</v>
          </cell>
          <cell r="X284">
            <v>18311.517709238116</v>
          </cell>
          <cell r="Y284">
            <v>18790.104072193208</v>
          </cell>
          <cell r="Z284">
            <v>19448.410032238226</v>
          </cell>
          <cell r="AA284">
            <v>20279.403781524616</v>
          </cell>
          <cell r="AB284">
            <v>20865.767577195416</v>
          </cell>
          <cell r="AC284">
            <v>21460.307798955622</v>
          </cell>
          <cell r="AD284">
            <v>22071.159594989709</v>
          </cell>
          <cell r="AE284">
            <v>22914.833275438461</v>
          </cell>
        </row>
        <row r="285">
          <cell r="G285">
            <v>4064.3381986614581</v>
          </cell>
          <cell r="H285">
            <v>4110.6155283892722</v>
          </cell>
          <cell r="I285">
            <v>4130.4447133594185</v>
          </cell>
          <cell r="J285">
            <v>4205.0534065292159</v>
          </cell>
          <cell r="K285">
            <v>4217.0450784455206</v>
          </cell>
          <cell r="L285">
            <v>4170.9267556090681</v>
          </cell>
          <cell r="M285">
            <v>4134.7945018280743</v>
          </cell>
          <cell r="N285">
            <v>4282.9160340500976</v>
          </cell>
          <cell r="O285">
            <v>4275.4670964137213</v>
          </cell>
          <cell r="P285">
            <v>4429.7057135800214</v>
          </cell>
          <cell r="Q285">
            <v>4571.3057004235488</v>
          </cell>
          <cell r="R285">
            <v>4650.7392960571424</v>
          </cell>
          <cell r="S285">
            <v>4871.7140546202527</v>
          </cell>
          <cell r="T285">
            <v>5071.655054028929</v>
          </cell>
          <cell r="U285">
            <v>5305.9233944586949</v>
          </cell>
          <cell r="V285">
            <v>5510.6914731726365</v>
          </cell>
          <cell r="W285">
            <v>5667.2540484688725</v>
          </cell>
          <cell r="X285">
            <v>5754.0571342942558</v>
          </cell>
          <cell r="Y285">
            <v>5912.2142025016201</v>
          </cell>
          <cell r="Z285">
            <v>6003.5111888109896</v>
          </cell>
          <cell r="AA285">
            <v>6134.9943818498568</v>
          </cell>
          <cell r="AB285">
            <v>6108.7349988576152</v>
          </cell>
          <cell r="AC285">
            <v>6173.6786485485254</v>
          </cell>
          <cell r="AD285">
            <v>6269.9374728963212</v>
          </cell>
          <cell r="AE285">
            <v>6430.4101834982612</v>
          </cell>
        </row>
        <row r="286">
          <cell r="G286">
            <v>23923.707463310635</v>
          </cell>
          <cell r="H286">
            <v>21647.641659652782</v>
          </cell>
          <cell r="I286">
            <v>22128.313168026249</v>
          </cell>
          <cell r="J286">
            <v>22691.850441645358</v>
          </cell>
          <cell r="K286">
            <v>23117.319831479061</v>
          </cell>
          <cell r="L286">
            <v>23149.057701051199</v>
          </cell>
          <cell r="M286">
            <v>23825.879336971771</v>
          </cell>
          <cell r="N286">
            <v>25078.936527734691</v>
          </cell>
          <cell r="O286">
            <v>25532.814116989506</v>
          </cell>
          <cell r="P286">
            <v>26363.909867431343</v>
          </cell>
          <cell r="Q286">
            <v>27020.037905563124</v>
          </cell>
          <cell r="R286">
            <v>27745.751550098303</v>
          </cell>
          <cell r="S286">
            <v>29311.199170970409</v>
          </cell>
          <cell r="T286">
            <v>30699.76709413149</v>
          </cell>
          <cell r="U286">
            <v>33060.000699184602</v>
          </cell>
          <cell r="V286">
            <v>34490.685630520056</v>
          </cell>
          <cell r="W286">
            <v>35472.814235427039</v>
          </cell>
          <cell r="X286">
            <v>35945.792596740102</v>
          </cell>
          <cell r="Y286">
            <v>36599.196670922705</v>
          </cell>
          <cell r="Z286">
            <v>37338.175449304828</v>
          </cell>
          <cell r="AA286">
            <v>37764.39848142652</v>
          </cell>
          <cell r="AB286">
            <v>37576.372594239103</v>
          </cell>
          <cell r="AC286">
            <v>37973.19540543147</v>
          </cell>
          <cell r="AD286">
            <v>38602.990098158494</v>
          </cell>
          <cell r="AE286">
            <v>39622.564281848492</v>
          </cell>
        </row>
        <row r="287">
          <cell r="G287">
            <v>996.27006530550568</v>
          </cell>
          <cell r="H287">
            <v>1459.1695219378896</v>
          </cell>
          <cell r="I287">
            <v>1491.5694122404775</v>
          </cell>
          <cell r="J287">
            <v>1529.5549086316887</v>
          </cell>
          <cell r="K287">
            <v>1558.2338740323387</v>
          </cell>
          <cell r="L287">
            <v>1560.3731801377803</v>
          </cell>
          <cell r="M287">
            <v>1605.9946625352893</v>
          </cell>
          <cell r="N287">
            <v>1690.4575749741171</v>
          </cell>
          <cell r="O287">
            <v>1721.0514084892775</v>
          </cell>
          <cell r="P287">
            <v>1777.0718105230519</v>
          </cell>
          <cell r="Q287">
            <v>1821.2984311768487</v>
          </cell>
          <cell r="R287">
            <v>1870.2155025331188</v>
          </cell>
          <cell r="S287">
            <v>1975.7352396241201</v>
          </cell>
          <cell r="T287">
            <v>2069.3323170551284</v>
          </cell>
          <cell r="U287">
            <v>2228.4249792163846</v>
          </cell>
          <cell r="V287">
            <v>2324.8609734979896</v>
          </cell>
          <cell r="W287">
            <v>2391.0618165013484</v>
          </cell>
          <cell r="X287">
            <v>2422.9431465887023</v>
          </cell>
          <cell r="Y287">
            <v>2466.986157164506</v>
          </cell>
          <cell r="Z287">
            <v>2548.1271595340168</v>
          </cell>
          <cell r="AA287">
            <v>2591.155501135403</v>
          </cell>
          <cell r="AB287">
            <v>2602.4683840851649</v>
          </cell>
          <cell r="AC287">
            <v>2654.8483583836405</v>
          </cell>
          <cell r="AD287">
            <v>2724.2999372452</v>
          </cell>
          <cell r="AE287">
            <v>2822.2253817942296</v>
          </cell>
        </row>
        <row r="288">
          <cell r="G288">
            <v>6892.3787896395215</v>
          </cell>
          <cell r="H288">
            <v>6928.1609750366788</v>
          </cell>
          <cell r="I288">
            <v>6982.6206747894967</v>
          </cell>
          <cell r="J288">
            <v>7002.6744270450472</v>
          </cell>
          <cell r="K288">
            <v>7017.2232277010353</v>
          </cell>
          <cell r="L288">
            <v>6982.0498196612562</v>
          </cell>
          <cell r="M288">
            <v>6901.8684594309616</v>
          </cell>
          <cell r="N288">
            <v>7198.137989982336</v>
          </cell>
          <cell r="O288">
            <v>7124.1508540068598</v>
          </cell>
          <cell r="P288">
            <v>7324.0058826836794</v>
          </cell>
          <cell r="Q288">
            <v>7473.4110288347356</v>
          </cell>
          <cell r="R288">
            <v>7621.4968117202607</v>
          </cell>
          <cell r="S288">
            <v>7927.3463352318622</v>
          </cell>
          <cell r="T288">
            <v>8076.0865137607298</v>
          </cell>
          <cell r="U288">
            <v>8366.4477846220634</v>
          </cell>
          <cell r="V288">
            <v>8638.4901170356188</v>
          </cell>
          <cell r="W288">
            <v>8983.0887739326063</v>
          </cell>
          <cell r="X288">
            <v>9271.6822999805772</v>
          </cell>
          <cell r="Y288">
            <v>9518.2206653226694</v>
          </cell>
          <cell r="Z288">
            <v>10391.498689374765</v>
          </cell>
          <cell r="AA288">
            <v>13044.720292089158</v>
          </cell>
          <cell r="AB288">
            <v>14581.489120295437</v>
          </cell>
          <cell r="AC288">
            <v>16100.012982795835</v>
          </cell>
          <cell r="AD288">
            <v>17707.540694802836</v>
          </cell>
          <cell r="AE288">
            <v>19596.207526869926</v>
          </cell>
        </row>
        <row r="289">
          <cell r="G289">
            <v>1781.7556093565017</v>
          </cell>
          <cell r="H289">
            <v>1783.0538360074877</v>
          </cell>
          <cell r="I289">
            <v>1788.8878421921647</v>
          </cell>
          <cell r="J289">
            <v>1807.4316475648882</v>
          </cell>
          <cell r="K289">
            <v>1812.4722930184073</v>
          </cell>
          <cell r="L289">
            <v>1793.6088525783809</v>
          </cell>
          <cell r="M289">
            <v>1774.6486729597157</v>
          </cell>
          <cell r="N289">
            <v>1823.0509687537462</v>
          </cell>
          <cell r="O289">
            <v>1794.2995981969964</v>
          </cell>
          <cell r="P289">
            <v>1840.40380825741</v>
          </cell>
          <cell r="Q289">
            <v>1872.8279339126823</v>
          </cell>
          <cell r="R289">
            <v>1897.4249208326673</v>
          </cell>
          <cell r="S289">
            <v>1968.2360718720968</v>
          </cell>
          <cell r="T289">
            <v>2005.124253123417</v>
          </cell>
          <cell r="U289">
            <v>2074.6913217054471</v>
          </cell>
          <cell r="V289">
            <v>2157.0993395020882</v>
          </cell>
          <cell r="W289">
            <v>2230.5387643737845</v>
          </cell>
          <cell r="X289">
            <v>2244.3283016341893</v>
          </cell>
          <cell r="Y289">
            <v>2286.2415552117754</v>
          </cell>
          <cell r="Z289">
            <v>2326.3694648036135</v>
          </cell>
          <cell r="AA289">
            <v>2374.7982364656368</v>
          </cell>
          <cell r="AB289">
            <v>2372.028004997203</v>
          </cell>
          <cell r="AC289">
            <v>2401.8374704377493</v>
          </cell>
          <cell r="AD289">
            <v>2445.1309775396853</v>
          </cell>
          <cell r="AE289">
            <v>2516.1911582055527</v>
          </cell>
        </row>
        <row r="290">
          <cell r="G290">
            <v>2766.2306421587773</v>
          </cell>
          <cell r="H290">
            <v>2818.4580776956645</v>
          </cell>
          <cell r="I290">
            <v>2891.2487001949826</v>
          </cell>
          <cell r="J290">
            <v>2928.2449547405686</v>
          </cell>
          <cell r="K290">
            <v>2963.6022730245368</v>
          </cell>
          <cell r="L290">
            <v>2967.139006534268</v>
          </cell>
          <cell r="M290">
            <v>2966.3889493279867</v>
          </cell>
          <cell r="N290">
            <v>3122.6086524580405</v>
          </cell>
          <cell r="O290">
            <v>3102.4778216604896</v>
          </cell>
          <cell r="P290">
            <v>3203.2341197678347</v>
          </cell>
          <cell r="Q290">
            <v>3308.1437877260823</v>
          </cell>
          <cell r="R290">
            <v>3416.7948674728191</v>
          </cell>
          <cell r="S290">
            <v>3565.1526112071565</v>
          </cell>
          <cell r="T290">
            <v>3680.8949130500373</v>
          </cell>
          <cell r="U290">
            <v>3890.9266215566536</v>
          </cell>
          <cell r="V290">
            <v>4108.0317271811991</v>
          </cell>
          <cell r="W290">
            <v>4297.4681162204697</v>
          </cell>
          <cell r="X290">
            <v>4366.5805978291328</v>
          </cell>
          <cell r="Y290">
            <v>4487.4959667609901</v>
          </cell>
          <cell r="Z290">
            <v>4926.8541427762138</v>
          </cell>
          <cell r="AA290">
            <v>5327.6338130134527</v>
          </cell>
          <cell r="AB290">
            <v>5467.5606581810716</v>
          </cell>
          <cell r="AC290">
            <v>5692.4167839611218</v>
          </cell>
          <cell r="AD290">
            <v>6015.7371534228814</v>
          </cell>
          <cell r="AE290">
            <v>6447.6555798742547</v>
          </cell>
        </row>
        <row r="291">
          <cell r="G291">
            <v>4846.9173570763787</v>
          </cell>
          <cell r="H291">
            <v>5008.2207596646458</v>
          </cell>
          <cell r="I291">
            <v>5233.033158836829</v>
          </cell>
          <cell r="J291">
            <v>5347.2953599171369</v>
          </cell>
          <cell r="K291">
            <v>5456.4957387404911</v>
          </cell>
          <cell r="L291">
            <v>5518.8324925047837</v>
          </cell>
          <cell r="M291">
            <v>5571.4355115558528</v>
          </cell>
          <cell r="N291">
            <v>5978.1045452741855</v>
          </cell>
          <cell r="O291">
            <v>5993.7545762651171</v>
          </cell>
          <cell r="P291">
            <v>6251.1086086014566</v>
          </cell>
          <cell r="Q291">
            <v>6545.0150556943636</v>
          </cell>
          <cell r="R291">
            <v>6857.360364281305</v>
          </cell>
          <cell r="S291">
            <v>7216.4853030157956</v>
          </cell>
          <cell r="T291">
            <v>7527.399842884297</v>
          </cell>
          <cell r="U291">
            <v>8068.4471852160214</v>
          </cell>
          <cell r="V291">
            <v>8637.0155147854675</v>
          </cell>
          <cell r="W291">
            <v>9132.2699067393223</v>
          </cell>
          <cell r="X291">
            <v>9334.210585621915</v>
          </cell>
          <cell r="Y291">
            <v>9652.3734184585046</v>
          </cell>
          <cell r="Z291">
            <v>10129.531809913426</v>
          </cell>
          <cell r="AA291">
            <v>10549.414687247838</v>
          </cell>
          <cell r="AB291">
            <v>10617.785206666567</v>
          </cell>
          <cell r="AC291">
            <v>10850.415661333316</v>
          </cell>
          <cell r="AD291">
            <v>11208.394192480373</v>
          </cell>
          <cell r="AE291">
            <v>11723.25428099248</v>
          </cell>
        </row>
        <row r="292">
          <cell r="G292">
            <v>8982.682049718147</v>
          </cell>
          <cell r="H292">
            <v>9133.9571886090871</v>
          </cell>
          <cell r="I292">
            <v>9228.0551391407607</v>
          </cell>
          <cell r="J292">
            <v>9325.9303391624871</v>
          </cell>
          <cell r="K292">
            <v>9435.3594788008522</v>
          </cell>
          <cell r="L292">
            <v>9402.5029670648019</v>
          </cell>
          <cell r="M292">
            <v>9317.0133829133265</v>
          </cell>
          <cell r="N292">
            <v>9594.8534284338602</v>
          </cell>
          <cell r="O292">
            <v>9549.1543135264837</v>
          </cell>
          <cell r="P292">
            <v>9905.9247494187312</v>
          </cell>
          <cell r="Q292">
            <v>10179.873946420012</v>
          </cell>
          <cell r="R292">
            <v>10570.47967384969</v>
          </cell>
          <cell r="S292">
            <v>11214.050773343295</v>
          </cell>
          <cell r="T292">
            <v>11613.829592872014</v>
          </cell>
          <cell r="U292">
            <v>12097.143965452469</v>
          </cell>
          <cell r="V292">
            <v>12642.748453845543</v>
          </cell>
          <cell r="W292">
            <v>13013.240075139931</v>
          </cell>
          <cell r="X292">
            <v>13291.521251566393</v>
          </cell>
          <cell r="Y292">
            <v>13704.521907588638</v>
          </cell>
          <cell r="Z292">
            <v>14204.638505637235</v>
          </cell>
          <cell r="AA292">
            <v>14704.160551185496</v>
          </cell>
          <cell r="AB292">
            <v>14715.028570659057</v>
          </cell>
          <cell r="AC292">
            <v>14928.119440779048</v>
          </cell>
          <cell r="AD292">
            <v>15215.031073933886</v>
          </cell>
          <cell r="AE292">
            <v>15656.809695717346</v>
          </cell>
        </row>
        <row r="293">
          <cell r="G293">
            <v>11026.806939503975</v>
          </cell>
          <cell r="H293">
            <v>11212.506682861736</v>
          </cell>
          <cell r="I293">
            <v>11328.017832891619</v>
          </cell>
          <cell r="J293">
            <v>11448.165794138758</v>
          </cell>
          <cell r="K293">
            <v>11582.496942638683</v>
          </cell>
          <cell r="L293">
            <v>11542.163508858694</v>
          </cell>
          <cell r="M293">
            <v>11437.219669751494</v>
          </cell>
          <cell r="N293">
            <v>11778.285792882729</v>
          </cell>
          <cell r="O293">
            <v>11722.187256320849</v>
          </cell>
          <cell r="P293">
            <v>12160.145395831078</v>
          </cell>
          <cell r="Q293">
            <v>12496.43525779497</v>
          </cell>
          <cell r="R293">
            <v>12975.92834482533</v>
          </cell>
          <cell r="S293">
            <v>13765.952329497366</v>
          </cell>
          <cell r="T293">
            <v>14256.705963773478</v>
          </cell>
          <cell r="U293">
            <v>14850.004741135788</v>
          </cell>
          <cell r="V293">
            <v>15519.768551714615</v>
          </cell>
          <cell r="W293">
            <v>15983.555698489869</v>
          </cell>
          <cell r="X293">
            <v>16194.710846388716</v>
          </cell>
          <cell r="Y293">
            <v>16576.532245536484</v>
          </cell>
          <cell r="Z293">
            <v>16934.510115706671</v>
          </cell>
          <cell r="AA293">
            <v>17217.490214471542</v>
          </cell>
          <cell r="AB293">
            <v>17241.166059223928</v>
          </cell>
          <cell r="AC293">
            <v>17506.071071606191</v>
          </cell>
          <cell r="AD293">
            <v>17889.73979428424</v>
          </cell>
          <cell r="AE293">
            <v>18472.572870047712</v>
          </cell>
        </row>
      </sheetData>
      <sheetData sheetId="7">
        <row r="21">
          <cell r="H21">
            <v>0.40814400000000001</v>
          </cell>
          <cell r="I21">
            <v>0.39798</v>
          </cell>
          <cell r="J21">
            <v>0.425238</v>
          </cell>
          <cell r="K21">
            <v>0.88486200000000004</v>
          </cell>
          <cell r="L21">
            <v>0.683562</v>
          </cell>
          <cell r="M21">
            <v>0.85707600000000006</v>
          </cell>
          <cell r="N21">
            <v>0.88373999999999997</v>
          </cell>
          <cell r="O21">
            <v>1.075866</v>
          </cell>
          <cell r="P21">
            <v>1.041018</v>
          </cell>
          <cell r="Q21">
            <v>0.91416599999999992</v>
          </cell>
          <cell r="R21">
            <v>1.1944680000000001</v>
          </cell>
          <cell r="S21">
            <v>0.82579200000000008</v>
          </cell>
          <cell r="T21">
            <v>1.2765060000000001</v>
          </cell>
          <cell r="U21">
            <v>1.201794</v>
          </cell>
          <cell r="V21">
            <v>1.6133040000000001</v>
          </cell>
          <cell r="W21">
            <v>2.0698000000000003</v>
          </cell>
          <cell r="X21">
            <v>1.415</v>
          </cell>
          <cell r="Y21">
            <v>1.1031</v>
          </cell>
          <cell r="Z21">
            <v>1.0355000000000001</v>
          </cell>
          <cell r="AA21">
            <v>0.28970000000000001</v>
          </cell>
          <cell r="AB21">
            <v>0.96416996977002289</v>
          </cell>
          <cell r="AC21">
            <v>1.0474829794917409</v>
          </cell>
          <cell r="AD21">
            <v>1.0602062008599469</v>
          </cell>
          <cell r="AE21">
            <v>1.0741061198150028</v>
          </cell>
        </row>
        <row r="22">
          <cell r="H22">
            <v>0.210256</v>
          </cell>
          <cell r="I22">
            <v>0.20502000000000001</v>
          </cell>
          <cell r="J22">
            <v>0.21906200000000001</v>
          </cell>
          <cell r="K22">
            <v>0.45583800000000002</v>
          </cell>
          <cell r="L22">
            <v>0.35213800000000001</v>
          </cell>
          <cell r="M22">
            <v>0.44152400000000003</v>
          </cell>
          <cell r="N22">
            <v>0.45526000000000005</v>
          </cell>
          <cell r="O22">
            <v>0.554234</v>
          </cell>
          <cell r="P22">
            <v>0.53628200000000004</v>
          </cell>
          <cell r="Q22">
            <v>0.47093400000000002</v>
          </cell>
          <cell r="R22">
            <v>0.61533199999999999</v>
          </cell>
          <cell r="S22">
            <v>0.42540800000000006</v>
          </cell>
          <cell r="T22">
            <v>0.65759400000000001</v>
          </cell>
          <cell r="U22">
            <v>0.61910600000000016</v>
          </cell>
          <cell r="V22">
            <v>0.83109600000000017</v>
          </cell>
          <cell r="W22">
            <v>0.93820000000000003</v>
          </cell>
          <cell r="X22">
            <v>0.94359999999999999</v>
          </cell>
          <cell r="Y22">
            <v>0.53320000000000001</v>
          </cell>
          <cell r="Z22">
            <v>0.64049999999999996</v>
          </cell>
          <cell r="AA22">
            <v>0.29170000000000001</v>
          </cell>
          <cell r="AB22">
            <v>0.43694662123493522</v>
          </cell>
          <cell r="AC22">
            <v>0.58273476357135601</v>
          </cell>
          <cell r="AD22">
            <v>0.6086834810811409</v>
          </cell>
          <cell r="AE22">
            <v>0.64149366754371639</v>
          </cell>
        </row>
        <row r="23">
          <cell r="H23">
            <v>1.9095</v>
          </cell>
          <cell r="I23">
            <v>2.8365629999999999</v>
          </cell>
          <cell r="J23">
            <v>2.2281</v>
          </cell>
          <cell r="K23">
            <v>1.61</v>
          </cell>
          <cell r="L23">
            <v>1.4142000000000001</v>
          </cell>
          <cell r="M23">
            <v>1.5080250000000002</v>
          </cell>
          <cell r="N23">
            <v>0.83910000000000007</v>
          </cell>
          <cell r="O23">
            <v>1.2907</v>
          </cell>
          <cell r="P23">
            <v>3.8820000000000001</v>
          </cell>
          <cell r="Q23">
            <v>3.8363</v>
          </cell>
          <cell r="R23">
            <v>5.9918000000000005</v>
          </cell>
          <cell r="S23">
            <v>4.3921000000000001</v>
          </cell>
          <cell r="T23">
            <v>3.3323</v>
          </cell>
          <cell r="U23">
            <v>3.0750000000000002</v>
          </cell>
          <cell r="V23">
            <v>3.1429999999999998</v>
          </cell>
          <cell r="W23">
            <v>2.3030999999999997</v>
          </cell>
          <cell r="X23">
            <v>1.4487000000000001</v>
          </cell>
          <cell r="Y23">
            <v>2.0606</v>
          </cell>
          <cell r="Z23">
            <v>3.4781999999999997</v>
          </cell>
          <cell r="AA23">
            <v>2.6520000000000001</v>
          </cell>
          <cell r="AB23">
            <v>2.9438208100000005</v>
          </cell>
          <cell r="AC23">
            <v>2.7560084900000006</v>
          </cell>
          <cell r="AD23">
            <v>2.603018580000001</v>
          </cell>
          <cell r="AE23">
            <v>2.6672277900000001</v>
          </cell>
        </row>
        <row r="24">
          <cell r="H24">
            <v>0.14913168675370994</v>
          </cell>
          <cell r="I24">
            <v>0.1329757089339306</v>
          </cell>
          <cell r="J24">
            <v>0.15617625578296401</v>
          </cell>
          <cell r="K24">
            <v>0.1069075571805157</v>
          </cell>
          <cell r="L24">
            <v>0.10403995227613426</v>
          </cell>
          <cell r="M24">
            <v>7.0727040207687705E-2</v>
          </cell>
          <cell r="N24">
            <v>0.12267397357932248</v>
          </cell>
          <cell r="O24">
            <v>0.12562814768836453</v>
          </cell>
          <cell r="P24">
            <v>0.19469955185691878</v>
          </cell>
          <cell r="Q24">
            <v>8.8365515657279348E-2</v>
          </cell>
          <cell r="R24">
            <v>0.12595819278113293</v>
          </cell>
          <cell r="S24">
            <v>0.14973226061104264</v>
          </cell>
          <cell r="T24">
            <v>0.15087930257279522</v>
          </cell>
          <cell r="U24">
            <v>0.19032780702155982</v>
          </cell>
          <cell r="V24">
            <v>0.14870425130569837</v>
          </cell>
          <cell r="W24">
            <v>0.16880282991010148</v>
          </cell>
          <cell r="X24">
            <v>0.21751936506571806</v>
          </cell>
          <cell r="Y24">
            <v>0.19732937621560423</v>
          </cell>
          <cell r="Z24">
            <v>0.10970000000000001</v>
          </cell>
          <cell r="AA24">
            <v>9.4200000000000006E-2</v>
          </cell>
          <cell r="AB24">
            <v>9.8923323863743931E-2</v>
          </cell>
          <cell r="AC24">
            <v>0.10283212131183471</v>
          </cell>
          <cell r="AD24">
            <v>0.11325872838672849</v>
          </cell>
          <cell r="AE24">
            <v>0.12860505588071519</v>
          </cell>
        </row>
        <row r="25">
          <cell r="H25">
            <v>6.0347113246290073E-2</v>
          </cell>
          <cell r="I25">
            <v>5.3809491066069394E-2</v>
          </cell>
          <cell r="J25">
            <v>6.3197744217035973E-2</v>
          </cell>
          <cell r="K25">
            <v>4.326084281948428E-2</v>
          </cell>
          <cell r="L25">
            <v>4.2100447723865751E-2</v>
          </cell>
          <cell r="M25">
            <v>2.8620159792312291E-2</v>
          </cell>
          <cell r="N25">
            <v>4.9640826420677527E-2</v>
          </cell>
          <cell r="O25">
            <v>5.0836252311635494E-2</v>
          </cell>
          <cell r="P25">
            <v>7.8786448143081236E-2</v>
          </cell>
          <cell r="Q25">
            <v>3.5757684342720655E-2</v>
          </cell>
          <cell r="R25">
            <v>5.0969807218867055E-2</v>
          </cell>
          <cell r="S25">
            <v>6.059013938895734E-2</v>
          </cell>
          <cell r="T25">
            <v>6.1054297427204751E-2</v>
          </cell>
          <cell r="U25">
            <v>7.7017392978440125E-2</v>
          </cell>
          <cell r="V25">
            <v>6.0174148694301641E-2</v>
          </cell>
          <cell r="W25">
            <v>6.8307170089898533E-2</v>
          </cell>
          <cell r="X25">
            <v>8.8020634934281985E-2</v>
          </cell>
          <cell r="Y25">
            <v>7.9850623784395738E-2</v>
          </cell>
          <cell r="Z25">
            <v>0.10970000000000001</v>
          </cell>
          <cell r="AA25">
            <v>9.4200000000000006E-2</v>
          </cell>
          <cell r="AB25">
            <v>9.8923323863743931E-2</v>
          </cell>
          <cell r="AC25">
            <v>0.10283212131183471</v>
          </cell>
          <cell r="AD25">
            <v>0.11325872838672849</v>
          </cell>
          <cell r="AE25">
            <v>0.12860505588071519</v>
          </cell>
        </row>
        <row r="26">
          <cell r="H26">
            <v>6.7900000000000002E-2</v>
          </cell>
          <cell r="I26">
            <v>9.3099999999999988E-2</v>
          </cell>
          <cell r="J26">
            <v>0.17349999999999999</v>
          </cell>
          <cell r="K26">
            <v>0.1865</v>
          </cell>
          <cell r="L26">
            <v>9.8900000000000002E-2</v>
          </cell>
          <cell r="M26">
            <v>0.1036</v>
          </cell>
          <cell r="N26">
            <v>0.1033</v>
          </cell>
          <cell r="O26">
            <v>0.10299999999999999</v>
          </cell>
          <cell r="P26">
            <v>0.16839999999999999</v>
          </cell>
          <cell r="Q26">
            <v>9.3099999999999988E-2</v>
          </cell>
          <cell r="R26">
            <v>0.1729</v>
          </cell>
          <cell r="S26">
            <v>0.18819999999999998</v>
          </cell>
          <cell r="T26">
            <v>0.14849999999999999</v>
          </cell>
          <cell r="U26">
            <v>0.13639999999999999</v>
          </cell>
          <cell r="V26">
            <v>0.11509999999999999</v>
          </cell>
          <cell r="W26">
            <v>0.34855169999999996</v>
          </cell>
          <cell r="X26">
            <v>0.44914379999999998</v>
          </cell>
          <cell r="Y26">
            <v>0.4074546</v>
          </cell>
          <cell r="Z26">
            <v>3.5369000000000002</v>
          </cell>
          <cell r="AA26">
            <v>3.9733000000000001</v>
          </cell>
          <cell r="AB26">
            <v>3.449729856136257</v>
          </cell>
          <cell r="AC26">
            <v>3.0943406286881654</v>
          </cell>
          <cell r="AD26">
            <v>3.0579254016132715</v>
          </cell>
          <cell r="AE26">
            <v>3.1692212141192844</v>
          </cell>
        </row>
        <row r="27">
          <cell r="H27">
            <v>0.34329999999999999</v>
          </cell>
          <cell r="I27">
            <v>0.83960000000000001</v>
          </cell>
          <cell r="J27">
            <v>0.4824</v>
          </cell>
          <cell r="K27">
            <v>0.71140000000000003</v>
          </cell>
          <cell r="L27">
            <v>0.39800000000000002</v>
          </cell>
          <cell r="M27">
            <v>0.2858</v>
          </cell>
          <cell r="N27">
            <v>0.30269999999999997</v>
          </cell>
          <cell r="O27">
            <v>0.52510000000000001</v>
          </cell>
          <cell r="P27">
            <v>0.63970000000000005</v>
          </cell>
          <cell r="Q27">
            <v>0.7984</v>
          </cell>
          <cell r="R27">
            <v>2.4916999999999998</v>
          </cell>
          <cell r="S27">
            <v>1.8120000000000001</v>
          </cell>
          <cell r="T27">
            <v>1.2810999999999999</v>
          </cell>
          <cell r="U27">
            <v>1.1297999999999999</v>
          </cell>
          <cell r="V27">
            <v>0.46079999999999999</v>
          </cell>
          <cell r="W27">
            <v>0.1757</v>
          </cell>
          <cell r="X27">
            <v>0.44230000000000003</v>
          </cell>
          <cell r="Y27">
            <v>0.30010000000000003</v>
          </cell>
          <cell r="Z27">
            <v>0.32750000000000001</v>
          </cell>
          <cell r="AA27">
            <v>0.47720000000000001</v>
          </cell>
          <cell r="AB27">
            <v>0.55912742999999965</v>
          </cell>
          <cell r="AC27">
            <v>0.54529235000000031</v>
          </cell>
          <cell r="AD27">
            <v>0.40671768999999997</v>
          </cell>
          <cell r="AE27">
            <v>0.44228138999999994</v>
          </cell>
        </row>
        <row r="28">
          <cell r="H28">
            <v>0.20303249999999998</v>
          </cell>
          <cell r="I28">
            <v>0.28772999999999999</v>
          </cell>
          <cell r="J28">
            <v>0.3148125</v>
          </cell>
          <cell r="K28">
            <v>0.34934699999999996</v>
          </cell>
          <cell r="L28">
            <v>0.195408</v>
          </cell>
          <cell r="M28">
            <v>0.33637499999999998</v>
          </cell>
          <cell r="N28">
            <v>0.13727549999999999</v>
          </cell>
          <cell r="O28">
            <v>0.35469449999999997</v>
          </cell>
          <cell r="P28">
            <v>0.25029750000000001</v>
          </cell>
          <cell r="Q28">
            <v>0.1968915</v>
          </cell>
          <cell r="R28">
            <v>0.43252649999999998</v>
          </cell>
          <cell r="S28">
            <v>0.54820499999999994</v>
          </cell>
          <cell r="T28">
            <v>0.97724699999999987</v>
          </cell>
          <cell r="U28">
            <v>0.84756149999999986</v>
          </cell>
          <cell r="V28">
            <v>0.64639199999999997</v>
          </cell>
          <cell r="W28">
            <v>0.33719399999999999</v>
          </cell>
          <cell r="X28">
            <v>0.39087360000000004</v>
          </cell>
          <cell r="Y28">
            <v>0.30558060000000004</v>
          </cell>
          <cell r="Z28">
            <v>3.7835000000000001</v>
          </cell>
          <cell r="AA28">
            <v>1.3673</v>
          </cell>
          <cell r="AB28">
            <v>1.8872418900000005</v>
          </cell>
          <cell r="AC28">
            <v>1.84246679</v>
          </cell>
          <cell r="AD28">
            <v>1.9964261199999997</v>
          </cell>
          <cell r="AE28">
            <v>2.11022474</v>
          </cell>
        </row>
        <row r="29">
          <cell r="H29">
            <v>0.38546750000000002</v>
          </cell>
          <cell r="I29">
            <v>0.54627000000000003</v>
          </cell>
          <cell r="J29">
            <v>0.59768750000000004</v>
          </cell>
          <cell r="K29">
            <v>0.66325300000000009</v>
          </cell>
          <cell r="L29">
            <v>0.37099200000000004</v>
          </cell>
          <cell r="M29">
            <v>0.638625</v>
          </cell>
          <cell r="N29">
            <v>0.26062450000000004</v>
          </cell>
          <cell r="O29">
            <v>0.67340549999999999</v>
          </cell>
          <cell r="P29">
            <v>0.47520250000000003</v>
          </cell>
          <cell r="Q29">
            <v>0.37380850000000004</v>
          </cell>
          <cell r="R29">
            <v>0.82117350000000011</v>
          </cell>
          <cell r="S29">
            <v>1.0407950000000001</v>
          </cell>
          <cell r="T29">
            <v>1.855353</v>
          </cell>
          <cell r="U29">
            <v>1.6091385</v>
          </cell>
          <cell r="V29">
            <v>1.2272080000000001</v>
          </cell>
          <cell r="W29">
            <v>1.1038060000000001</v>
          </cell>
          <cell r="X29">
            <v>1.2795264000000002</v>
          </cell>
          <cell r="Y29">
            <v>1.0003194000000002</v>
          </cell>
          <cell r="Z29">
            <v>3.7835000000000001</v>
          </cell>
          <cell r="AA29">
            <v>1.3673</v>
          </cell>
          <cell r="AB29">
            <v>1.8872418900000005</v>
          </cell>
          <cell r="AC29">
            <v>1.84246679</v>
          </cell>
          <cell r="AD29">
            <v>1.9964261199999997</v>
          </cell>
          <cell r="AE29">
            <v>2.11022474</v>
          </cell>
        </row>
        <row r="30">
          <cell r="H30">
            <v>0.66609400000000007</v>
          </cell>
          <cell r="I30">
            <v>1.1484180000000002</v>
          </cell>
          <cell r="J30">
            <v>0.55253399999999997</v>
          </cell>
          <cell r="K30">
            <v>0.6476320000000001</v>
          </cell>
          <cell r="L30">
            <v>0.68836400000000009</v>
          </cell>
          <cell r="M30">
            <v>0.40613802400000004</v>
          </cell>
          <cell r="N30">
            <v>0.97611110000000012</v>
          </cell>
          <cell r="O30">
            <v>0.44944599999999996</v>
          </cell>
          <cell r="P30">
            <v>1.0394595600000001</v>
          </cell>
          <cell r="Q30">
            <v>1.9108285600000001</v>
          </cell>
          <cell r="R30">
            <v>2.0233162</v>
          </cell>
          <cell r="S30">
            <v>1.5876980000000001</v>
          </cell>
          <cell r="T30">
            <v>1.3800260000000002</v>
          </cell>
          <cell r="U30">
            <v>1.4298360000000001</v>
          </cell>
          <cell r="V30">
            <v>1.3088299999999999</v>
          </cell>
          <cell r="W30">
            <v>1.4430000000000001</v>
          </cell>
          <cell r="X30">
            <v>1.3551</v>
          </cell>
          <cell r="Y30">
            <v>1.248</v>
          </cell>
          <cell r="Z30">
            <v>1.1154000000000002</v>
          </cell>
          <cell r="AA30">
            <v>1.0509999999999999</v>
          </cell>
          <cell r="AB30">
            <v>1.2799544001277074</v>
          </cell>
          <cell r="AC30">
            <v>1.4046792195590034</v>
          </cell>
          <cell r="AD30">
            <v>1.4878548079657998</v>
          </cell>
          <cell r="AE30">
            <v>1.4917427808967407</v>
          </cell>
        </row>
        <row r="31">
          <cell r="H31">
            <v>1.2930060000000001</v>
          </cell>
          <cell r="I31">
            <v>2.229282</v>
          </cell>
          <cell r="J31">
            <v>1.0725660000000001</v>
          </cell>
          <cell r="K31">
            <v>1.2571680000000001</v>
          </cell>
          <cell r="L31">
            <v>1.3362360000000002</v>
          </cell>
          <cell r="M31">
            <v>0.78838557600000003</v>
          </cell>
          <cell r="N31">
            <v>1.8948039000000001</v>
          </cell>
          <cell r="O31">
            <v>0.87245399999999995</v>
          </cell>
          <cell r="P31">
            <v>2.0177744400000002</v>
          </cell>
          <cell r="Q31">
            <v>3.7092554399999997</v>
          </cell>
          <cell r="R31">
            <v>3.9276137999999996</v>
          </cell>
          <cell r="S31">
            <v>3.0820020000000001</v>
          </cell>
          <cell r="T31">
            <v>2.6788740000000009</v>
          </cell>
          <cell r="U31">
            <v>2.7755639999999997</v>
          </cell>
          <cell r="V31">
            <v>2.5406699999999995</v>
          </cell>
          <cell r="W31">
            <v>1.5496500000000002</v>
          </cell>
          <cell r="X31">
            <v>3.1783999999999999</v>
          </cell>
          <cell r="Y31">
            <v>3.2438500000000001</v>
          </cell>
          <cell r="Z31">
            <v>1.3588</v>
          </cell>
          <cell r="AA31">
            <v>0.66200000000000003</v>
          </cell>
          <cell r="AB31">
            <v>1.2854712808283151</v>
          </cell>
          <cell r="AC31">
            <v>1.5350817518422488</v>
          </cell>
          <cell r="AD31">
            <v>1.3825302212329729</v>
          </cell>
          <cell r="AE31">
            <v>1.2973344781524432</v>
          </cell>
        </row>
        <row r="53">
          <cell r="H53">
            <v>4.6720565328458212</v>
          </cell>
          <cell r="I53">
            <v>1.5093528080297529</v>
          </cell>
          <cell r="J53">
            <v>1.6326353993862486</v>
          </cell>
          <cell r="K53">
            <v>2.6697249363466713</v>
          </cell>
          <cell r="L53">
            <v>1.9057770751539596</v>
          </cell>
          <cell r="M53">
            <v>1.3124038157725313</v>
          </cell>
          <cell r="N53">
            <v>1.0072288765130091</v>
          </cell>
          <cell r="O53">
            <v>1.7837576251023464</v>
          </cell>
          <cell r="P53">
            <v>1.8651544507889506</v>
          </cell>
          <cell r="Q53">
            <v>2.2166108874593542</v>
          </cell>
          <cell r="R53">
            <v>2.5878733797903091</v>
          </cell>
          <cell r="S53">
            <v>4.1569475087148886</v>
          </cell>
          <cell r="T53">
            <v>5.6567509684797317</v>
          </cell>
          <cell r="U53">
            <v>5.4289813283833865</v>
          </cell>
          <cell r="V53">
            <v>3.5235074071425996</v>
          </cell>
          <cell r="W53">
            <v>2.4352050691170355</v>
          </cell>
          <cell r="X53">
            <v>2.1414388221232086</v>
          </cell>
          <cell r="Y53">
            <v>2.302555021843534</v>
          </cell>
          <cell r="Z53">
            <v>1.4488319999999999</v>
          </cell>
          <cell r="AA53">
            <v>4.2056000000000004</v>
          </cell>
          <cell r="AB53">
            <v>2.5994797107084047</v>
          </cell>
          <cell r="AC53">
            <v>2.6698126381317313</v>
          </cell>
          <cell r="AD53">
            <v>2.4533274635786939</v>
          </cell>
          <cell r="AE53">
            <v>2.3671787571438605</v>
          </cell>
        </row>
        <row r="54">
          <cell r="H54">
            <v>2.1049529227503614</v>
          </cell>
          <cell r="I54">
            <v>0.68002529130110145</v>
          </cell>
          <cell r="J54">
            <v>0.7355691506648977</v>
          </cell>
          <cell r="K54">
            <v>1.2028204856244402</v>
          </cell>
          <cell r="L54">
            <v>0.85863066858321024</v>
          </cell>
          <cell r="M54">
            <v>0.59129169957975791</v>
          </cell>
          <cell r="N54">
            <v>0.45379788377757357</v>
          </cell>
          <cell r="O54">
            <v>0.80365590613912508</v>
          </cell>
          <cell r="P54">
            <v>0.84032851164530364</v>
          </cell>
          <cell r="Q54">
            <v>0.99867403858570003</v>
          </cell>
          <cell r="R54">
            <v>1.1659430052271653</v>
          </cell>
          <cell r="S54">
            <v>1.8728751988922039</v>
          </cell>
          <cell r="T54">
            <v>2.5485981174802896</v>
          </cell>
          <cell r="U54">
            <v>2.4459785609179971</v>
          </cell>
          <cell r="V54">
            <v>1.587484475595518</v>
          </cell>
          <cell r="W54">
            <v>1.0971596751232116</v>
          </cell>
          <cell r="X54">
            <v>0.96480594269985731</v>
          </cell>
          <cell r="Y54">
            <v>1.0373953930028383</v>
          </cell>
          <cell r="Z54">
            <v>0.90551999999999988</v>
          </cell>
          <cell r="AA54">
            <v>2.6284999999999998</v>
          </cell>
          <cell r="AB54">
            <v>1.6246748191927527</v>
          </cell>
          <cell r="AC54">
            <v>1.668632898832332</v>
          </cell>
          <cell r="AD54">
            <v>1.5333296647366834</v>
          </cell>
          <cell r="AE54">
            <v>1.4794867232149127</v>
          </cell>
        </row>
        <row r="55">
          <cell r="H55">
            <v>2.4698905444038184</v>
          </cell>
          <cell r="I55">
            <v>0.79792190066914614</v>
          </cell>
          <cell r="J55">
            <v>0.86309544994885412</v>
          </cell>
          <cell r="K55">
            <v>1.4113545780288896</v>
          </cell>
          <cell r="L55">
            <v>1.0074922562628299</v>
          </cell>
          <cell r="M55">
            <v>0.69380448464771105</v>
          </cell>
          <cell r="N55">
            <v>0.53247323970941751</v>
          </cell>
          <cell r="O55">
            <v>0.94298646875852898</v>
          </cell>
          <cell r="P55">
            <v>0.98601703756574599</v>
          </cell>
          <cell r="Q55">
            <v>1.1718150739549462</v>
          </cell>
          <cell r="R55">
            <v>1.368083614982526</v>
          </cell>
          <cell r="S55">
            <v>2.1975772923929076</v>
          </cell>
          <cell r="T55">
            <v>2.9904509140399775</v>
          </cell>
          <cell r="U55">
            <v>2.8700401106986155</v>
          </cell>
          <cell r="V55">
            <v>1.8627081172618836</v>
          </cell>
          <cell r="W55">
            <v>1.2873752557597529</v>
          </cell>
          <cell r="X55">
            <v>1.1320752351769341</v>
          </cell>
          <cell r="Y55">
            <v>1.2172495851536278</v>
          </cell>
          <cell r="Z55">
            <v>0.23284799999999997</v>
          </cell>
          <cell r="AA55">
            <v>0.67589999999999995</v>
          </cell>
          <cell r="AB55">
            <v>0.41777352493527931</v>
          </cell>
          <cell r="AC55">
            <v>0.42907703112831391</v>
          </cell>
          <cell r="AD55">
            <v>0.39428477093229003</v>
          </cell>
          <cell r="AE55">
            <v>0.38043944311240613</v>
          </cell>
        </row>
        <row r="56">
          <cell r="H56">
            <v>1.1645465043915073</v>
          </cell>
          <cell r="I56">
            <v>1.1001820295846425</v>
          </cell>
          <cell r="J56">
            <v>0.77513011814390298</v>
          </cell>
          <cell r="K56">
            <v>0.68998963836582305</v>
          </cell>
          <cell r="L56">
            <v>0.47628477138962716</v>
          </cell>
          <cell r="M56">
            <v>0.72979317264235954</v>
          </cell>
          <cell r="N56">
            <v>1.1207523315363412</v>
          </cell>
          <cell r="O56">
            <v>1.7296949802124721</v>
          </cell>
          <cell r="P56">
            <v>1.2091017784188862</v>
          </cell>
          <cell r="Q56">
            <v>0.64730626181604856</v>
          </cell>
          <cell r="R56">
            <v>0.79226517966966792</v>
          </cell>
          <cell r="S56">
            <v>1.1545493376429821</v>
          </cell>
          <cell r="T56">
            <v>1.6151595389454148</v>
          </cell>
          <cell r="U56">
            <v>1.1894365697530624</v>
          </cell>
          <cell r="V56">
            <v>1.2257225823958589</v>
          </cell>
          <cell r="W56">
            <v>1.0573849449768578</v>
          </cell>
          <cell r="X56">
            <v>0.72875294390060763</v>
          </cell>
          <cell r="Y56">
            <v>0.92132453975849626</v>
          </cell>
          <cell r="Z56">
            <v>1.6346550000000002</v>
          </cell>
          <cell r="AA56">
            <v>2.0905169999999997</v>
          </cell>
          <cell r="AB56">
            <v>1.7691131441651935</v>
          </cell>
          <cell r="AC56">
            <v>1.7050112905317358</v>
          </cell>
          <cell r="AD56">
            <v>1.6258923167686812</v>
          </cell>
          <cell r="AE56">
            <v>1.7031142550524103</v>
          </cell>
        </row>
        <row r="57">
          <cell r="H57">
            <v>2.1508979819924536</v>
          </cell>
          <cell r="I57">
            <v>2.0320178699041631</v>
          </cell>
          <cell r="J57">
            <v>1.4316524077056443</v>
          </cell>
          <cell r="K57">
            <v>1.2743993607470525</v>
          </cell>
          <cell r="L57">
            <v>0.87969003365045617</v>
          </cell>
          <cell r="M57">
            <v>1.3479158250777785</v>
          </cell>
          <cell r="N57">
            <v>2.0700108747262438</v>
          </cell>
          <cell r="O57">
            <v>3.1947177964742988</v>
          </cell>
          <cell r="P57">
            <v>2.2331908304370804</v>
          </cell>
          <cell r="Q57">
            <v>1.195563875741235</v>
          </cell>
          <cell r="R57">
            <v>1.4633005807224375</v>
          </cell>
          <cell r="S57">
            <v>2.1324333816489229</v>
          </cell>
          <cell r="T57">
            <v>2.983172745624953</v>
          </cell>
          <cell r="U57">
            <v>2.1968695178271713</v>
          </cell>
          <cell r="V57">
            <v>2.2638891783333217</v>
          </cell>
          <cell r="W57">
            <v>1.9529723680105797</v>
          </cell>
          <cell r="X57">
            <v>1.3459945399311508</v>
          </cell>
          <cell r="Y57">
            <v>1.701671067538973</v>
          </cell>
          <cell r="Z57">
            <v>0.59441999999999995</v>
          </cell>
          <cell r="AA57">
            <v>0.76018799999999986</v>
          </cell>
          <cell r="AB57">
            <v>0.64331387060552492</v>
          </cell>
          <cell r="AC57">
            <v>0.62000410564790387</v>
          </cell>
          <cell r="AD57">
            <v>0.59123356973406582</v>
          </cell>
          <cell r="AE57">
            <v>0.61931427456451282</v>
          </cell>
        </row>
        <row r="58">
          <cell r="H58">
            <v>0.53772449549811341</v>
          </cell>
          <cell r="I58">
            <v>0.50800446747604078</v>
          </cell>
          <cell r="J58">
            <v>0.35791310192641107</v>
          </cell>
          <cell r="K58">
            <v>0.31859984018676313</v>
          </cell>
          <cell r="L58">
            <v>0.21992250841261404</v>
          </cell>
          <cell r="M58">
            <v>0.33697895626944463</v>
          </cell>
          <cell r="N58">
            <v>0.51750271868156095</v>
          </cell>
          <cell r="O58">
            <v>0.79867944911857469</v>
          </cell>
          <cell r="P58">
            <v>0.55829770760927011</v>
          </cell>
          <cell r="Q58">
            <v>0.29889096893530875</v>
          </cell>
          <cell r="R58">
            <v>0.36582514518060938</v>
          </cell>
          <cell r="S58">
            <v>0.53310834541223073</v>
          </cell>
          <cell r="T58">
            <v>0.74579318640623826</v>
          </cell>
          <cell r="U58">
            <v>0.54921737945679283</v>
          </cell>
          <cell r="V58">
            <v>0.56597229458333043</v>
          </cell>
          <cell r="W58">
            <v>0.48824309200264493</v>
          </cell>
          <cell r="X58">
            <v>0.3364986349827877</v>
          </cell>
          <cell r="Y58">
            <v>0.42541776688474325</v>
          </cell>
          <cell r="Z58">
            <v>2.1300050000000001</v>
          </cell>
          <cell r="AA58">
            <v>2.7240069999999998</v>
          </cell>
          <cell r="AB58">
            <v>2.305208036336464</v>
          </cell>
          <cell r="AC58">
            <v>2.2216813785716556</v>
          </cell>
          <cell r="AD58">
            <v>2.118586958213736</v>
          </cell>
          <cell r="AE58">
            <v>2.2192094838561709</v>
          </cell>
        </row>
        <row r="59">
          <cell r="H59">
            <v>1.0381942181179253</v>
          </cell>
          <cell r="I59">
            <v>0.980813233035153</v>
          </cell>
          <cell r="J59">
            <v>0.69102917222404159</v>
          </cell>
          <cell r="K59">
            <v>0.61512636070036175</v>
          </cell>
          <cell r="L59">
            <v>0.42460828654730265</v>
          </cell>
          <cell r="M59">
            <v>0.65061124601041742</v>
          </cell>
          <cell r="N59">
            <v>0.99915167505585367</v>
          </cell>
          <cell r="O59">
            <v>1.542024574194655</v>
          </cell>
          <cell r="P59">
            <v>1.077915283534763</v>
          </cell>
          <cell r="Q59">
            <v>0.57707409350740779</v>
          </cell>
          <cell r="R59">
            <v>0.70630509442728517</v>
          </cell>
          <cell r="S59">
            <v>1.029281735295865</v>
          </cell>
          <cell r="T59">
            <v>1.4399161290233935</v>
          </cell>
          <cell r="U59">
            <v>1.0603837329629731</v>
          </cell>
          <cell r="V59">
            <v>1.092732744687489</v>
          </cell>
          <cell r="W59">
            <v>0.94265959500991836</v>
          </cell>
          <cell r="X59">
            <v>0.64968388118545384</v>
          </cell>
          <cell r="Y59">
            <v>0.82136162581778727</v>
          </cell>
          <cell r="Z59">
            <v>0.59441999999999995</v>
          </cell>
          <cell r="AA59">
            <v>0.76018799999999986</v>
          </cell>
          <cell r="AB59">
            <v>0.64331387060552492</v>
          </cell>
          <cell r="AC59">
            <v>0.62000410564790387</v>
          </cell>
          <cell r="AD59">
            <v>0.59123356973406582</v>
          </cell>
          <cell r="AE59">
            <v>0.61931427456451282</v>
          </cell>
        </row>
        <row r="60">
          <cell r="H60">
            <v>1.6924380000000001</v>
          </cell>
          <cell r="I60">
            <v>1.484802</v>
          </cell>
          <cell r="J60">
            <v>2.0873819999999998</v>
          </cell>
          <cell r="K60">
            <v>2.0856660000000002</v>
          </cell>
          <cell r="L60">
            <v>2.3110560000000002</v>
          </cell>
          <cell r="M60">
            <v>3.1661519999999999</v>
          </cell>
          <cell r="N60">
            <v>2.39778</v>
          </cell>
          <cell r="O60">
            <v>1.4201721599999999</v>
          </cell>
          <cell r="P60">
            <v>2.9824739999999998</v>
          </cell>
          <cell r="Q60">
            <v>1.9324140000000003</v>
          </cell>
          <cell r="R60">
            <v>1.907796</v>
          </cell>
          <cell r="S60">
            <v>2.3078220000000003</v>
          </cell>
          <cell r="T60">
            <v>2.4817980000000004</v>
          </cell>
          <cell r="U60">
            <v>2.3626019999999999</v>
          </cell>
          <cell r="V60">
            <v>2.16249</v>
          </cell>
          <cell r="W60">
            <v>2.6243000000000003</v>
          </cell>
          <cell r="X60">
            <v>3.7761</v>
          </cell>
          <cell r="Y60">
            <v>2.5621999999999998</v>
          </cell>
          <cell r="Z60">
            <v>3.0191999999999997</v>
          </cell>
          <cell r="AA60">
            <v>2.9931000000000001</v>
          </cell>
          <cell r="AB60">
            <v>2.8918301090794269</v>
          </cell>
          <cell r="AC60">
            <v>3.782360064278282</v>
          </cell>
          <cell r="AD60">
            <v>3.4705377413257055</v>
          </cell>
          <cell r="AE60">
            <v>3.2160116321090824</v>
          </cell>
        </row>
        <row r="61">
          <cell r="H61">
            <v>0.87186200000000003</v>
          </cell>
          <cell r="I61">
            <v>0.76489800000000008</v>
          </cell>
          <cell r="J61">
            <v>1.075318</v>
          </cell>
          <cell r="K61">
            <v>1.0744339999999999</v>
          </cell>
          <cell r="L61">
            <v>1.190544</v>
          </cell>
          <cell r="M61">
            <v>1.6310480000000001</v>
          </cell>
          <cell r="N61">
            <v>1.23522</v>
          </cell>
          <cell r="O61">
            <v>0.73160384000000001</v>
          </cell>
          <cell r="P61">
            <v>1.5364259999999998</v>
          </cell>
          <cell r="Q61">
            <v>0.99548600000000009</v>
          </cell>
          <cell r="R61">
            <v>0.98280400000000012</v>
          </cell>
          <cell r="S61">
            <v>1.1888779999999999</v>
          </cell>
          <cell r="T61">
            <v>1.2785020000000002</v>
          </cell>
          <cell r="U61">
            <v>1.217098</v>
          </cell>
          <cell r="V61">
            <v>1.1140099999999999</v>
          </cell>
          <cell r="W61">
            <v>1.2012</v>
          </cell>
          <cell r="X61">
            <v>1.5534000000000001</v>
          </cell>
          <cell r="Y61">
            <v>0.81710000000000005</v>
          </cell>
          <cell r="Z61">
            <v>1.2970999999999999</v>
          </cell>
          <cell r="AA61">
            <v>1.4250999999999998</v>
          </cell>
          <cell r="AB61">
            <v>1.3376018689940781</v>
          </cell>
          <cell r="AC61">
            <v>1.4693053926132156</v>
          </cell>
          <cell r="AD61">
            <v>1.3354667382339562</v>
          </cell>
          <cell r="AE61">
            <v>1.249250206816515</v>
          </cell>
        </row>
        <row r="62">
          <cell r="H62">
            <v>5.2438000000000002</v>
          </cell>
          <cell r="I62">
            <v>3.0779999999999998</v>
          </cell>
          <cell r="J62">
            <v>3.5724999999999998</v>
          </cell>
          <cell r="K62">
            <v>4.5848000000000004</v>
          </cell>
          <cell r="L62">
            <v>3.4581999999999997</v>
          </cell>
          <cell r="M62">
            <v>3.2988000000000004</v>
          </cell>
          <cell r="N62">
            <v>3.1168</v>
          </cell>
          <cell r="O62">
            <v>3.8371</v>
          </cell>
          <cell r="P62">
            <v>5.0454999999999997</v>
          </cell>
          <cell r="Q62">
            <v>6.3580129999999997</v>
          </cell>
          <cell r="R62">
            <v>4.7816999999999998</v>
          </cell>
          <cell r="S62">
            <v>6.0843999999999996</v>
          </cell>
          <cell r="T62">
            <v>5.7608000000000006</v>
          </cell>
          <cell r="U62">
            <v>5.1916000000000002</v>
          </cell>
          <cell r="V62">
            <v>6.0718000000000005</v>
          </cell>
          <cell r="W62">
            <v>2.7429000000000001</v>
          </cell>
          <cell r="X62">
            <v>4.8205</v>
          </cell>
          <cell r="Y62">
            <v>3.1579999999999999</v>
          </cell>
          <cell r="Z62">
            <v>4.7521000000000004</v>
          </cell>
          <cell r="AA62">
            <v>4.5863000000000005</v>
          </cell>
          <cell r="AB62">
            <v>4.2521218800000069</v>
          </cell>
          <cell r="AC62">
            <v>4.1643903399999962</v>
          </cell>
          <cell r="AD62">
            <v>4.2213762000000035</v>
          </cell>
          <cell r="AE62">
            <v>4.5285378099999987</v>
          </cell>
        </row>
        <row r="63">
          <cell r="H63">
            <v>0.5481317139383739</v>
          </cell>
          <cell r="I63">
            <v>0.5178364790468617</v>
          </cell>
          <cell r="J63">
            <v>0.36484021769957081</v>
          </cell>
          <cell r="K63">
            <v>0.32476607988686124</v>
          </cell>
          <cell r="L63">
            <v>0.22417892894792907</v>
          </cell>
          <cell r="M63">
            <v>0.34350090875073974</v>
          </cell>
          <cell r="N63">
            <v>0.52751856114705731</v>
          </cell>
          <cell r="O63">
            <v>0.81413723755914813</v>
          </cell>
          <cell r="P63">
            <v>0.56910310376739748</v>
          </cell>
          <cell r="Q63">
            <v>0.30467575952895537</v>
          </cell>
          <cell r="R63">
            <v>0.37290539208903378</v>
          </cell>
          <cell r="S63">
            <v>0.54342622203767876</v>
          </cell>
          <cell r="T63">
            <v>0.76022740442525871</v>
          </cell>
          <cell r="U63">
            <v>0.55984703327961061</v>
          </cell>
          <cell r="V63">
            <v>0.57692622610435551</v>
          </cell>
          <cell r="W63">
            <v>0.37201976634398637</v>
          </cell>
          <cell r="X63">
            <v>0.26963174813441793</v>
          </cell>
          <cell r="Y63">
            <v>0.34990048025184839</v>
          </cell>
          <cell r="Z63">
            <v>0.25180000000000002</v>
          </cell>
          <cell r="AA63">
            <v>0.24840000000000001</v>
          </cell>
          <cell r="AB63">
            <v>0.2696633082872934</v>
          </cell>
          <cell r="AC63">
            <v>0.33187896960079466</v>
          </cell>
          <cell r="AD63">
            <v>0.24932755554944439</v>
          </cell>
          <cell r="AE63">
            <v>0.2462404319623952</v>
          </cell>
        </row>
        <row r="64">
          <cell r="H64">
            <v>0.22180508606162622</v>
          </cell>
          <cell r="I64">
            <v>0.20954592095313826</v>
          </cell>
          <cell r="J64">
            <v>0.14763498230042921</v>
          </cell>
          <cell r="K64">
            <v>0.13141872011313882</v>
          </cell>
          <cell r="L64">
            <v>9.0715471052070965E-2</v>
          </cell>
          <cell r="M64">
            <v>0.13899989124926035</v>
          </cell>
          <cell r="N64">
            <v>0.21346383885294262</v>
          </cell>
          <cell r="O64">
            <v>0.32944596244085222</v>
          </cell>
          <cell r="P64">
            <v>0.23029129623260253</v>
          </cell>
          <cell r="Q64">
            <v>0.12328904047104472</v>
          </cell>
          <cell r="R64">
            <v>0.15089860791096629</v>
          </cell>
          <cell r="S64">
            <v>0.2199009779623213</v>
          </cell>
          <cell r="T64">
            <v>0.30763099557474127</v>
          </cell>
          <cell r="U64">
            <v>0.22654576672038956</v>
          </cell>
          <cell r="V64">
            <v>0.23345697389564446</v>
          </cell>
          <cell r="W64">
            <v>0.15054023365601354</v>
          </cell>
          <cell r="X64">
            <v>0.1091082518655821</v>
          </cell>
          <cell r="Y64">
            <v>0.14158951974815162</v>
          </cell>
          <cell r="Z64">
            <v>0.25180000000000002</v>
          </cell>
          <cell r="AA64">
            <v>0.24840000000000001</v>
          </cell>
          <cell r="AB64">
            <v>0.2696633082872934</v>
          </cell>
          <cell r="AC64">
            <v>0.33187896960079466</v>
          </cell>
          <cell r="AD64">
            <v>0.24932755554944439</v>
          </cell>
          <cell r="AE64">
            <v>0.2462404319623952</v>
          </cell>
        </row>
        <row r="65">
          <cell r="H65">
            <v>0.23799999999999999</v>
          </cell>
          <cell r="I65">
            <v>0.17499999999999999</v>
          </cell>
          <cell r="J65">
            <v>0.22190000000000001</v>
          </cell>
          <cell r="K65">
            <v>0.18659999999999999</v>
          </cell>
          <cell r="L65">
            <v>0.33439999999999998</v>
          </cell>
          <cell r="M65">
            <v>0.22409999999999999</v>
          </cell>
          <cell r="N65">
            <v>0.1966</v>
          </cell>
          <cell r="O65">
            <v>0.28989999999999999</v>
          </cell>
          <cell r="P65">
            <v>0.19939999999999999</v>
          </cell>
          <cell r="Q65">
            <v>0.25030000000000002</v>
          </cell>
          <cell r="R65">
            <v>0.33189999999999997</v>
          </cell>
          <cell r="S65">
            <v>0.25900000000000001</v>
          </cell>
          <cell r="T65">
            <v>0.33539999999999998</v>
          </cell>
          <cell r="U65">
            <v>0.30019999999999997</v>
          </cell>
          <cell r="V65">
            <v>0.20430000000000001</v>
          </cell>
          <cell r="W65">
            <v>0.76816319999999993</v>
          </cell>
          <cell r="X65">
            <v>0.55674780000000001</v>
          </cell>
          <cell r="Y65">
            <v>0.72249029999999992</v>
          </cell>
          <cell r="Z65">
            <v>4.9535</v>
          </cell>
          <cell r="AA65">
            <v>6.3348999999999993</v>
          </cell>
          <cell r="AB65">
            <v>5.3609489217127075</v>
          </cell>
          <cell r="AC65">
            <v>5.1667008803991994</v>
          </cell>
          <cell r="AD65">
            <v>4.9269464144505486</v>
          </cell>
          <cell r="AE65">
            <v>5.1609522880376071</v>
          </cell>
        </row>
        <row r="66">
          <cell r="H66">
            <v>0.61850000000000005</v>
          </cell>
          <cell r="I66">
            <v>2.2084999999999999</v>
          </cell>
          <cell r="J66">
            <v>1.4847000000000001</v>
          </cell>
          <cell r="K66">
            <v>0.95320000000000005</v>
          </cell>
          <cell r="L66">
            <v>0.90810000000000002</v>
          </cell>
          <cell r="M66">
            <v>0.42230000000000001</v>
          </cell>
          <cell r="N66">
            <v>0.60639999999999994</v>
          </cell>
          <cell r="O66">
            <v>0.6167999999999999</v>
          </cell>
          <cell r="P66">
            <v>1.0635999999999999</v>
          </cell>
          <cell r="Q66">
            <v>1.0459000000000001</v>
          </cell>
          <cell r="R66">
            <v>2.0405000000000002</v>
          </cell>
          <cell r="S66">
            <v>2.3144</v>
          </cell>
          <cell r="T66">
            <v>1.7478</v>
          </cell>
          <cell r="U66">
            <v>1.9861</v>
          </cell>
          <cell r="V66">
            <v>1.1522000000000001</v>
          </cell>
          <cell r="W66">
            <v>0.38150000000000001</v>
          </cell>
          <cell r="X66">
            <v>0.92549999999999999</v>
          </cell>
          <cell r="Y66">
            <v>1.1422999999999999</v>
          </cell>
          <cell r="Z66">
            <v>1.5630999999999999</v>
          </cell>
          <cell r="AA66">
            <v>1.7925</v>
          </cell>
          <cell r="AB66">
            <v>1.7621433593581584</v>
          </cell>
          <cell r="AC66">
            <v>1.4336343163011998</v>
          </cell>
          <cell r="AD66">
            <v>1.3691762784064214</v>
          </cell>
          <cell r="AE66">
            <v>1.5800612145564872</v>
          </cell>
        </row>
        <row r="67">
          <cell r="H67">
            <v>0.43003140000000001</v>
          </cell>
          <cell r="I67">
            <v>0.38538420000000001</v>
          </cell>
          <cell r="J67">
            <v>0.66239400000000004</v>
          </cell>
          <cell r="K67">
            <v>0.43521479999999996</v>
          </cell>
          <cell r="L67">
            <v>0.36477779999999993</v>
          </cell>
          <cell r="M67">
            <v>0.67629059999999996</v>
          </cell>
          <cell r="N67">
            <v>0.52988339999999989</v>
          </cell>
          <cell r="O67">
            <v>0.50167679999999992</v>
          </cell>
          <cell r="P67">
            <v>0.38506620000000003</v>
          </cell>
          <cell r="Q67">
            <v>0.32744460000000003</v>
          </cell>
          <cell r="R67">
            <v>0.54336660000000003</v>
          </cell>
          <cell r="S67">
            <v>0.64827480000000004</v>
          </cell>
          <cell r="T67">
            <v>0.97781820000000008</v>
          </cell>
          <cell r="U67">
            <v>0.78724080000000007</v>
          </cell>
          <cell r="V67">
            <v>0.68166479999999996</v>
          </cell>
          <cell r="W67">
            <v>0.47345219999999999</v>
          </cell>
          <cell r="X67">
            <v>0.48302279999999997</v>
          </cell>
          <cell r="Y67">
            <v>0.4790682</v>
          </cell>
          <cell r="Z67">
            <v>3.056</v>
          </cell>
          <cell r="AA67">
            <v>2.3259000000000003</v>
          </cell>
          <cell r="AB67">
            <v>2.0441822700000003</v>
          </cell>
          <cell r="AC67">
            <v>2.0585218499999991</v>
          </cell>
          <cell r="AD67">
            <v>2.2333007499999997</v>
          </cell>
          <cell r="AE67">
            <v>2.33822785</v>
          </cell>
        </row>
        <row r="68">
          <cell r="H68">
            <v>0.92226859999999999</v>
          </cell>
          <cell r="I68">
            <v>0.82651580000000013</v>
          </cell>
          <cell r="J68">
            <v>1.420606</v>
          </cell>
          <cell r="K68">
            <v>0.93338520000000003</v>
          </cell>
          <cell r="L68">
            <v>0.78232219999999997</v>
          </cell>
          <cell r="M68">
            <v>1.4504094000000001</v>
          </cell>
          <cell r="N68">
            <v>1.1364166</v>
          </cell>
          <cell r="O68">
            <v>1.0759231999999999</v>
          </cell>
          <cell r="P68">
            <v>0.82583380000000006</v>
          </cell>
          <cell r="Q68">
            <v>0.70225540000000009</v>
          </cell>
          <cell r="R68">
            <v>1.1653334000000002</v>
          </cell>
          <cell r="S68">
            <v>1.3903251999999999</v>
          </cell>
          <cell r="T68">
            <v>2.0970818000000002</v>
          </cell>
          <cell r="U68">
            <v>1.6883592000000001</v>
          </cell>
          <cell r="V68">
            <v>1.4619352000000001</v>
          </cell>
          <cell r="W68">
            <v>1.5498478</v>
          </cell>
          <cell r="X68">
            <v>1.5811771999999999</v>
          </cell>
          <cell r="Y68">
            <v>1.5682318</v>
          </cell>
          <cell r="Z68">
            <v>3.056</v>
          </cell>
          <cell r="AA68">
            <v>2.3259000000000003</v>
          </cell>
          <cell r="AB68">
            <v>2.0441822700000003</v>
          </cell>
          <cell r="AC68">
            <v>2.0585218499999991</v>
          </cell>
          <cell r="AD68">
            <v>2.2333007499999997</v>
          </cell>
          <cell r="AE68">
            <v>2.33822785</v>
          </cell>
        </row>
        <row r="69">
          <cell r="H69">
            <v>1.112582</v>
          </cell>
          <cell r="I69">
            <v>0.80331799999999998</v>
          </cell>
          <cell r="J69">
            <v>0.79209799999999997</v>
          </cell>
          <cell r="K69">
            <v>1.4170180000000003</v>
          </cell>
          <cell r="L69">
            <v>2.0118140000000002</v>
          </cell>
          <cell r="M69">
            <v>1.9682630600000002</v>
          </cell>
          <cell r="N69">
            <v>1.356931568</v>
          </cell>
          <cell r="O69">
            <v>1.6115660000000003</v>
          </cell>
          <cell r="P69">
            <v>2.0560044800000004</v>
          </cell>
          <cell r="Q69">
            <v>2.2904100000000001</v>
          </cell>
          <cell r="R69">
            <v>2.4596072599999999</v>
          </cell>
          <cell r="S69">
            <v>3.8090502600000002</v>
          </cell>
          <cell r="T69">
            <v>4.7729200000000009</v>
          </cell>
          <cell r="U69">
            <v>4.5525319999999994</v>
          </cell>
          <cell r="V69">
            <v>3.3850400000000009</v>
          </cell>
          <cell r="W69">
            <v>2.8653000000000004</v>
          </cell>
          <cell r="X69">
            <v>1.9470999999999998</v>
          </cell>
          <cell r="Y69">
            <v>3.2425000000000002</v>
          </cell>
          <cell r="Z69">
            <v>1.5354000000000001</v>
          </cell>
          <cell r="AA69">
            <v>1.9370000000000001</v>
          </cell>
          <cell r="AB69">
            <v>2.3703669220352253</v>
          </cell>
          <cell r="AC69">
            <v>1.9890497993605087</v>
          </cell>
          <cell r="AD69">
            <v>2.1600621794832904</v>
          </cell>
          <cell r="AE69">
            <v>2.2621435716444833</v>
          </cell>
        </row>
        <row r="70">
          <cell r="H70">
            <v>2.1597179999999998</v>
          </cell>
          <cell r="I70">
            <v>1.559382</v>
          </cell>
          <cell r="J70">
            <v>1.5376019999999999</v>
          </cell>
          <cell r="K70">
            <v>2.7506820000000007</v>
          </cell>
          <cell r="L70">
            <v>3.9052860000000007</v>
          </cell>
          <cell r="M70">
            <v>3.8207459400000001</v>
          </cell>
          <cell r="N70">
            <v>2.634043632</v>
          </cell>
          <cell r="O70">
            <v>3.1283340000000002</v>
          </cell>
          <cell r="P70">
            <v>3.991067520000001</v>
          </cell>
          <cell r="Q70">
            <v>4.446089999999999</v>
          </cell>
          <cell r="R70">
            <v>4.7745317399999996</v>
          </cell>
          <cell r="S70">
            <v>7.3940387400000001</v>
          </cell>
          <cell r="T70">
            <v>9.2650800000000011</v>
          </cell>
          <cell r="U70">
            <v>8.8372679999999981</v>
          </cell>
          <cell r="V70">
            <v>6.5709600000000021</v>
          </cell>
          <cell r="W70">
            <v>4.5552000000000001</v>
          </cell>
          <cell r="X70">
            <v>5.4093999999999998</v>
          </cell>
          <cell r="Y70">
            <v>5.1186000000000007</v>
          </cell>
          <cell r="Z70">
            <v>1.7812999999999999</v>
          </cell>
          <cell r="AA70">
            <v>2.95</v>
          </cell>
          <cell r="AB70">
            <v>2.2861592609503698</v>
          </cell>
          <cell r="AC70">
            <v>2.5053125556405771</v>
          </cell>
          <cell r="AD70">
            <v>2.4712945670254456</v>
          </cell>
          <cell r="AE70">
            <v>2.4438312461536253</v>
          </cell>
        </row>
        <row r="92">
          <cell r="H92">
            <v>0.41436087365353341</v>
          </cell>
          <cell r="I92">
            <v>0.17461665398690543</v>
          </cell>
          <cell r="J92">
            <v>0.26404705837256015</v>
          </cell>
          <cell r="K92">
            <v>0.26172287837157698</v>
          </cell>
          <cell r="L92">
            <v>0.20771095617481719</v>
          </cell>
          <cell r="M92">
            <v>0.24565572097347629</v>
          </cell>
          <cell r="N92">
            <v>0.38202445624855086</v>
          </cell>
          <cell r="O92">
            <v>0.43265115974822654</v>
          </cell>
          <cell r="P92">
            <v>0.44386785453557986</v>
          </cell>
          <cell r="Q92">
            <v>0.36903936363436263</v>
          </cell>
          <cell r="R92">
            <v>0.5218289358729048</v>
          </cell>
          <cell r="S92">
            <v>0.56649361241353691</v>
          </cell>
          <cell r="T92">
            <v>0.68866463942173628</v>
          </cell>
          <cell r="U92">
            <v>1.031127510001379</v>
          </cell>
          <cell r="V92">
            <v>0.57467876806917317</v>
          </cell>
          <cell r="W92">
            <v>0.49454508368745087</v>
          </cell>
          <cell r="X92">
            <v>0.57525981306941887</v>
          </cell>
          <cell r="Y92">
            <v>0.81019904321227521</v>
          </cell>
          <cell r="Z92">
            <v>0.6358950000000001</v>
          </cell>
          <cell r="AA92">
            <v>0.73733399999999993</v>
          </cell>
          <cell r="AB92">
            <v>0.6518964294875611</v>
          </cell>
          <cell r="AC92">
            <v>0.67716166468748484</v>
          </cell>
          <cell r="AD92">
            <v>0.61357820737900048</v>
          </cell>
          <cell r="AE92">
            <v>0.62155831420158214</v>
          </cell>
        </row>
        <row r="93">
          <cell r="H93">
            <v>0.18668655354200558</v>
          </cell>
          <cell r="I93">
            <v>7.8671958180852486E-2</v>
          </cell>
          <cell r="J93">
            <v>0.11896402009639327</v>
          </cell>
          <cell r="K93">
            <v>0.11791688176412496</v>
          </cell>
          <cell r="L93">
            <v>9.3582297477281418E-2</v>
          </cell>
          <cell r="M93">
            <v>0.11067796894540068</v>
          </cell>
          <cell r="N93">
            <v>0.17211767239740325</v>
          </cell>
          <cell r="O93">
            <v>0.19492707693942124</v>
          </cell>
          <cell r="P93">
            <v>0.19998065758645517</v>
          </cell>
          <cell r="Q93">
            <v>0.1662673560627739</v>
          </cell>
          <cell r="R93">
            <v>0.23510531947101979</v>
          </cell>
          <cell r="S93">
            <v>0.25522858655200176</v>
          </cell>
          <cell r="T93">
            <v>0.31027164062645235</v>
          </cell>
          <cell r="U93">
            <v>0.46456519749850622</v>
          </cell>
          <cell r="V93">
            <v>0.25891633459172925</v>
          </cell>
          <cell r="W93">
            <v>0.22281282600526162</v>
          </cell>
          <cell r="X93">
            <v>0.25917811917479627</v>
          </cell>
          <cell r="Y93">
            <v>0.3650278698533686</v>
          </cell>
          <cell r="Z93">
            <v>0.79894500000000002</v>
          </cell>
          <cell r="AA93">
            <v>0.92639399999999994</v>
          </cell>
          <cell r="AB93">
            <v>0.81904936012539731</v>
          </cell>
          <cell r="AC93">
            <v>0.85079286076119875</v>
          </cell>
          <cell r="AD93">
            <v>0.77090595286079544</v>
          </cell>
          <cell r="AE93">
            <v>0.78093224091993652</v>
          </cell>
        </row>
        <row r="94">
          <cell r="H94">
            <v>0.21905257280446114</v>
          </cell>
          <cell r="I94">
            <v>9.2311387832242131E-2</v>
          </cell>
          <cell r="J94">
            <v>0.13958892153104671</v>
          </cell>
          <cell r="K94">
            <v>0.1383602398642981</v>
          </cell>
          <cell r="L94">
            <v>0.10980674634790144</v>
          </cell>
          <cell r="M94">
            <v>0.12986631008112301</v>
          </cell>
          <cell r="N94">
            <v>0.20195787135404591</v>
          </cell>
          <cell r="O94">
            <v>0.22872176331235222</v>
          </cell>
          <cell r="P94">
            <v>0.234651487877965</v>
          </cell>
          <cell r="Q94">
            <v>0.19509328030286358</v>
          </cell>
          <cell r="R94">
            <v>0.27586574465607538</v>
          </cell>
          <cell r="S94">
            <v>0.29947780103446142</v>
          </cell>
          <cell r="T94">
            <v>0.36406371995181136</v>
          </cell>
          <cell r="U94">
            <v>0.54510729250011491</v>
          </cell>
          <cell r="V94">
            <v>0.30380489733909782</v>
          </cell>
          <cell r="W94">
            <v>0.2614420903072876</v>
          </cell>
          <cell r="X94">
            <v>0.30411206775578492</v>
          </cell>
          <cell r="Y94">
            <v>0.42831308693435627</v>
          </cell>
          <cell r="Z94">
            <v>0.19566</v>
          </cell>
          <cell r="AA94">
            <v>0.22687199999999996</v>
          </cell>
          <cell r="AB94">
            <v>0.20058351676540342</v>
          </cell>
          <cell r="AC94">
            <v>0.20835743528845685</v>
          </cell>
          <cell r="AD94">
            <v>0.188793294578154</v>
          </cell>
          <cell r="AE94">
            <v>0.19124871206202526</v>
          </cell>
        </row>
        <row r="95">
          <cell r="H95">
            <v>0.16229015911096059</v>
          </cell>
          <cell r="I95">
            <v>0.13689095496788101</v>
          </cell>
          <cell r="J95">
            <v>0.1464880483900218</v>
          </cell>
          <cell r="K95">
            <v>0.12630105877793252</v>
          </cell>
          <cell r="L95">
            <v>5.3578256036020636E-2</v>
          </cell>
          <cell r="M95">
            <v>0.14473409683356164</v>
          </cell>
          <cell r="N95">
            <v>0.20832311411164292</v>
          </cell>
          <cell r="O95">
            <v>0.18181528021117813</v>
          </cell>
          <cell r="P95">
            <v>0.25346254662129836</v>
          </cell>
          <cell r="Q95">
            <v>0.21457777154883126</v>
          </cell>
          <cell r="R95">
            <v>0.21891301030159141</v>
          </cell>
          <cell r="S95">
            <v>0.34506514866435284</v>
          </cell>
          <cell r="T95">
            <v>0.4237613147259075</v>
          </cell>
          <cell r="U95">
            <v>0.29486242203887825</v>
          </cell>
          <cell r="V95">
            <v>0.25132802067051191</v>
          </cell>
          <cell r="W95">
            <v>0.19929265632196788</v>
          </cell>
          <cell r="X95">
            <v>0.28278808334118855</v>
          </cell>
          <cell r="Y95">
            <v>0.28374874501219671</v>
          </cell>
          <cell r="Z95">
            <v>0.38990000000000008</v>
          </cell>
          <cell r="AA95">
            <v>0.61124000000000001</v>
          </cell>
          <cell r="AB95">
            <v>0.48311013099802608</v>
          </cell>
          <cell r="AC95">
            <v>0.44265568341819511</v>
          </cell>
          <cell r="AD95">
            <v>0.44279982054836869</v>
          </cell>
          <cell r="AE95">
            <v>0.46242683685728003</v>
          </cell>
        </row>
        <row r="96">
          <cell r="H96">
            <v>0.29974721869213228</v>
          </cell>
          <cell r="I96">
            <v>0.25283531201468296</v>
          </cell>
          <cell r="J96">
            <v>0.27056098359313285</v>
          </cell>
          <cell r="K96">
            <v>0.23327595027294512</v>
          </cell>
          <cell r="L96">
            <v>9.8958145812104853E-2</v>
          </cell>
          <cell r="M96">
            <v>0.26732146430465759</v>
          </cell>
          <cell r="N96">
            <v>0.38476931926324892</v>
          </cell>
          <cell r="O96">
            <v>0.33580979190346144</v>
          </cell>
          <cell r="P96">
            <v>0.46814109868740644</v>
          </cell>
          <cell r="Q96">
            <v>0.39632156729196283</v>
          </cell>
          <cell r="R96">
            <v>0.40432868100498676</v>
          </cell>
          <cell r="S96">
            <v>0.63732957775343879</v>
          </cell>
          <cell r="T96">
            <v>0.78268008469672801</v>
          </cell>
          <cell r="U96">
            <v>0.54460597849651282</v>
          </cell>
          <cell r="V96">
            <v>0.46419866483633754</v>
          </cell>
          <cell r="W96">
            <v>0.36809021425281468</v>
          </cell>
          <cell r="X96">
            <v>0.52230487618688526</v>
          </cell>
          <cell r="Y96">
            <v>0.52407920228013871</v>
          </cell>
          <cell r="Z96">
            <v>0.18102500000000002</v>
          </cell>
          <cell r="AA96">
            <v>0.28378999999999999</v>
          </cell>
          <cell r="AB96">
            <v>0.22430113224908352</v>
          </cell>
          <cell r="AC96">
            <v>0.20551871015844772</v>
          </cell>
          <cell r="AD96">
            <v>0.20558563096888544</v>
          </cell>
          <cell r="AE96">
            <v>0.21469817425516571</v>
          </cell>
        </row>
        <row r="97">
          <cell r="H97">
            <v>7.4936804673033069E-2</v>
          </cell>
          <cell r="I97">
            <v>6.3208828003670739E-2</v>
          </cell>
          <cell r="J97">
            <v>6.7640245898283213E-2</v>
          </cell>
          <cell r="K97">
            <v>5.831898756823628E-2</v>
          </cell>
          <cell r="L97">
            <v>2.4739536453026213E-2</v>
          </cell>
          <cell r="M97">
            <v>6.6830366076164396E-2</v>
          </cell>
          <cell r="N97">
            <v>9.619232981581223E-2</v>
          </cell>
          <cell r="O97">
            <v>8.395244797586536E-2</v>
          </cell>
          <cell r="P97">
            <v>0.11703527467185161</v>
          </cell>
          <cell r="Q97">
            <v>9.9080391822990707E-2</v>
          </cell>
          <cell r="R97">
            <v>0.10108217025124669</v>
          </cell>
          <cell r="S97">
            <v>0.1593323944383597</v>
          </cell>
          <cell r="T97">
            <v>0.195670021174182</v>
          </cell>
          <cell r="U97">
            <v>0.13615149462412821</v>
          </cell>
          <cell r="V97">
            <v>0.11604966620908438</v>
          </cell>
          <cell r="W97">
            <v>9.2022553563203671E-2</v>
          </cell>
          <cell r="X97">
            <v>0.13057621904672131</v>
          </cell>
          <cell r="Y97">
            <v>0.13101980057003468</v>
          </cell>
          <cell r="Z97">
            <v>0.6266250000000001</v>
          </cell>
          <cell r="AA97">
            <v>0.98234999999999995</v>
          </cell>
          <cell r="AB97">
            <v>0.77642699624682754</v>
          </cell>
          <cell r="AC97">
            <v>0.71141091977924209</v>
          </cell>
          <cell r="AD97">
            <v>0.71164256873844955</v>
          </cell>
          <cell r="AE97">
            <v>0.74318598780634293</v>
          </cell>
        </row>
        <row r="98">
          <cell r="H98">
            <v>0.14468181752387402</v>
          </cell>
          <cell r="I98">
            <v>0.12203840501376527</v>
          </cell>
          <cell r="J98">
            <v>0.13059422211856206</v>
          </cell>
          <cell r="K98">
            <v>0.11259750338088605</v>
          </cell>
          <cell r="L98">
            <v>4.7765061698848296E-2</v>
          </cell>
          <cell r="M98">
            <v>0.12903057278561647</v>
          </cell>
          <cell r="N98">
            <v>0.18572023680929586</v>
          </cell>
          <cell r="O98">
            <v>0.1620884799094951</v>
          </cell>
          <cell r="P98">
            <v>0.22596208001944354</v>
          </cell>
          <cell r="Q98">
            <v>0.19129626933621519</v>
          </cell>
          <cell r="R98">
            <v>0.19516113844217509</v>
          </cell>
          <cell r="S98">
            <v>0.30762587914384881</v>
          </cell>
          <cell r="T98">
            <v>0.37778357940318252</v>
          </cell>
          <cell r="U98">
            <v>0.26287010484048079</v>
          </cell>
          <cell r="V98">
            <v>0.2240591482840664</v>
          </cell>
          <cell r="W98">
            <v>0.17766957586201376</v>
          </cell>
          <cell r="X98">
            <v>0.25210582142520493</v>
          </cell>
          <cell r="Y98">
            <v>0.25296225213763002</v>
          </cell>
          <cell r="Z98">
            <v>0.19495000000000004</v>
          </cell>
          <cell r="AA98">
            <v>0.30562</v>
          </cell>
          <cell r="AB98">
            <v>0.24155506549901304</v>
          </cell>
          <cell r="AC98">
            <v>0.22132784170909756</v>
          </cell>
          <cell r="AD98">
            <v>0.22139991027418435</v>
          </cell>
          <cell r="AE98">
            <v>0.23121341842864002</v>
          </cell>
        </row>
        <row r="99">
          <cell r="H99">
            <v>0.18433800000000003</v>
          </cell>
          <cell r="I99">
            <v>0.206844</v>
          </cell>
          <cell r="J99">
            <v>0.137214</v>
          </cell>
          <cell r="K99">
            <v>0.61676999999999993</v>
          </cell>
          <cell r="L99">
            <v>0.68554199999999998</v>
          </cell>
          <cell r="M99">
            <v>0.40642800000000001</v>
          </cell>
          <cell r="N99">
            <v>0.53598599999999996</v>
          </cell>
          <cell r="O99">
            <v>1.033296</v>
          </cell>
          <cell r="P99">
            <v>0.77985599999999999</v>
          </cell>
          <cell r="Q99">
            <v>0.64818600000000004</v>
          </cell>
          <cell r="R99">
            <v>0.78117599999999998</v>
          </cell>
          <cell r="S99">
            <v>0.39857400000000004</v>
          </cell>
          <cell r="T99">
            <v>0.61709999999999998</v>
          </cell>
          <cell r="U99">
            <v>0.37732200000000005</v>
          </cell>
          <cell r="V99">
            <v>0.84011400000000014</v>
          </cell>
          <cell r="W99">
            <v>0.93320000000000003</v>
          </cell>
          <cell r="X99">
            <v>1.1757</v>
          </cell>
          <cell r="Y99">
            <v>0.60420000000000007</v>
          </cell>
          <cell r="Z99">
            <v>0.75339999999999996</v>
          </cell>
          <cell r="AA99">
            <v>1.5335999999999999</v>
          </cell>
          <cell r="AB99">
            <v>1.2076663465344608</v>
          </cell>
          <cell r="AC99">
            <v>0.88413198109065294</v>
          </cell>
          <cell r="AD99">
            <v>0.97240838928959727</v>
          </cell>
          <cell r="AE99">
            <v>1.0165069098294888</v>
          </cell>
        </row>
        <row r="100">
          <cell r="H100">
            <v>9.4962000000000019E-2</v>
          </cell>
          <cell r="I100">
            <v>0.106556</v>
          </cell>
          <cell r="J100">
            <v>7.0686000000000013E-2</v>
          </cell>
          <cell r="K100">
            <v>0.31773000000000001</v>
          </cell>
          <cell r="L100">
            <v>0.35315800000000003</v>
          </cell>
          <cell r="M100">
            <v>0.20937199999999997</v>
          </cell>
          <cell r="N100">
            <v>0.27611400000000003</v>
          </cell>
          <cell r="O100">
            <v>0.532304</v>
          </cell>
          <cell r="P100">
            <v>0.40174399999999999</v>
          </cell>
          <cell r="Q100">
            <v>0.33391400000000004</v>
          </cell>
          <cell r="R100">
            <v>0.402424</v>
          </cell>
          <cell r="S100">
            <v>0.20532599999999998</v>
          </cell>
          <cell r="T100">
            <v>0.31790000000000002</v>
          </cell>
          <cell r="U100">
            <v>0.19437800000000005</v>
          </cell>
          <cell r="V100">
            <v>0.43278600000000006</v>
          </cell>
          <cell r="W100">
            <v>0.53679999999999994</v>
          </cell>
          <cell r="X100">
            <v>0.58729999999999993</v>
          </cell>
          <cell r="Y100">
            <v>0.3029</v>
          </cell>
          <cell r="Z100">
            <v>0.19550000000000001</v>
          </cell>
          <cell r="AA100">
            <v>0.11359999999999999</v>
          </cell>
          <cell r="AB100">
            <v>0.23634605624237559</v>
          </cell>
          <cell r="AC100">
            <v>0.27313452288332429</v>
          </cell>
          <cell r="AD100">
            <v>0.28219361090513184</v>
          </cell>
          <cell r="AE100">
            <v>0.26393138211722167</v>
          </cell>
        </row>
        <row r="101">
          <cell r="H101">
            <v>0.51962010000000003</v>
          </cell>
          <cell r="I101">
            <v>0.2356029</v>
          </cell>
          <cell r="J101">
            <v>0.29530000000000001</v>
          </cell>
          <cell r="K101">
            <v>0.39574090000000001</v>
          </cell>
          <cell r="L101">
            <v>0.68245239999999996</v>
          </cell>
          <cell r="M101">
            <v>0.37956290000000004</v>
          </cell>
          <cell r="N101">
            <v>0.31980000000000003</v>
          </cell>
          <cell r="O101">
            <v>0.7399</v>
          </cell>
          <cell r="P101">
            <v>0.63590000000000002</v>
          </cell>
          <cell r="Q101">
            <v>0.7046</v>
          </cell>
          <cell r="R101">
            <v>0.49339999999999995</v>
          </cell>
          <cell r="S101">
            <v>1.1999000000000002</v>
          </cell>
          <cell r="T101">
            <v>1.5182</v>
          </cell>
          <cell r="U101">
            <v>1.0499000000000001</v>
          </cell>
          <cell r="V101">
            <v>1.0911</v>
          </cell>
          <cell r="W101">
            <v>0.79139999999999999</v>
          </cell>
          <cell r="X101">
            <v>0.41299999999999998</v>
          </cell>
          <cell r="Y101">
            <v>0.74629999999999996</v>
          </cell>
          <cell r="Z101">
            <v>0.95779999999999998</v>
          </cell>
          <cell r="AA101">
            <v>1.0682</v>
          </cell>
          <cell r="AB101">
            <v>0.76954163000000042</v>
          </cell>
          <cell r="AC101">
            <v>0.65636095000000005</v>
          </cell>
          <cell r="AD101">
            <v>0.53005643999999963</v>
          </cell>
          <cell r="AE101">
            <v>0.52549197000000003</v>
          </cell>
        </row>
        <row r="102">
          <cell r="H102">
            <v>0.21296593880742018</v>
          </cell>
          <cell r="I102">
            <v>0.17963572713639753</v>
          </cell>
          <cell r="J102">
            <v>0.19222955304466666</v>
          </cell>
          <cell r="K102">
            <v>0.16573909165141087</v>
          </cell>
          <cell r="L102">
            <v>7.0308290156854247E-2</v>
          </cell>
          <cell r="M102">
            <v>0.18992792279246576</v>
          </cell>
          <cell r="N102">
            <v>0.27337287618122147</v>
          </cell>
          <cell r="O102">
            <v>0.23858786048286421</v>
          </cell>
          <cell r="P102">
            <v>0.33260728493597691</v>
          </cell>
          <cell r="Q102">
            <v>0.28158057651454166</v>
          </cell>
          <cell r="R102">
            <v>0.28726951166620807</v>
          </cell>
          <cell r="S102">
            <v>0.45281318188111136</v>
          </cell>
          <cell r="T102">
            <v>0.55608255432891829</v>
          </cell>
          <cell r="U102">
            <v>0.38693444428509655</v>
          </cell>
          <cell r="V102">
            <v>0.32980624434603434</v>
          </cell>
          <cell r="W102">
            <v>7.7976356796648869E-2</v>
          </cell>
          <cell r="X102">
            <v>0.10613982502339432</v>
          </cell>
          <cell r="Y102">
            <v>0.10925090581588365</v>
          </cell>
          <cell r="Z102">
            <v>0.1041</v>
          </cell>
          <cell r="AA102">
            <v>0.14449999999999999</v>
          </cell>
          <cell r="AB102">
            <v>0.12252214500704957</v>
          </cell>
          <cell r="AC102">
            <v>0.11151282493501802</v>
          </cell>
          <cell r="AD102">
            <v>0.10818632947011167</v>
          </cell>
          <cell r="AE102">
            <v>0.10758392265257145</v>
          </cell>
        </row>
        <row r="103">
          <cell r="H103">
            <v>8.6178061192579855E-2</v>
          </cell>
          <cell r="I103">
            <v>7.2690772863602482E-2</v>
          </cell>
          <cell r="J103">
            <v>7.7786946955333336E-2</v>
          </cell>
          <cell r="K103">
            <v>6.7067408348589097E-2</v>
          </cell>
          <cell r="L103">
            <v>2.8450709843145752E-2</v>
          </cell>
          <cell r="M103">
            <v>7.6855577207534248E-2</v>
          </cell>
          <cell r="N103">
            <v>0.11062212381877858</v>
          </cell>
          <cell r="O103">
            <v>9.6546139517135726E-2</v>
          </cell>
          <cell r="P103">
            <v>0.13459171506402304</v>
          </cell>
          <cell r="Q103">
            <v>0.11394342348545834</v>
          </cell>
          <cell r="R103">
            <v>0.11624548833379195</v>
          </cell>
          <cell r="S103">
            <v>0.18323381811888867</v>
          </cell>
          <cell r="T103">
            <v>0.22502244567108176</v>
          </cell>
          <cell r="U103">
            <v>0.15657555571490342</v>
          </cell>
          <cell r="V103">
            <v>0.13345825565396569</v>
          </cell>
          <cell r="W103">
            <v>3.1553643203351134E-2</v>
          </cell>
          <cell r="X103">
            <v>4.2950174976605679E-2</v>
          </cell>
          <cell r="Y103">
            <v>4.4209094184116358E-2</v>
          </cell>
          <cell r="Z103">
            <v>0.1041</v>
          </cell>
          <cell r="AA103">
            <v>0.14449999999999999</v>
          </cell>
          <cell r="AB103">
            <v>0.12252214500704957</v>
          </cell>
          <cell r="AC103">
            <v>0.11151282493501802</v>
          </cell>
          <cell r="AD103">
            <v>0.10818632947011167</v>
          </cell>
          <cell r="AE103">
            <v>0.10758392265257145</v>
          </cell>
        </row>
        <row r="104">
          <cell r="H104">
            <v>8.6474074074074148E-2</v>
          </cell>
          <cell r="I104">
            <v>8.6474074074074037E-2</v>
          </cell>
          <cell r="J104">
            <v>8.6474074074074148E-2</v>
          </cell>
          <cell r="K104">
            <v>8.6474074074074148E-2</v>
          </cell>
          <cell r="L104">
            <v>8.6474074074073926E-2</v>
          </cell>
          <cell r="M104">
            <v>8.6474074074074148E-2</v>
          </cell>
          <cell r="N104">
            <v>8.6474074074074148E-2</v>
          </cell>
          <cell r="O104">
            <v>8.6474074074073926E-2</v>
          </cell>
          <cell r="P104">
            <v>8.6474074074074148E-2</v>
          </cell>
          <cell r="Q104">
            <v>8.6474074074074148E-2</v>
          </cell>
          <cell r="R104">
            <v>8.6474074074073926E-2</v>
          </cell>
          <cell r="S104">
            <v>8.6474074074074148E-2</v>
          </cell>
          <cell r="T104">
            <v>8.6474074074074148E-2</v>
          </cell>
          <cell r="U104">
            <v>8.6474074074073926E-2</v>
          </cell>
          <cell r="V104">
            <v>8.6474074074073926E-2</v>
          </cell>
          <cell r="W104">
            <v>8.647407407407437E-2</v>
          </cell>
          <cell r="X104">
            <v>8.6474074074073926E-2</v>
          </cell>
          <cell r="Y104">
            <v>8.647407407407437E-2</v>
          </cell>
          <cell r="Z104">
            <v>8.6474074074073926E-2</v>
          </cell>
          <cell r="AA104">
            <v>8.6474074074073926E-2</v>
          </cell>
          <cell r="AB104">
            <v>8.6474074074073926E-2</v>
          </cell>
          <cell r="AC104">
            <v>8.647407407407437E-2</v>
          </cell>
          <cell r="AD104">
            <v>8.6474074074073926E-2</v>
          </cell>
          <cell r="AE104">
            <v>8.647407407407437E-2</v>
          </cell>
        </row>
        <row r="105">
          <cell r="H105">
            <v>0.29699999999999999</v>
          </cell>
          <cell r="I105">
            <v>0.18059999999999998</v>
          </cell>
          <cell r="J105">
            <v>9.4500000000000001E-2</v>
          </cell>
          <cell r="K105">
            <v>0.46850000000000003</v>
          </cell>
          <cell r="L105">
            <v>0.1009</v>
          </cell>
          <cell r="M105">
            <v>0.13689999999999999</v>
          </cell>
          <cell r="N105">
            <v>0.37169999999999997</v>
          </cell>
          <cell r="O105">
            <v>0.29910000000000003</v>
          </cell>
          <cell r="P105">
            <v>0.4612</v>
          </cell>
          <cell r="Q105">
            <v>0.78410000000000002</v>
          </cell>
          <cell r="R105">
            <v>0.1585</v>
          </cell>
          <cell r="S105">
            <v>0.14169999999999999</v>
          </cell>
          <cell r="T105">
            <v>0.24959999999999999</v>
          </cell>
          <cell r="U105">
            <v>0.2296</v>
          </cell>
          <cell r="V105">
            <v>0.22839999999999999</v>
          </cell>
          <cell r="W105">
            <v>0.24010000000000001</v>
          </cell>
          <cell r="X105">
            <v>0.247</v>
          </cell>
          <cell r="Y105">
            <v>0.36219999999999997</v>
          </cell>
          <cell r="Z105">
            <v>0.39089999999999997</v>
          </cell>
          <cell r="AA105">
            <v>0.62470000000000003</v>
          </cell>
          <cell r="AB105">
            <v>0.54312269999999974</v>
          </cell>
          <cell r="AC105">
            <v>0.43204304999999998</v>
          </cell>
          <cell r="AD105">
            <v>0.39338529000000044</v>
          </cell>
          <cell r="AE105">
            <v>0.43886131999999956</v>
          </cell>
        </row>
        <row r="106">
          <cell r="H106">
            <v>9.4114999999999976E-2</v>
          </cell>
          <cell r="I106">
            <v>3.5979999999999998E-2</v>
          </cell>
          <cell r="J106">
            <v>4.9454999999999999E-2</v>
          </cell>
          <cell r="K106">
            <v>1.6729999999999998E-2</v>
          </cell>
          <cell r="L106">
            <v>8.9494999999999991E-2</v>
          </cell>
          <cell r="M106">
            <v>0.18592000000000003</v>
          </cell>
          <cell r="N106">
            <v>0.22197</v>
          </cell>
          <cell r="O106">
            <v>6.1249999999999999E-2</v>
          </cell>
          <cell r="P106">
            <v>0.23075499999999996</v>
          </cell>
          <cell r="Q106">
            <v>0.19785499999999995</v>
          </cell>
          <cell r="R106">
            <v>0.15771000000000002</v>
          </cell>
          <cell r="S106">
            <v>0.15168999999999996</v>
          </cell>
          <cell r="T106">
            <v>0.16621499999999997</v>
          </cell>
          <cell r="U106">
            <v>0.24384500000000001</v>
          </cell>
          <cell r="V106">
            <v>0.190085</v>
          </cell>
          <cell r="W106">
            <v>0.16197999999999999</v>
          </cell>
          <cell r="X106">
            <v>0.14038499999999998</v>
          </cell>
          <cell r="Y106">
            <v>0.31633</v>
          </cell>
          <cell r="Z106">
            <v>0.6502</v>
          </cell>
          <cell r="AA106">
            <v>0.64700000000000002</v>
          </cell>
          <cell r="AB106">
            <v>0.45748749999999927</v>
          </cell>
          <cell r="AC106">
            <v>0.5602725700000003</v>
          </cell>
          <cell r="AD106">
            <v>0.47068721000000047</v>
          </cell>
          <cell r="AE106">
            <v>0.54478340999999997</v>
          </cell>
        </row>
        <row r="107">
          <cell r="H107">
            <v>0.174785</v>
          </cell>
          <cell r="I107">
            <v>6.6820000000000004E-2</v>
          </cell>
          <cell r="J107">
            <v>9.184500000000001E-2</v>
          </cell>
          <cell r="K107">
            <v>3.107E-2</v>
          </cell>
          <cell r="L107">
            <v>0.16620499999999999</v>
          </cell>
          <cell r="M107">
            <v>0.34528000000000003</v>
          </cell>
          <cell r="N107">
            <v>0.41223000000000004</v>
          </cell>
          <cell r="O107">
            <v>0.11375</v>
          </cell>
          <cell r="P107">
            <v>0.42854499999999995</v>
          </cell>
          <cell r="Q107">
            <v>0.36744499999999997</v>
          </cell>
          <cell r="R107">
            <v>0.29289000000000004</v>
          </cell>
          <cell r="S107">
            <v>0.28170999999999996</v>
          </cell>
          <cell r="T107">
            <v>0.30868499999999999</v>
          </cell>
          <cell r="U107">
            <v>0.45285500000000001</v>
          </cell>
          <cell r="V107">
            <v>0.35301500000000002</v>
          </cell>
          <cell r="W107">
            <v>0.35450480000000001</v>
          </cell>
          <cell r="X107">
            <v>0.30724260000000003</v>
          </cell>
          <cell r="Y107">
            <v>0.6923108</v>
          </cell>
          <cell r="Z107">
            <v>0.6502</v>
          </cell>
          <cell r="AA107">
            <v>0.64700000000000002</v>
          </cell>
          <cell r="AB107">
            <v>0.45748749999999927</v>
          </cell>
          <cell r="AC107">
            <v>0.5602725700000003</v>
          </cell>
          <cell r="AD107">
            <v>0.47068721000000047</v>
          </cell>
          <cell r="AE107">
            <v>0.54478340999999997</v>
          </cell>
        </row>
        <row r="108">
          <cell r="H108">
            <v>0.16187400000000002</v>
          </cell>
          <cell r="I108">
            <v>0.40232200000000001</v>
          </cell>
          <cell r="J108">
            <v>0.21423400000000004</v>
          </cell>
          <cell r="K108">
            <v>0.16636200000000001</v>
          </cell>
          <cell r="L108">
            <v>0.14161000000000001</v>
          </cell>
          <cell r="M108">
            <v>0.21616506400000002</v>
          </cell>
          <cell r="N108">
            <v>0.43234400000000001</v>
          </cell>
          <cell r="O108">
            <v>0.29482056200000006</v>
          </cell>
          <cell r="P108">
            <v>0.20296021200000003</v>
          </cell>
          <cell r="Q108">
            <v>0.39565800000000001</v>
          </cell>
          <cell r="R108">
            <v>0.36665600000000004</v>
          </cell>
          <cell r="S108">
            <v>0.54201909199999998</v>
          </cell>
          <cell r="T108">
            <v>0.55654331400000001</v>
          </cell>
          <cell r="U108">
            <v>0.70082122600000007</v>
          </cell>
          <cell r="V108">
            <v>0.47504799999999997</v>
          </cell>
          <cell r="W108">
            <v>0.35580000000000001</v>
          </cell>
          <cell r="X108">
            <v>0.66449999999999998</v>
          </cell>
          <cell r="Y108">
            <v>1.038</v>
          </cell>
          <cell r="Z108">
            <v>0.46650000000000003</v>
          </cell>
          <cell r="AA108">
            <v>0.95889999999999997</v>
          </cell>
          <cell r="AB108">
            <v>0.46645769387703823</v>
          </cell>
          <cell r="AC108">
            <v>0.49047162329837557</v>
          </cell>
          <cell r="AD108">
            <v>0.51237945405876495</v>
          </cell>
          <cell r="AE108">
            <v>0.52849590625857834</v>
          </cell>
        </row>
        <row r="109">
          <cell r="H109">
            <v>0.31422600000000006</v>
          </cell>
          <cell r="I109">
            <v>1.1833</v>
          </cell>
          <cell r="J109">
            <v>0.63009999999999999</v>
          </cell>
          <cell r="K109">
            <v>0.48930000000000001</v>
          </cell>
          <cell r="L109">
            <v>0.41649999999999998</v>
          </cell>
          <cell r="M109">
            <v>0.63577960000000011</v>
          </cell>
          <cell r="N109">
            <v>1.2715999999999998</v>
          </cell>
          <cell r="O109">
            <v>0.86711930000000004</v>
          </cell>
          <cell r="P109">
            <v>0.59694180000000008</v>
          </cell>
          <cell r="Q109">
            <v>1.1637</v>
          </cell>
          <cell r="R109">
            <v>1.0784</v>
          </cell>
          <cell r="S109">
            <v>1.5941737999999999</v>
          </cell>
          <cell r="T109">
            <v>1.6368920999999999</v>
          </cell>
          <cell r="U109">
            <v>2.0612388999999998</v>
          </cell>
          <cell r="V109">
            <v>1.3971999999999998</v>
          </cell>
          <cell r="W109">
            <v>1.0427</v>
          </cell>
          <cell r="X109">
            <v>0.80215000000000003</v>
          </cell>
          <cell r="Y109">
            <v>0.2843</v>
          </cell>
          <cell r="Z109">
            <v>0.34749999999999998</v>
          </cell>
          <cell r="AA109">
            <v>0.2964</v>
          </cell>
          <cell r="AB109">
            <v>0.53927991626881955</v>
          </cell>
          <cell r="AC109">
            <v>0.4102555079683779</v>
          </cell>
          <cell r="AD109">
            <v>0.42249327104785911</v>
          </cell>
          <cell r="AE109">
            <v>0.42234898958167211</v>
          </cell>
        </row>
        <row r="131">
          <cell r="H131">
            <v>2.7637531750820971E-2</v>
          </cell>
          <cell r="I131">
            <v>6.7805425246072637E-2</v>
          </cell>
          <cell r="J131">
            <v>4.9110933933817151E-2</v>
          </cell>
          <cell r="K131">
            <v>3.8348970016221416E-2</v>
          </cell>
          <cell r="L131">
            <v>6.6037027419237657E-2</v>
          </cell>
          <cell r="M131">
            <v>2.9153301316679522E-2</v>
          </cell>
          <cell r="N131">
            <v>7.9577902207574089E-2</v>
          </cell>
          <cell r="O131">
            <v>0.19129011921134953</v>
          </cell>
          <cell r="P131">
            <v>0.14137077484240779</v>
          </cell>
          <cell r="Q131">
            <v>0.21059091834994842</v>
          </cell>
          <cell r="R131">
            <v>0.10413336917448265</v>
          </cell>
          <cell r="S131">
            <v>0.21539085530850052</v>
          </cell>
          <cell r="T131">
            <v>0.19139117051574009</v>
          </cell>
          <cell r="U131">
            <v>0.25454823575984653</v>
          </cell>
          <cell r="V131">
            <v>0.21195511095922112</v>
          </cell>
          <cell r="W131">
            <v>0.19125980382003235</v>
          </cell>
          <cell r="X131">
            <v>0.26220792463265175</v>
          </cell>
          <cell r="Y131">
            <v>0.21725019930928702</v>
          </cell>
          <cell r="Z131">
            <v>2.7993000000000001E-2</v>
          </cell>
          <cell r="AA131">
            <v>4.1474999999999998E-2</v>
          </cell>
          <cell r="AB131">
            <v>4.0846333382852616E-2</v>
          </cell>
          <cell r="AC131">
            <v>5.0886648139373152E-2</v>
          </cell>
          <cell r="AD131">
            <v>5.2535476840249826E-2</v>
          </cell>
          <cell r="AE131">
            <v>5.8530607733513491E-2</v>
          </cell>
        </row>
        <row r="132">
          <cell r="H132">
            <v>1.245184060327729E-2</v>
          </cell>
          <cell r="I132">
            <v>3.0549122650087968E-2</v>
          </cell>
          <cell r="J132">
            <v>2.2126488238364762E-2</v>
          </cell>
          <cell r="K132">
            <v>1.7277782482426805E-2</v>
          </cell>
          <cell r="L132">
            <v>2.9752386962492529E-2</v>
          </cell>
          <cell r="M132">
            <v>1.3134756906930521E-2</v>
          </cell>
          <cell r="N132">
            <v>3.585310594179475E-2</v>
          </cell>
          <cell r="O132">
            <v>8.6184037521038065E-2</v>
          </cell>
          <cell r="P132">
            <v>6.3693327254058227E-2</v>
          </cell>
          <cell r="Q132">
            <v>9.4879838454222556E-2</v>
          </cell>
          <cell r="R132">
            <v>4.6916350060977136E-2</v>
          </cell>
          <cell r="S132">
            <v>9.7042406749124469E-2</v>
          </cell>
          <cell r="T132">
            <v>8.6229565274614936E-2</v>
          </cell>
          <cell r="U132">
            <v>0.11468441126016633</v>
          </cell>
          <cell r="V132">
            <v>9.5494463127510462E-2</v>
          </cell>
          <cell r="W132">
            <v>8.6170379194964994E-2</v>
          </cell>
          <cell r="X132">
            <v>0.11813541498129401</v>
          </cell>
          <cell r="Y132">
            <v>9.78801174149391E-2</v>
          </cell>
          <cell r="Z132">
            <v>8.2645999999999997E-2</v>
          </cell>
          <cell r="AA132">
            <v>0.12245</v>
          </cell>
          <cell r="AB132">
            <v>0.12059393665413629</v>
          </cell>
          <cell r="AC132">
            <v>0.15023677069719693</v>
          </cell>
          <cell r="AD132">
            <v>0.15510474114740425</v>
          </cell>
          <cell r="AE132">
            <v>0.17280465140370652</v>
          </cell>
        </row>
        <row r="133">
          <cell r="H133">
            <v>1.461062764590175E-2</v>
          </cell>
          <cell r="I133">
            <v>3.5845452103839388E-2</v>
          </cell>
          <cell r="J133">
            <v>2.5962577827818099E-2</v>
          </cell>
          <cell r="K133">
            <v>2.0273247501351788E-2</v>
          </cell>
          <cell r="L133">
            <v>3.4910585618269804E-2</v>
          </cell>
          <cell r="M133">
            <v>1.5411941776389961E-2</v>
          </cell>
          <cell r="N133">
            <v>4.2068991850631177E-2</v>
          </cell>
          <cell r="O133">
            <v>0.10112584326761248</v>
          </cell>
          <cell r="P133">
            <v>7.4735897903533979E-2</v>
          </cell>
          <cell r="Q133">
            <v>0.11132924319582904</v>
          </cell>
          <cell r="R133">
            <v>5.5050280764540223E-2</v>
          </cell>
          <cell r="S133">
            <v>0.11386673794237505</v>
          </cell>
          <cell r="T133">
            <v>0.10117926420964501</v>
          </cell>
          <cell r="U133">
            <v>0.13456735297998723</v>
          </cell>
          <cell r="V133">
            <v>0.11205042591326843</v>
          </cell>
          <cell r="W133">
            <v>0.10110981698500271</v>
          </cell>
          <cell r="X133">
            <v>0.13861666038605433</v>
          </cell>
          <cell r="Y133">
            <v>0.11484968327577393</v>
          </cell>
          <cell r="Z133">
            <v>2.2661000000000001E-2</v>
          </cell>
          <cell r="AA133">
            <v>3.3575000000000001E-2</v>
          </cell>
          <cell r="AB133">
            <v>3.3066079405166406E-2</v>
          </cell>
          <cell r="AC133">
            <v>4.1193953255683029E-2</v>
          </cell>
          <cell r="AD133">
            <v>4.2528719346868915E-2</v>
          </cell>
          <cell r="AE133">
            <v>4.7381920546177597E-2</v>
          </cell>
        </row>
        <row r="134">
          <cell r="H134">
            <v>4.7323598598832305E-2</v>
          </cell>
          <cell r="I134">
            <v>6.3539377139690933E-2</v>
          </cell>
          <cell r="J134">
            <v>7.4493301011168897E-2</v>
          </cell>
          <cell r="K134">
            <v>5.6242276796304551E-2</v>
          </cell>
          <cell r="L134">
            <v>4.7356692024425905E-2</v>
          </cell>
          <cell r="M134">
            <v>0.13958806915375851</v>
          </cell>
          <cell r="N134">
            <v>9.9958692005435654E-2</v>
          </cell>
          <cell r="O134">
            <v>0.13430966777158107</v>
          </cell>
          <cell r="P134">
            <v>6.0114207590754469E-2</v>
          </cell>
          <cell r="Q134">
            <v>5.8310615895903861E-2</v>
          </cell>
          <cell r="R134">
            <v>7.3368124540986873E-2</v>
          </cell>
          <cell r="S134">
            <v>0.10579968162270412</v>
          </cell>
          <cell r="T134">
            <v>0.13090104493544141</v>
          </cell>
          <cell r="U134">
            <v>0.18562102415444087</v>
          </cell>
          <cell r="V134">
            <v>6.9612020736114513E-2</v>
          </cell>
          <cell r="W134">
            <v>8.6866670950193486E-2</v>
          </cell>
          <cell r="X134">
            <v>0.15042390425477303</v>
          </cell>
          <cell r="Y134">
            <v>6.9917599237908579E-2</v>
          </cell>
          <cell r="Z134">
            <v>6.0696E-2</v>
          </cell>
          <cell r="AA134">
            <v>0.20314799999999997</v>
          </cell>
          <cell r="AB134">
            <v>0.13470040401937183</v>
          </cell>
          <cell r="AC134">
            <v>0.11643600922484103</v>
          </cell>
          <cell r="AD134">
            <v>0.11439186666203939</v>
          </cell>
          <cell r="AE134">
            <v>0.11940706859733403</v>
          </cell>
        </row>
        <row r="135">
          <cell r="H135">
            <v>8.7405897783390932E-2</v>
          </cell>
          <cell r="I135">
            <v>0.11735617045042701</v>
          </cell>
          <cell r="J135">
            <v>0.13758788525203705</v>
          </cell>
          <cell r="K135">
            <v>0.10387854775026077</v>
          </cell>
          <cell r="L135">
            <v>8.746702078883388E-2</v>
          </cell>
          <cell r="M135">
            <v>0.25781683695828184</v>
          </cell>
          <cell r="N135">
            <v>0.18462203794037227</v>
          </cell>
          <cell r="O135">
            <v>0.24806771759013438</v>
          </cell>
          <cell r="P135">
            <v>0.11102993938708366</v>
          </cell>
          <cell r="Q135">
            <v>0.10769873559044393</v>
          </cell>
          <cell r="R135">
            <v>0.1355097030669774</v>
          </cell>
          <cell r="S135">
            <v>0.19541024840104954</v>
          </cell>
          <cell r="T135">
            <v>0.24177204802951249</v>
          </cell>
          <cell r="U135">
            <v>0.34283893752939848</v>
          </cell>
          <cell r="V135">
            <v>0.12857224194920477</v>
          </cell>
          <cell r="W135">
            <v>0.16044129327991158</v>
          </cell>
          <cell r="X135">
            <v>0.27783044376924665</v>
          </cell>
          <cell r="Y135">
            <v>0.12913664034838468</v>
          </cell>
          <cell r="Z135">
            <v>3.0348E-2</v>
          </cell>
          <cell r="AA135">
            <v>0.10157399999999998</v>
          </cell>
          <cell r="AB135">
            <v>6.7350202009685917E-2</v>
          </cell>
          <cell r="AC135">
            <v>5.8218004612420514E-2</v>
          </cell>
          <cell r="AD135">
            <v>5.7195933331019695E-2</v>
          </cell>
          <cell r="AE135">
            <v>5.9703534298667017E-2</v>
          </cell>
        </row>
        <row r="136">
          <cell r="H136">
            <v>2.1851474445847733E-2</v>
          </cell>
          <cell r="I136">
            <v>2.9339042612606753E-2</v>
          </cell>
          <cell r="J136">
            <v>3.4396971313009263E-2</v>
          </cell>
          <cell r="K136">
            <v>2.5969636937565193E-2</v>
          </cell>
          <cell r="L136">
            <v>2.186675519720847E-2</v>
          </cell>
          <cell r="M136">
            <v>6.4454209239570459E-2</v>
          </cell>
          <cell r="N136">
            <v>4.6155509485093067E-2</v>
          </cell>
          <cell r="O136">
            <v>6.2016929397533595E-2</v>
          </cell>
          <cell r="P136">
            <v>2.7757484846770916E-2</v>
          </cell>
          <cell r="Q136">
            <v>2.6924683897610983E-2</v>
          </cell>
          <cell r="R136">
            <v>3.3877425766744351E-2</v>
          </cell>
          <cell r="S136">
            <v>4.8852562100262384E-2</v>
          </cell>
          <cell r="T136">
            <v>6.0443012007378123E-2</v>
          </cell>
          <cell r="U136">
            <v>8.570973438234962E-2</v>
          </cell>
          <cell r="V136">
            <v>3.2143060487301194E-2</v>
          </cell>
          <cell r="W136">
            <v>4.0110323319977895E-2</v>
          </cell>
          <cell r="X136">
            <v>6.9457610942311662E-2</v>
          </cell>
          <cell r="Y136">
            <v>3.228416008709617E-2</v>
          </cell>
          <cell r="Z136">
            <v>0.18546000000000001</v>
          </cell>
          <cell r="AA136">
            <v>0.62073</v>
          </cell>
          <cell r="AB136">
            <v>0.41158456783696956</v>
          </cell>
          <cell r="AC136">
            <v>0.35577669485368096</v>
          </cell>
          <cell r="AD136">
            <v>0.34953070368956485</v>
          </cell>
          <cell r="AE136">
            <v>0.36485493182518736</v>
          </cell>
        </row>
        <row r="137">
          <cell r="H137">
            <v>4.2189029171929009E-2</v>
          </cell>
          <cell r="I137">
            <v>5.6645409797275316E-2</v>
          </cell>
          <cell r="J137">
            <v>6.6410842423784755E-2</v>
          </cell>
          <cell r="K137">
            <v>5.0140038515869477E-2</v>
          </cell>
          <cell r="L137">
            <v>4.2218531989531759E-2</v>
          </cell>
          <cell r="M137">
            <v>0.12444288464838921</v>
          </cell>
          <cell r="N137">
            <v>8.9113260569099004E-2</v>
          </cell>
          <cell r="O137">
            <v>0.11973718524075097</v>
          </cell>
          <cell r="P137">
            <v>5.3591868175390939E-2</v>
          </cell>
          <cell r="Q137">
            <v>5.1983964616041198E-2</v>
          </cell>
          <cell r="R137">
            <v>6.5407746625291335E-2</v>
          </cell>
          <cell r="S137">
            <v>9.432050787598395E-2</v>
          </cell>
          <cell r="T137">
            <v>0.11669839502766798</v>
          </cell>
          <cell r="U137">
            <v>0.16548130393381105</v>
          </cell>
          <cell r="V137">
            <v>6.2059176827379478E-2</v>
          </cell>
          <cell r="W137">
            <v>7.7441712449917086E-2</v>
          </cell>
          <cell r="X137">
            <v>0.13410304103366871</v>
          </cell>
          <cell r="Y137">
            <v>6.2331600326610628E-2</v>
          </cell>
          <cell r="Z137">
            <v>6.0696E-2</v>
          </cell>
          <cell r="AA137">
            <v>0.20314799999999997</v>
          </cell>
          <cell r="AB137">
            <v>0.13470040401937183</v>
          </cell>
          <cell r="AC137">
            <v>0.11643600922484103</v>
          </cell>
          <cell r="AD137">
            <v>0.11439186666203939</v>
          </cell>
          <cell r="AE137">
            <v>0.11940706859733403</v>
          </cell>
        </row>
        <row r="138">
          <cell r="H138">
            <v>8.3687999999999999E-2</v>
          </cell>
          <cell r="I138">
            <v>7.8474000000000002E-2</v>
          </cell>
          <cell r="J138">
            <v>0.23700600000000002</v>
          </cell>
          <cell r="K138">
            <v>0.23515800000000001</v>
          </cell>
          <cell r="L138">
            <v>0.27984000000000003</v>
          </cell>
          <cell r="M138">
            <v>0.176814</v>
          </cell>
          <cell r="N138">
            <v>8.4347999999999992E-2</v>
          </cell>
          <cell r="O138">
            <v>0.40854000000000001</v>
          </cell>
          <cell r="P138">
            <v>0.225324</v>
          </cell>
          <cell r="Q138">
            <v>5.4120000000000001E-2</v>
          </cell>
          <cell r="R138">
            <v>0.40906799999999999</v>
          </cell>
          <cell r="S138">
            <v>0.27079799999999998</v>
          </cell>
          <cell r="T138">
            <v>0.207372</v>
          </cell>
          <cell r="U138">
            <v>0.19912200000000002</v>
          </cell>
          <cell r="V138">
            <v>0.15206400000000003</v>
          </cell>
          <cell r="W138">
            <v>0.27260000000000001</v>
          </cell>
          <cell r="X138">
            <v>0.189</v>
          </cell>
          <cell r="Y138">
            <v>0.1072</v>
          </cell>
          <cell r="Z138">
            <v>0.44969999999999999</v>
          </cell>
          <cell r="AA138">
            <v>0.112</v>
          </cell>
          <cell r="AB138">
            <v>0.4401652614761517</v>
          </cell>
          <cell r="AC138">
            <v>0.21984801303614007</v>
          </cell>
          <cell r="AD138">
            <v>0.15364627260124672</v>
          </cell>
          <cell r="AE138">
            <v>0.15855763042086438</v>
          </cell>
        </row>
        <row r="139">
          <cell r="H139">
            <v>4.3112000000000004E-2</v>
          </cell>
          <cell r="I139">
            <v>4.0426000000000004E-2</v>
          </cell>
          <cell r="J139">
            <v>0.12209400000000002</v>
          </cell>
          <cell r="K139">
            <v>0.12114200000000001</v>
          </cell>
          <cell r="L139">
            <v>0.14416000000000001</v>
          </cell>
          <cell r="M139">
            <v>9.1086E-2</v>
          </cell>
          <cell r="N139">
            <v>4.3452000000000005E-2</v>
          </cell>
          <cell r="O139">
            <v>0.21046000000000001</v>
          </cell>
          <cell r="P139">
            <v>0.11607600000000001</v>
          </cell>
          <cell r="Q139">
            <v>2.7880000000000002E-2</v>
          </cell>
          <cell r="R139">
            <v>0.210732</v>
          </cell>
          <cell r="S139">
            <v>0.13950200000000001</v>
          </cell>
          <cell r="T139">
            <v>0.10682800000000001</v>
          </cell>
          <cell r="U139">
            <v>0.102578</v>
          </cell>
          <cell r="V139">
            <v>7.8336000000000017E-2</v>
          </cell>
          <cell r="W139">
            <v>0.14680000000000001</v>
          </cell>
          <cell r="X139">
            <v>0.24359999999999998</v>
          </cell>
          <cell r="Y139">
            <v>0.1031</v>
          </cell>
          <cell r="Z139">
            <v>0.1915</v>
          </cell>
          <cell r="AA139">
            <v>0.29419999999999996</v>
          </cell>
          <cell r="AB139">
            <v>0.35744725178671727</v>
          </cell>
          <cell r="AC139">
            <v>0.22417923952580085</v>
          </cell>
          <cell r="AD139">
            <v>0.17356368464901417</v>
          </cell>
          <cell r="AE139">
            <v>0.17526384939785247</v>
          </cell>
        </row>
        <row r="140">
          <cell r="H140">
            <v>0.1671</v>
          </cell>
          <cell r="I140">
            <v>7.1599999999999997E-2</v>
          </cell>
          <cell r="J140">
            <v>0.26939999999999997</v>
          </cell>
          <cell r="K140">
            <v>4.3299999999999998E-2</v>
          </cell>
          <cell r="L140">
            <v>4.5899999999999996E-2</v>
          </cell>
          <cell r="M140">
            <v>9.9299999999999999E-2</v>
          </cell>
          <cell r="N140">
            <v>0.22140000000000001</v>
          </cell>
          <cell r="O140">
            <v>0.3105</v>
          </cell>
          <cell r="P140">
            <v>0.33019999999999999</v>
          </cell>
          <cell r="Q140">
            <v>0.38160000000000005</v>
          </cell>
          <cell r="R140">
            <v>0.1825</v>
          </cell>
          <cell r="S140">
            <v>0.3387</v>
          </cell>
          <cell r="T140">
            <v>0.48710000000000003</v>
          </cell>
          <cell r="U140">
            <v>0.3115</v>
          </cell>
          <cell r="V140">
            <v>0.2233</v>
          </cell>
          <cell r="W140">
            <v>0.1108</v>
          </cell>
          <cell r="X140">
            <v>0.22839999999999999</v>
          </cell>
          <cell r="Y140">
            <v>0.25869999999999999</v>
          </cell>
          <cell r="Z140">
            <v>7.1999999999999995E-2</v>
          </cell>
          <cell r="AA140">
            <v>0.26689999999999997</v>
          </cell>
          <cell r="AB140">
            <v>0.13994319</v>
          </cell>
          <cell r="AC140">
            <v>0.13183231000000001</v>
          </cell>
          <cell r="AD140">
            <v>0.11379148000000006</v>
          </cell>
          <cell r="AE140">
            <v>0.11830017999999998</v>
          </cell>
        </row>
        <row r="141">
          <cell r="H141">
            <v>6.2100589823534016E-2</v>
          </cell>
          <cell r="I141">
            <v>8.3379812909919804E-2</v>
          </cell>
          <cell r="J141">
            <v>9.7754145239702855E-2</v>
          </cell>
          <cell r="K141">
            <v>7.3804162521046185E-2</v>
          </cell>
          <cell r="L141">
            <v>6.2144016809424593E-2</v>
          </cell>
          <cell r="M141">
            <v>0.18317502648648007</v>
          </cell>
          <cell r="N141">
            <v>0.13117121088250666</v>
          </cell>
          <cell r="O141">
            <v>0.17624842223693205</v>
          </cell>
          <cell r="P141">
            <v>7.8885119870244436E-2</v>
          </cell>
          <cell r="Q141">
            <v>7.6518349139207631E-2</v>
          </cell>
          <cell r="R141">
            <v>9.6277627719423012E-2</v>
          </cell>
          <cell r="S141">
            <v>0.13883607389219457</v>
          </cell>
          <cell r="T141">
            <v>0.17177544269020198</v>
          </cell>
          <cell r="U141">
            <v>0.24358196386028133</v>
          </cell>
          <cell r="V141">
            <v>9.1348664820841821E-2</v>
          </cell>
          <cell r="W141">
            <v>3.3659473654209432E-2</v>
          </cell>
          <cell r="X141">
            <v>5.7814844658594489E-2</v>
          </cell>
          <cell r="Y141">
            <v>2.6639964131567617E-2</v>
          </cell>
          <cell r="Z141">
            <v>4.7600000000000003E-2</v>
          </cell>
          <cell r="AA141">
            <v>2.12E-2</v>
          </cell>
          <cell r="AB141">
            <v>3.7391982114600208E-2</v>
          </cell>
          <cell r="AC141">
            <v>3.8556202084216395E-2</v>
          </cell>
          <cell r="AD141">
            <v>3.9254739655337212E-2</v>
          </cell>
          <cell r="AE141">
            <v>3.9612886681477867E-2</v>
          </cell>
        </row>
        <row r="142">
          <cell r="H142">
            <v>2.5129410176465982E-2</v>
          </cell>
          <cell r="I142">
            <v>3.3740187090080198E-2</v>
          </cell>
          <cell r="J142">
            <v>3.9556854760297154E-2</v>
          </cell>
          <cell r="K142">
            <v>2.9865337478953799E-2</v>
          </cell>
          <cell r="L142">
            <v>2.5146983190575397E-2</v>
          </cell>
          <cell r="M142">
            <v>7.4122973513519944E-2</v>
          </cell>
          <cell r="N142">
            <v>5.3079289117493357E-2</v>
          </cell>
          <cell r="O142">
            <v>7.1320077763067966E-2</v>
          </cell>
          <cell r="P142">
            <v>3.1921380129755567E-2</v>
          </cell>
          <cell r="Q142">
            <v>3.0963650860792346E-2</v>
          </cell>
          <cell r="R142">
            <v>3.8959372280576977E-2</v>
          </cell>
          <cell r="S142">
            <v>5.6180926107805416E-2</v>
          </cell>
          <cell r="T142">
            <v>6.9510057309798035E-2</v>
          </cell>
          <cell r="U142">
            <v>9.8567036139718664E-2</v>
          </cell>
          <cell r="V142">
            <v>3.6964835179158176E-2</v>
          </cell>
          <cell r="W142">
            <v>1.3620526345790574E-2</v>
          </cell>
          <cell r="X142">
            <v>2.3395155341405505E-2</v>
          </cell>
          <cell r="Y142">
            <v>1.0780035868432387E-2</v>
          </cell>
          <cell r="Z142">
            <v>4.7600000000000003E-2</v>
          </cell>
          <cell r="AA142">
            <v>2.12E-2</v>
          </cell>
          <cell r="AB142">
            <v>3.7391982114600208E-2</v>
          </cell>
          <cell r="AC142">
            <v>3.8556202084216395E-2</v>
          </cell>
          <cell r="AD142">
            <v>3.9254739655337212E-2</v>
          </cell>
          <cell r="AE142">
            <v>3.9612886681477867E-2</v>
          </cell>
        </row>
        <row r="143">
          <cell r="H143">
            <v>1.8200000000000001E-2</v>
          </cell>
          <cell r="I143">
            <v>2.7699999999999999E-2</v>
          </cell>
          <cell r="J143">
            <v>1.0199999999999999E-2</v>
          </cell>
          <cell r="K143">
            <v>7.4000000000000003E-3</v>
          </cell>
          <cell r="L143">
            <v>3.2199999999999999E-2</v>
          </cell>
          <cell r="M143">
            <v>1.3099999999999999E-2</v>
          </cell>
          <cell r="N143">
            <v>7.7200000000000005E-2</v>
          </cell>
          <cell r="O143">
            <v>4.1299999999999996E-2</v>
          </cell>
          <cell r="P143">
            <v>4.8000000000000001E-2</v>
          </cell>
          <cell r="Q143">
            <v>4.5499999999999999E-2</v>
          </cell>
          <cell r="R143">
            <v>5.1299999999999998E-2</v>
          </cell>
          <cell r="S143">
            <v>5.0299999999999997E-2</v>
          </cell>
          <cell r="T143">
            <v>2.52E-2</v>
          </cell>
          <cell r="U143">
            <v>3.0499999999999999E-2</v>
          </cell>
          <cell r="V143">
            <v>2.5999999999999999E-2</v>
          </cell>
          <cell r="W143">
            <v>6.9501599999999997E-2</v>
          </cell>
          <cell r="X143">
            <v>0.11937869999999999</v>
          </cell>
          <cell r="Y143">
            <v>5.5007399999999998E-2</v>
          </cell>
          <cell r="Z143">
            <v>0.3372</v>
          </cell>
          <cell r="AA143">
            <v>1.1285999999999998</v>
          </cell>
          <cell r="AB143">
            <v>0.74833557788539917</v>
          </cell>
          <cell r="AC143">
            <v>0.64686671791578354</v>
          </cell>
          <cell r="AD143">
            <v>0.63551037034466329</v>
          </cell>
          <cell r="AE143">
            <v>0.66337260331852244</v>
          </cell>
        </row>
        <row r="144">
          <cell r="H144">
            <v>1.6199999999999999E-2</v>
          </cell>
          <cell r="I144">
            <v>7.2800000000000004E-2</v>
          </cell>
          <cell r="J144">
            <v>0.23139999999999999</v>
          </cell>
          <cell r="K144">
            <v>6.2899999999999998E-2</v>
          </cell>
          <cell r="L144">
            <v>8.0299999999999996E-2</v>
          </cell>
          <cell r="M144">
            <v>0.1036</v>
          </cell>
          <cell r="N144">
            <v>0.13750000000000001</v>
          </cell>
          <cell r="O144">
            <v>0.12790000000000001</v>
          </cell>
          <cell r="P144">
            <v>0.24299999999999999</v>
          </cell>
          <cell r="Q144">
            <v>0.21619999999999998</v>
          </cell>
          <cell r="R144">
            <v>0.15919999999999998</v>
          </cell>
          <cell r="S144">
            <v>0.2424</v>
          </cell>
          <cell r="T144">
            <v>0.153</v>
          </cell>
          <cell r="U144">
            <v>0.15630000000000002</v>
          </cell>
          <cell r="V144">
            <v>0.32839999999999997</v>
          </cell>
          <cell r="W144">
            <v>0.2853</v>
          </cell>
          <cell r="X144">
            <v>8.43E-2</v>
          </cell>
          <cell r="Y144">
            <v>0.13190000000000002</v>
          </cell>
          <cell r="Z144">
            <v>0.14849999999999999</v>
          </cell>
          <cell r="AA144">
            <v>0.33030000000000004</v>
          </cell>
          <cell r="AB144">
            <v>0.26767490999999999</v>
          </cell>
          <cell r="AC144">
            <v>0.22668945999999998</v>
          </cell>
          <cell r="AD144">
            <v>0.21574797999999998</v>
          </cell>
          <cell r="AE144">
            <v>0.248752</v>
          </cell>
        </row>
        <row r="145">
          <cell r="H145">
            <v>5.5926000000000003E-2</v>
          </cell>
          <cell r="I145">
            <v>7.7945400000000012E-2</v>
          </cell>
          <cell r="J145">
            <v>3.9616200000000004E-2</v>
          </cell>
          <cell r="K145">
            <v>3.7861200000000005E-2</v>
          </cell>
          <cell r="L145">
            <v>4.8601800000000001E-2</v>
          </cell>
          <cell r="M145">
            <v>4.8461400000000002E-2</v>
          </cell>
          <cell r="N145">
            <v>0.1010412</v>
          </cell>
          <cell r="O145">
            <v>5.0918399999999996E-2</v>
          </cell>
          <cell r="P145">
            <v>5.8921200000000007E-2</v>
          </cell>
          <cell r="Q145">
            <v>8.45442E-2</v>
          </cell>
          <cell r="R145">
            <v>9.3974400000000013E-2</v>
          </cell>
          <cell r="S145">
            <v>5.9202000000000005E-2</v>
          </cell>
          <cell r="T145">
            <v>7.4201400000000001E-2</v>
          </cell>
          <cell r="U145">
            <v>0.1071486</v>
          </cell>
          <cell r="V145">
            <v>0.11398140000000001</v>
          </cell>
          <cell r="W145">
            <v>9.4021200000000013E-2</v>
          </cell>
          <cell r="X145">
            <v>5.4498600000000001E-2</v>
          </cell>
          <cell r="Y145">
            <v>5.9061600000000006E-2</v>
          </cell>
          <cell r="Z145">
            <v>0.3604</v>
          </cell>
          <cell r="AA145">
            <v>0.33529999999999999</v>
          </cell>
          <cell r="AB145">
            <v>0.18800158000000008</v>
          </cell>
          <cell r="AC145">
            <v>0.1901061300000001</v>
          </cell>
          <cell r="AD145">
            <v>0.24725164000000002</v>
          </cell>
          <cell r="AE145">
            <v>0.28489977000000005</v>
          </cell>
        </row>
        <row r="146">
          <cell r="H146">
            <v>0.18307400000000001</v>
          </cell>
          <cell r="I146">
            <v>0.25515460000000001</v>
          </cell>
          <cell r="J146">
            <v>0.12968380000000002</v>
          </cell>
          <cell r="K146">
            <v>0.12393880000000002</v>
          </cell>
          <cell r="L146">
            <v>0.1590982</v>
          </cell>
          <cell r="M146">
            <v>0.15863859999999999</v>
          </cell>
          <cell r="N146">
            <v>0.33075880000000002</v>
          </cell>
          <cell r="O146">
            <v>0.16668160000000001</v>
          </cell>
          <cell r="P146">
            <v>0.19287880000000002</v>
          </cell>
          <cell r="Q146">
            <v>0.2767558</v>
          </cell>
          <cell r="R146">
            <v>0.3076256</v>
          </cell>
          <cell r="S146">
            <v>0.193798</v>
          </cell>
          <cell r="T146">
            <v>0.24289860000000002</v>
          </cell>
          <cell r="U146">
            <v>0.35075139999999999</v>
          </cell>
          <cell r="V146">
            <v>0.37311860000000002</v>
          </cell>
          <cell r="W146">
            <v>0.30777879999999996</v>
          </cell>
          <cell r="X146">
            <v>0.17840139999999999</v>
          </cell>
          <cell r="Y146">
            <v>0.19333839999999999</v>
          </cell>
          <cell r="Z146">
            <v>0.3604</v>
          </cell>
          <cell r="AA146">
            <v>0.33529999999999999</v>
          </cell>
          <cell r="AB146">
            <v>0.18800158000000008</v>
          </cell>
          <cell r="AC146">
            <v>0.1901061300000001</v>
          </cell>
          <cell r="AD146">
            <v>0.24725164000000002</v>
          </cell>
          <cell r="AE146">
            <v>0.28489977000000005</v>
          </cell>
        </row>
        <row r="147">
          <cell r="H147">
            <v>0.13889000000000001</v>
          </cell>
          <cell r="I147">
            <v>8.6394000000000026E-2</v>
          </cell>
          <cell r="J147">
            <v>8.9862000000000011E-2</v>
          </cell>
          <cell r="K147">
            <v>0.10047000000000002</v>
          </cell>
          <cell r="L147">
            <v>9.1595999999999997E-2</v>
          </cell>
          <cell r="M147">
            <v>5.3102692600000008E-2</v>
          </cell>
          <cell r="N147">
            <v>7.5077616799999997E-2</v>
          </cell>
          <cell r="O147">
            <v>0.14943000000000001</v>
          </cell>
          <cell r="P147">
            <v>0.19896800000000001</v>
          </cell>
          <cell r="Q147">
            <v>0.17751400000000001</v>
          </cell>
          <cell r="R147">
            <v>0.29961847200000008</v>
          </cell>
          <cell r="S147">
            <v>0.32215000000000005</v>
          </cell>
          <cell r="T147">
            <v>0.23167600000000005</v>
          </cell>
          <cell r="U147">
            <v>0.13569400000000001</v>
          </cell>
          <cell r="V147">
            <v>0.19543199999999999</v>
          </cell>
          <cell r="W147">
            <v>7.3900000000000007E-2</v>
          </cell>
          <cell r="X147">
            <v>0.19789999999999999</v>
          </cell>
          <cell r="Y147">
            <v>0.19040000000000001</v>
          </cell>
          <cell r="Z147">
            <v>0.27250000000000002</v>
          </cell>
          <cell r="AA147">
            <v>0.30969999999999998</v>
          </cell>
          <cell r="AB147">
            <v>0.14437921709174992</v>
          </cell>
          <cell r="AC147">
            <v>0.12593667786924057</v>
          </cell>
          <cell r="AD147">
            <v>0.11274781687252457</v>
          </cell>
          <cell r="AE147">
            <v>0.11357810546743598</v>
          </cell>
        </row>
        <row r="148">
          <cell r="H148">
            <v>0.26961000000000002</v>
          </cell>
          <cell r="I148">
            <v>0.16770600000000002</v>
          </cell>
          <cell r="J148">
            <v>0.17443800000000001</v>
          </cell>
          <cell r="K148">
            <v>0.19503000000000001</v>
          </cell>
          <cell r="L148">
            <v>0.17780399999999999</v>
          </cell>
          <cell r="M148">
            <v>0.10308169740000001</v>
          </cell>
          <cell r="N148">
            <v>0.14573890320000002</v>
          </cell>
          <cell r="O148">
            <v>0.29006999999999999</v>
          </cell>
          <cell r="P148">
            <v>0.38623200000000002</v>
          </cell>
          <cell r="Q148">
            <v>0.344586</v>
          </cell>
          <cell r="R148">
            <v>0.58161232800000007</v>
          </cell>
          <cell r="S148">
            <v>0.62535000000000007</v>
          </cell>
          <cell r="T148">
            <v>0.44972400000000012</v>
          </cell>
          <cell r="U148">
            <v>0.26340600000000003</v>
          </cell>
          <cell r="V148">
            <v>0.37936799999999998</v>
          </cell>
          <cell r="W148">
            <v>0.15509999999999999</v>
          </cell>
          <cell r="X148">
            <v>0.2155</v>
          </cell>
          <cell r="Y148">
            <v>0.21199999999999999</v>
          </cell>
          <cell r="Z148">
            <v>0.20980000000000001</v>
          </cell>
          <cell r="AA148">
            <v>0.19269999999999998</v>
          </cell>
          <cell r="AB148">
            <v>0.28119913349861531</v>
          </cell>
          <cell r="AC148">
            <v>0.25254892801661488</v>
          </cell>
          <cell r="AD148">
            <v>0.26806078039084402</v>
          </cell>
          <cell r="AE148">
            <v>0.28886737875496393</v>
          </cell>
        </row>
        <row r="168">
          <cell r="G168" t="str">
            <v>Western MT portion of state</v>
          </cell>
        </row>
        <row r="169">
          <cell r="H169">
            <v>5.8452515664333813</v>
          </cell>
          <cell r="I169">
            <v>2.3942560490388454</v>
          </cell>
          <cell r="J169">
            <v>3.2535508684892789</v>
          </cell>
          <cell r="K169">
            <v>3.8808061249763441</v>
          </cell>
          <cell r="L169">
            <v>2.6785158945721284</v>
          </cell>
          <cell r="M169">
            <v>2.1289433230787926</v>
          </cell>
          <cell r="N169">
            <v>1.9047034050448099</v>
          </cell>
          <cell r="O169">
            <v>2.9945048391710078</v>
          </cell>
          <cell r="P169">
            <v>3.7348996623363648</v>
          </cell>
          <cell r="Q169">
            <v>4.3096744291447084</v>
          </cell>
          <cell r="R169">
            <v>4.6932151602156393</v>
          </cell>
          <cell r="S169">
            <v>6.7040926655271003</v>
          </cell>
          <cell r="T169">
            <v>8.0155996509731651</v>
          </cell>
          <cell r="U169">
            <v>8.5121404979223296</v>
          </cell>
          <cell r="V169">
            <v>5.7106188925677364</v>
          </cell>
          <cell r="W169">
            <v>3.9531865469773946</v>
          </cell>
          <cell r="X169">
            <v>3.613957014984337</v>
          </cell>
          <cell r="Y169">
            <v>4.2577960031375479</v>
          </cell>
          <cell r="Z169">
            <v>2.9053730099999999</v>
          </cell>
          <cell r="AA169">
            <v>5.76397475</v>
          </cell>
          <cell r="AB169">
            <v>4.1477159651255757</v>
          </cell>
          <cell r="AC169">
            <v>4.3042855770003277</v>
          </cell>
          <cell r="AD169">
            <v>3.9757692712668407</v>
          </cell>
          <cell r="AE169">
            <v>3.9080659306945158</v>
          </cell>
        </row>
        <row r="170">
          <cell r="H170">
            <v>2.6335253613638385</v>
          </cell>
          <cell r="I170">
            <v>1.0787104635412517</v>
          </cell>
          <cell r="J170">
            <v>1.4658579924699486</v>
          </cell>
          <cell r="K170">
            <v>1.7484621896089618</v>
          </cell>
          <cell r="L170">
            <v>1.2067811725468609</v>
          </cell>
          <cell r="M170">
            <v>0.95917620833130801</v>
          </cell>
          <cell r="N170">
            <v>0.85814693620145599</v>
          </cell>
          <cell r="O170">
            <v>1.3491471408980753</v>
          </cell>
          <cell r="P170">
            <v>1.6827253491356049</v>
          </cell>
          <cell r="Q170">
            <v>1.9416849350932321</v>
          </cell>
          <cell r="R170">
            <v>2.1144857514330568</v>
          </cell>
          <cell r="S170">
            <v>3.0204684706789751</v>
          </cell>
          <cell r="T170">
            <v>3.6113561114457378</v>
          </cell>
          <cell r="U170">
            <v>3.8350681105841429</v>
          </cell>
          <cell r="V170">
            <v>2.5728678247182866</v>
          </cell>
          <cell r="W170">
            <v>1.7810725357744892</v>
          </cell>
          <cell r="X170">
            <v>1.628235730433635</v>
          </cell>
          <cell r="Y170">
            <v>1.9183115782676574</v>
          </cell>
          <cell r="Z170">
            <v>2.52049922</v>
          </cell>
          <cell r="AA170">
            <v>4.3866505</v>
          </cell>
          <cell r="AB170">
            <v>3.3467175863389964</v>
          </cell>
          <cell r="AC170">
            <v>3.4921085643107492</v>
          </cell>
          <cell r="AD170">
            <v>3.2325006595168051</v>
          </cell>
          <cell r="AE170">
            <v>3.2055077433563333</v>
          </cell>
        </row>
        <row r="171">
          <cell r="H171">
            <v>3.0901020722027819</v>
          </cell>
          <cell r="I171">
            <v>1.2657274874199036</v>
          </cell>
          <cell r="J171">
            <v>1.7199951390407733</v>
          </cell>
          <cell r="K171">
            <v>2.0515946854146958</v>
          </cell>
          <cell r="L171">
            <v>1.4160019328810107</v>
          </cell>
          <cell r="M171">
            <v>1.1254694685898994</v>
          </cell>
          <cell r="N171">
            <v>1.0069246587537342</v>
          </cell>
          <cell r="O171">
            <v>1.5830500199309174</v>
          </cell>
          <cell r="P171">
            <v>1.9744609885280306</v>
          </cell>
          <cell r="Q171">
            <v>2.2783166357620592</v>
          </cell>
          <cell r="R171">
            <v>2.4810760883513034</v>
          </cell>
          <cell r="S171">
            <v>3.5441298637939256</v>
          </cell>
          <cell r="T171">
            <v>4.2374602375810966</v>
          </cell>
          <cell r="U171">
            <v>4.4999573914935276</v>
          </cell>
          <cell r="V171">
            <v>3.0189282827139783</v>
          </cell>
          <cell r="W171">
            <v>2.0898587172481164</v>
          </cell>
          <cell r="X171">
            <v>1.9105244545820284</v>
          </cell>
          <cell r="Y171">
            <v>2.2508910185947957</v>
          </cell>
          <cell r="Z171">
            <v>0.65600877000000002</v>
          </cell>
          <cell r="AA171">
            <v>1.1345497499999999</v>
          </cell>
          <cell r="AB171">
            <v>0.87002001760199665</v>
          </cell>
          <cell r="AC171">
            <v>0.90846325570362163</v>
          </cell>
          <cell r="AD171">
            <v>0.8416976698075469</v>
          </cell>
          <cell r="AE171">
            <v>0.83495356000334453</v>
          </cell>
        </row>
        <row r="172">
          <cell r="H172">
            <v>1.9601639052244866</v>
          </cell>
          <cell r="I172">
            <v>1.8139548177464644</v>
          </cell>
          <cell r="J172">
            <v>1.5990745699068862</v>
          </cell>
          <cell r="K172">
            <v>1.2830229881440107</v>
          </cell>
          <cell r="L172">
            <v>0.979871173680254</v>
          </cell>
          <cell r="M172">
            <v>1.241660719000097</v>
          </cell>
          <cell r="N172">
            <v>1.8848305823635303</v>
          </cell>
          <cell r="O172">
            <v>2.4988567954738619</v>
          </cell>
          <cell r="P172">
            <v>2.288456066580165</v>
          </cell>
          <cell r="Q172">
            <v>1.2544054066975698</v>
          </cell>
          <cell r="R172">
            <v>1.5651299718837426</v>
          </cell>
          <cell r="S172">
            <v>2.1687149616138099</v>
          </cell>
          <cell r="T172">
            <v>2.726992850636329</v>
          </cell>
          <cell r="U172">
            <v>2.3639545922978495</v>
          </cell>
          <cell r="V172">
            <v>2.12134434059036</v>
          </cell>
          <cell r="W172">
            <v>1.7332075021200439</v>
          </cell>
          <cell r="X172">
            <v>1.6498023915828299</v>
          </cell>
          <cell r="Y172">
            <v>1.7728331175696301</v>
          </cell>
          <cell r="Z172">
            <v>3.0494837200000005</v>
          </cell>
          <cell r="AA172">
            <v>3.9300753599999996</v>
          </cell>
          <cell r="AB172">
            <v>3.2949268651724135</v>
          </cell>
          <cell r="AC172">
            <v>3.0804508752407767</v>
          </cell>
          <cell r="AD172">
            <v>2.9901146137661283</v>
          </cell>
          <cell r="AE172">
            <v>3.1209850609635708</v>
          </cell>
        </row>
        <row r="173">
          <cell r="H173">
            <v>3.620390059325949</v>
          </cell>
          <cell r="I173">
            <v>3.3503443118873304</v>
          </cell>
          <cell r="J173">
            <v>2.9534640759282804</v>
          </cell>
          <cell r="K173">
            <v>2.3697220726198811</v>
          </cell>
          <cell r="L173">
            <v>1.8098057244890269</v>
          </cell>
          <cell r="M173">
            <v>2.2933266509713843</v>
          </cell>
          <cell r="N173">
            <v>3.4812506677195292</v>
          </cell>
          <cell r="O173">
            <v>4.6153468482405211</v>
          </cell>
          <cell r="P173">
            <v>4.2267402091062101</v>
          </cell>
          <cell r="Q173">
            <v>2.3168658767096826</v>
          </cell>
          <cell r="R173">
            <v>2.8907689691960035</v>
          </cell>
          <cell r="S173">
            <v>4.0055803841765441</v>
          </cell>
          <cell r="T173">
            <v>5.0367103393662491</v>
          </cell>
          <cell r="U173">
            <v>4.366184727635269</v>
          </cell>
          <cell r="V173">
            <v>3.9180876367586932</v>
          </cell>
          <cell r="W173">
            <v>3.2012053658879802</v>
          </cell>
          <cell r="X173">
            <v>3.0471575169907066</v>
          </cell>
          <cell r="Y173">
            <v>3.2743932171110264</v>
          </cell>
          <cell r="Z173">
            <v>1.21717136</v>
          </cell>
          <cell r="AA173">
            <v>1.5786711799999997</v>
          </cell>
          <cell r="AB173">
            <v>1.3199722007364803</v>
          </cell>
          <cell r="AC173">
            <v>1.2300279538780112</v>
          </cell>
          <cell r="AD173">
            <v>1.196371930895225</v>
          </cell>
          <cell r="AE173">
            <v>1.248350009064233</v>
          </cell>
        </row>
        <row r="174">
          <cell r="H174">
            <v>0.90509751483148726</v>
          </cell>
          <cell r="I174">
            <v>0.8375860779718326</v>
          </cell>
          <cell r="J174">
            <v>0.7383660189820701</v>
          </cell>
          <cell r="K174">
            <v>0.59243051815497028</v>
          </cell>
          <cell r="L174">
            <v>0.45245143112225672</v>
          </cell>
          <cell r="M174">
            <v>0.57333166274284608</v>
          </cell>
          <cell r="N174">
            <v>0.87031266692988229</v>
          </cell>
          <cell r="O174">
            <v>1.1538367120601303</v>
          </cell>
          <cell r="P174">
            <v>1.0566850522765525</v>
          </cell>
          <cell r="Q174">
            <v>0.57921646917742065</v>
          </cell>
          <cell r="R174">
            <v>0.72269224229900086</v>
          </cell>
          <cell r="S174">
            <v>1.001395096044136</v>
          </cell>
          <cell r="T174">
            <v>1.2591775848415623</v>
          </cell>
          <cell r="U174">
            <v>1.0915461819088172</v>
          </cell>
          <cell r="V174">
            <v>0.9795219091896733</v>
          </cell>
          <cell r="W174">
            <v>0.80030134147199505</v>
          </cell>
          <cell r="X174">
            <v>0.76178937924767665</v>
          </cell>
          <cell r="Y174">
            <v>0.81859830427775659</v>
          </cell>
          <cell r="Z174">
            <v>4.4185782000000007</v>
          </cell>
          <cell r="AA174">
            <v>5.8084251000000009</v>
          </cell>
          <cell r="AB174">
            <v>4.8341193729503171</v>
          </cell>
          <cell r="AC174">
            <v>4.4973948910402894</v>
          </cell>
          <cell r="AD174">
            <v>4.3749492047650769</v>
          </cell>
          <cell r="AE174">
            <v>4.5648201170153557</v>
          </cell>
        </row>
        <row r="175">
          <cell r="H175">
            <v>1.7474878206180771</v>
          </cell>
          <cell r="I175">
            <v>1.6171422923943721</v>
          </cell>
          <cell r="J175">
            <v>1.4255763651827631</v>
          </cell>
          <cell r="K175">
            <v>1.1438161060811387</v>
          </cell>
          <cell r="L175">
            <v>0.87355600070846262</v>
          </cell>
          <cell r="M175">
            <v>1.1069416072856728</v>
          </cell>
          <cell r="N175">
            <v>1.6803280979870585</v>
          </cell>
          <cell r="O175">
            <v>2.2277329992254882</v>
          </cell>
          <cell r="P175">
            <v>2.0401605670370717</v>
          </cell>
          <cell r="Q175">
            <v>1.1183035074153274</v>
          </cell>
          <cell r="R175">
            <v>1.3953147266212531</v>
          </cell>
          <cell r="S175">
            <v>1.9334112681655102</v>
          </cell>
          <cell r="T175">
            <v>2.4311164901558593</v>
          </cell>
          <cell r="U175">
            <v>2.1074675681580644</v>
          </cell>
          <cell r="V175">
            <v>1.8911803184612741</v>
          </cell>
          <cell r="W175">
            <v>1.5451559905199812</v>
          </cell>
          <cell r="X175">
            <v>1.4708002621787872</v>
          </cell>
          <cell r="Y175">
            <v>1.580482261041587</v>
          </cell>
          <cell r="Z175">
            <v>1.38987072</v>
          </cell>
          <cell r="AA175">
            <v>1.8173303599999999</v>
          </cell>
          <cell r="AB175">
            <v>1.5136049433773811</v>
          </cell>
          <cell r="AC175">
            <v>1.4027949732052674</v>
          </cell>
          <cell r="AD175">
            <v>1.3671049082637361</v>
          </cell>
          <cell r="AE175">
            <v>1.4256651163527188</v>
          </cell>
        </row>
        <row r="176">
          <cell r="H176">
            <v>2.3326221600000001</v>
          </cell>
          <cell r="I176">
            <v>2.1343561800000002</v>
          </cell>
          <cell r="J176">
            <v>2.7849274200000003</v>
          </cell>
          <cell r="K176">
            <v>3.7213380599999999</v>
          </cell>
          <cell r="L176">
            <v>3.8396688000000001</v>
          </cell>
          <cell r="M176">
            <v>4.5304399799999997</v>
          </cell>
          <cell r="N176">
            <v>3.8655843599999997</v>
          </cell>
          <cell r="O176">
            <v>3.7622019600000001</v>
          </cell>
          <cell r="P176">
            <v>4.9317826799999995</v>
          </cell>
          <cell r="Q176">
            <v>3.5256144000000003</v>
          </cell>
          <cell r="R176">
            <v>4.1166087600000001</v>
          </cell>
          <cell r="S176">
            <v>3.6865428600000003</v>
          </cell>
          <cell r="T176">
            <v>4.4936060400000004</v>
          </cell>
          <cell r="U176">
            <v>4.0552175400000001</v>
          </cell>
          <cell r="V176">
            <v>4.7025844800000005</v>
          </cell>
          <cell r="W176">
            <v>5.7826820000000012</v>
          </cell>
          <cell r="X176">
            <v>6.4745300000000006</v>
          </cell>
          <cell r="Y176">
            <v>4.3306040000000001</v>
          </cell>
          <cell r="Z176">
            <v>5.0644289999999996</v>
          </cell>
          <cell r="AA176">
            <v>4.8802399999999997</v>
          </cell>
          <cell r="AB176">
            <v>5.314560624425317</v>
          </cell>
          <cell r="AC176">
            <v>5.8392883922912757</v>
          </cell>
          <cell r="AD176">
            <v>5.5907307068579604</v>
          </cell>
          <cell r="AE176">
            <v>5.3970025110934667</v>
          </cell>
        </row>
        <row r="177">
          <cell r="H177">
            <v>1.2016538399999999</v>
          </cell>
          <cell r="I177">
            <v>1.0995168200000001</v>
          </cell>
          <cell r="J177">
            <v>1.4346595800000002</v>
          </cell>
          <cell r="K177">
            <v>1.91705294</v>
          </cell>
          <cell r="L177">
            <v>1.9780112000000001</v>
          </cell>
          <cell r="M177">
            <v>2.3338630200000003</v>
          </cell>
          <cell r="N177">
            <v>1.99136164</v>
          </cell>
          <cell r="O177">
            <v>1.93810404</v>
          </cell>
          <cell r="P177">
            <v>2.5406153199999997</v>
          </cell>
          <cell r="Q177">
            <v>1.8162256000000001</v>
          </cell>
          <cell r="R177">
            <v>2.12067724</v>
          </cell>
          <cell r="S177">
            <v>1.8991281399999997</v>
          </cell>
          <cell r="T177">
            <v>2.3148879600000005</v>
          </cell>
          <cell r="U177">
            <v>2.0890514600000003</v>
          </cell>
          <cell r="V177">
            <v>2.4225435200000001</v>
          </cell>
          <cell r="W177">
            <v>2.7598760000000002</v>
          </cell>
          <cell r="X177">
            <v>3.2231519999999998</v>
          </cell>
          <cell r="Y177">
            <v>1.711967</v>
          </cell>
          <cell r="Z177">
            <v>2.2422549999999997</v>
          </cell>
          <cell r="AA177">
            <v>1.9980939999999998</v>
          </cell>
          <cell r="AB177">
            <v>2.2146394799898173</v>
          </cell>
          <cell r="AC177">
            <v>2.4529568455976025</v>
          </cell>
          <cell r="AD177">
            <v>2.3252751304701671</v>
          </cell>
          <cell r="AE177">
            <v>2.2545756506342292</v>
          </cell>
        </row>
        <row r="178">
          <cell r="H178">
            <v>7.7681670999999994</v>
          </cell>
          <cell r="I178">
            <v>6.1909778999999991</v>
          </cell>
          <cell r="J178">
            <v>6.2494579999999997</v>
          </cell>
          <cell r="K178">
            <v>6.6152219000000008</v>
          </cell>
          <cell r="L178">
            <v>5.5810154000000001</v>
          </cell>
          <cell r="M178">
            <v>5.2429889000000003</v>
          </cell>
          <cell r="N178">
            <v>4.4018980000000001</v>
          </cell>
          <cell r="O178">
            <v>6.0446849999999994</v>
          </cell>
          <cell r="P178">
            <v>9.751614</v>
          </cell>
          <cell r="Q178">
            <v>11.116424999999998</v>
          </cell>
          <cell r="R178">
            <v>11.370925</v>
          </cell>
          <cell r="S178">
            <v>11.869458999999999</v>
          </cell>
          <cell r="T178">
            <v>10.888947</v>
          </cell>
          <cell r="U178">
            <v>9.4940550000000012</v>
          </cell>
          <cell r="V178">
            <v>10.433181000000001</v>
          </cell>
          <cell r="W178">
            <v>5.9005559999999999</v>
          </cell>
          <cell r="X178">
            <v>6.8123880000000003</v>
          </cell>
          <cell r="Y178">
            <v>6.1123589999999997</v>
          </cell>
          <cell r="Z178">
            <v>9.229140000000001</v>
          </cell>
          <cell r="AA178">
            <v>8.458632999999999</v>
          </cell>
          <cell r="AB178">
            <v>8.0452519383000087</v>
          </cell>
          <cell r="AC178">
            <v>7.6519041966999959</v>
          </cell>
          <cell r="AD178">
            <v>7.4193123636000031</v>
          </cell>
          <cell r="AE178">
            <v>7.7886886725999984</v>
          </cell>
        </row>
        <row r="179">
          <cell r="H179">
            <v>0.94562667569891845</v>
          </cell>
          <cell r="I179">
            <v>0.87797440847584418</v>
          </cell>
          <cell r="J179">
            <v>0.76896588931383225</v>
          </cell>
          <cell r="K179">
            <v>0.63948110135578418</v>
          </cell>
          <cell r="L179">
            <v>0.43394926096228958</v>
          </cell>
          <cell r="M179">
            <v>0.70856563684818685</v>
          </cell>
          <cell r="N179">
            <v>0.99833300111063006</v>
          </cell>
          <cell r="O179">
            <v>1.2788148464054281</v>
          </cell>
          <cell r="P179">
            <v>1.1413744588863326</v>
          </cell>
          <cell r="Q179">
            <v>0.71823731071012475</v>
          </cell>
          <cell r="R179">
            <v>0.84101134433644587</v>
          </cell>
          <cell r="S179">
            <v>1.2251082266483837</v>
          </cell>
          <cell r="T179">
            <v>1.5651012636603874</v>
          </cell>
          <cell r="U179">
            <v>1.2759510039866273</v>
          </cell>
          <cell r="V179">
            <v>1.107505460703968</v>
          </cell>
          <cell r="W179">
            <v>0.63798485303363595</v>
          </cell>
          <cell r="X179">
            <v>0.62624539967892912</v>
          </cell>
          <cell r="Y179">
            <v>0.67166554183832972</v>
          </cell>
          <cell r="Z179">
            <v>0.492732</v>
          </cell>
          <cell r="AA179">
            <v>0.49918399999999996</v>
          </cell>
          <cell r="AB179">
            <v>0.51242220696340901</v>
          </cell>
          <cell r="AC179">
            <v>0.56820095103565071</v>
          </cell>
          <cell r="AD179">
            <v>0.49314781500982674</v>
          </cell>
          <cell r="AE179">
            <v>0.5050087559041242</v>
          </cell>
        </row>
        <row r="180">
          <cell r="H180">
            <v>0.38265402430108175</v>
          </cell>
          <cell r="I180">
            <v>0.35527809152415585</v>
          </cell>
          <cell r="J180">
            <v>0.31116708068616789</v>
          </cell>
          <cell r="K180">
            <v>0.25877021364421587</v>
          </cell>
          <cell r="L180">
            <v>0.17560040903771046</v>
          </cell>
          <cell r="M180">
            <v>0.28672572315181322</v>
          </cell>
          <cell r="N180">
            <v>0.4039819838893699</v>
          </cell>
          <cell r="O180">
            <v>0.51748079859457219</v>
          </cell>
          <cell r="P180">
            <v>0.46186464611366751</v>
          </cell>
          <cell r="Q180">
            <v>0.29063942928987535</v>
          </cell>
          <cell r="R180">
            <v>0.34032074566355414</v>
          </cell>
          <cell r="S180">
            <v>0.49574806335161636</v>
          </cell>
          <cell r="T180">
            <v>0.63332847133961268</v>
          </cell>
          <cell r="U180">
            <v>0.51632192601337268</v>
          </cell>
          <cell r="V180">
            <v>0.44815933429603194</v>
          </cell>
          <cell r="W180">
            <v>0.25816474696636388</v>
          </cell>
          <cell r="X180">
            <v>0.25341430032107087</v>
          </cell>
          <cell r="Y180">
            <v>0.27179385816167018</v>
          </cell>
          <cell r="Z180">
            <v>0.492732</v>
          </cell>
          <cell r="AA180">
            <v>0.49918399999999996</v>
          </cell>
          <cell r="AB180">
            <v>0.51242220696340901</v>
          </cell>
          <cell r="AC180">
            <v>0.56820095103565071</v>
          </cell>
          <cell r="AD180">
            <v>0.49314781500982674</v>
          </cell>
          <cell r="AE180">
            <v>0.5050087559041242</v>
          </cell>
        </row>
        <row r="181">
          <cell r="H181">
            <v>0.40274807407407415</v>
          </cell>
          <cell r="I181">
            <v>0.37036307407407404</v>
          </cell>
          <cell r="J181">
            <v>0.48768807407407411</v>
          </cell>
          <cell r="K181">
            <v>0.46379207407407413</v>
          </cell>
          <cell r="L181">
            <v>0.53812807407407393</v>
          </cell>
          <cell r="M181">
            <v>0.42164107407407414</v>
          </cell>
          <cell r="N181">
            <v>0.43037807407407414</v>
          </cell>
          <cell r="O181">
            <v>0.50291507407407388</v>
          </cell>
          <cell r="P181">
            <v>0.48163407407407416</v>
          </cell>
          <cell r="Q181">
            <v>0.45580907407407417</v>
          </cell>
          <cell r="R181">
            <v>0.6205150740740738</v>
          </cell>
          <cell r="S181">
            <v>0.56234507407407419</v>
          </cell>
          <cell r="T181">
            <v>0.58473807407407419</v>
          </cell>
          <cell r="U181">
            <v>0.5404590740740739</v>
          </cell>
          <cell r="V181">
            <v>0.42069407407407394</v>
          </cell>
          <cell r="W181">
            <v>1.2428048860740741</v>
          </cell>
          <cell r="X181">
            <v>1.1604115330740739</v>
          </cell>
          <cell r="Y181">
            <v>1.2477731920740742</v>
          </cell>
          <cell r="Z181">
            <v>8.7690780740740752</v>
          </cell>
          <cell r="AA181">
            <v>11.037976074074074</v>
          </cell>
          <cell r="AB181">
            <v>9.3237041313177169</v>
          </cell>
          <cell r="AC181">
            <v>8.7162296123734357</v>
          </cell>
          <cell r="AD181">
            <v>8.4335868012343536</v>
          </cell>
          <cell r="AE181">
            <v>8.7947699601225242</v>
          </cell>
        </row>
        <row r="182">
          <cell r="H182">
            <v>1.2680339999999999</v>
          </cell>
          <cell r="I182">
            <v>3.2701959999999999</v>
          </cell>
          <cell r="J182">
            <v>2.1934979999999999</v>
          </cell>
          <cell r="K182">
            <v>2.1689530000000001</v>
          </cell>
          <cell r="L182">
            <v>1.452771</v>
          </cell>
          <cell r="M182">
            <v>0.90405199999999997</v>
          </cell>
          <cell r="N182">
            <v>1.359175</v>
          </cell>
          <cell r="O182">
            <v>1.5139029999999998</v>
          </cell>
          <cell r="P182">
            <v>2.30301</v>
          </cell>
          <cell r="Q182">
            <v>2.7516340000000001</v>
          </cell>
          <cell r="R182">
            <v>4.7814439999999996</v>
          </cell>
          <cell r="S182">
            <v>4.4062680000000007</v>
          </cell>
          <cell r="T182">
            <v>3.36571</v>
          </cell>
          <cell r="U182">
            <v>3.4345909999999997</v>
          </cell>
          <cell r="V182">
            <v>2.0285880000000001</v>
          </cell>
          <cell r="W182">
            <v>0.95992100000000002</v>
          </cell>
          <cell r="X182">
            <v>1.6628509999999999</v>
          </cell>
          <cell r="Y182">
            <v>1.8797829999999998</v>
          </cell>
          <cell r="Z182">
            <v>2.3661449999999999</v>
          </cell>
          <cell r="AA182">
            <v>3.0826709999999999</v>
          </cell>
          <cell r="AB182">
            <v>3.0169681880581578</v>
          </cell>
          <cell r="AC182">
            <v>2.5401827085011996</v>
          </cell>
          <cell r="AD182">
            <v>2.2922556070064219</v>
          </cell>
          <cell r="AE182">
            <v>2.6029925645564869</v>
          </cell>
        </row>
        <row r="183">
          <cell r="H183">
            <v>0.75905672000000002</v>
          </cell>
          <cell r="I183">
            <v>0.75352307799999996</v>
          </cell>
          <cell r="J183">
            <v>1.0492427340000001</v>
          </cell>
          <cell r="K183">
            <v>0.82287268399999991</v>
          </cell>
          <cell r="L183">
            <v>0.67738382599999991</v>
          </cell>
          <cell r="M183">
            <v>1.2262085980000001</v>
          </cell>
          <cell r="N183">
            <v>0.94672238399999986</v>
          </cell>
          <cell r="O183">
            <v>0.94664478799999996</v>
          </cell>
          <cell r="P183">
            <v>0.89970378400000006</v>
          </cell>
          <cell r="Q183">
            <v>0.77038129399999988</v>
          </cell>
          <cell r="R183">
            <v>1.1871685080000001</v>
          </cell>
          <cell r="S183">
            <v>1.3819149399999999</v>
          </cell>
          <cell r="T183">
            <v>2.1635749979999996</v>
          </cell>
          <cell r="U183">
            <v>1.9397220020000001</v>
          </cell>
          <cell r="V183">
            <v>1.5831111979999999</v>
          </cell>
          <cell r="W183">
            <v>1.026218284</v>
          </cell>
          <cell r="X183">
            <v>1.045345602</v>
          </cell>
          <cell r="Y183">
            <v>1.134643912</v>
          </cell>
          <cell r="Z183">
            <v>7.6951280000000004</v>
          </cell>
          <cell r="AA183">
            <v>4.5313210000000002</v>
          </cell>
          <cell r="AB183">
            <v>4.4960725606</v>
          </cell>
          <cell r="AC183">
            <v>4.5696217040999993</v>
          </cell>
          <cell r="AD183">
            <v>4.8413475147999998</v>
          </cell>
          <cell r="AE183">
            <v>5.1556288689000001</v>
          </cell>
        </row>
        <row r="184">
          <cell r="H184">
            <v>1.5868732800000001</v>
          </cell>
          <cell r="I184">
            <v>1.5850439220000003</v>
          </cell>
          <cell r="J184">
            <v>2.1840582660000001</v>
          </cell>
          <cell r="K184">
            <v>1.6983533159999999</v>
          </cell>
          <cell r="L184">
            <v>1.4102051739999999</v>
          </cell>
          <cell r="M184">
            <v>2.5247384019999997</v>
          </cell>
          <cell r="N184">
            <v>1.9978036160000001</v>
          </cell>
          <cell r="O184">
            <v>1.9580872119999999</v>
          </cell>
          <cell r="P184">
            <v>1.839522216</v>
          </cell>
          <cell r="Q184">
            <v>1.601259706</v>
          </cell>
          <cell r="R184">
            <v>2.454743492</v>
          </cell>
          <cell r="S184">
            <v>2.82329506</v>
          </cell>
          <cell r="T184">
            <v>4.3995720020000002</v>
          </cell>
          <cell r="U184">
            <v>3.9502809980000002</v>
          </cell>
          <cell r="V184">
            <v>3.2548358020000001</v>
          </cell>
          <cell r="W184">
            <v>3.1835925159999996</v>
          </cell>
          <cell r="X184">
            <v>3.2696349979999999</v>
          </cell>
          <cell r="Y184">
            <v>3.3710648879999998</v>
          </cell>
          <cell r="Z184">
            <v>7.6951280000000004</v>
          </cell>
          <cell r="AA184">
            <v>4.5313210000000002</v>
          </cell>
          <cell r="AB184">
            <v>4.4960725606</v>
          </cell>
          <cell r="AC184">
            <v>4.5696217040999993</v>
          </cell>
          <cell r="AD184">
            <v>4.8413475147999998</v>
          </cell>
          <cell r="AE184">
            <v>5.1556288689000001</v>
          </cell>
        </row>
        <row r="185">
          <cell r="H185">
            <v>2.0197172999999999</v>
          </cell>
          <cell r="I185">
            <v>2.4033025800000001</v>
          </cell>
          <cell r="J185">
            <v>1.6100873399999998</v>
          </cell>
          <cell r="K185">
            <v>2.2882799</v>
          </cell>
          <cell r="L185">
            <v>2.8939977200000002</v>
          </cell>
          <cell r="M185">
            <v>2.6208346827820002</v>
          </cell>
          <cell r="N185">
            <v>2.808180909576</v>
          </cell>
          <cell r="O185">
            <v>2.4410076620000001</v>
          </cell>
          <cell r="P185">
            <v>3.4118360120000002</v>
          </cell>
          <cell r="Q185">
            <v>4.6980795400000002</v>
          </cell>
          <cell r="R185">
            <v>5.0203619890400004</v>
          </cell>
          <cell r="S185">
            <v>6.1223928520000008</v>
          </cell>
          <cell r="T185">
            <v>6.8415446340000008</v>
          </cell>
          <cell r="U185">
            <v>6.7605348059999999</v>
          </cell>
          <cell r="V185">
            <v>5.2803142400000009</v>
          </cell>
          <cell r="W185">
            <v>4.7062230000000014</v>
          </cell>
          <cell r="X185">
            <v>4.0795029999999999</v>
          </cell>
          <cell r="Y185">
            <v>5.6370279999999999</v>
          </cell>
          <cell r="Z185">
            <v>3.2726250000000001</v>
          </cell>
          <cell r="AA185">
            <v>4.1234289999999998</v>
          </cell>
          <cell r="AB185">
            <v>4.1990751697822688</v>
          </cell>
          <cell r="AC185">
            <v>3.9559845486033547</v>
          </cell>
          <cell r="AD185">
            <v>4.2245626971251937</v>
          </cell>
          <cell r="AE185">
            <v>4.3471217789162413</v>
          </cell>
        </row>
        <row r="186">
          <cell r="H186">
            <v>3.9206276999999998</v>
          </cell>
          <cell r="I186">
            <v>5.0675564199999998</v>
          </cell>
          <cell r="J186">
            <v>3.3396976600000001</v>
          </cell>
          <cell r="K186">
            <v>4.6083171000000016</v>
          </cell>
          <cell r="L186">
            <v>5.7593702800000006</v>
          </cell>
          <cell r="M186">
            <v>5.3036676835180003</v>
          </cell>
          <cell r="N186">
            <v>5.8835187068239998</v>
          </cell>
          <cell r="O186">
            <v>5.0332471999999999</v>
          </cell>
          <cell r="P186">
            <v>6.8259360000000013</v>
          </cell>
          <cell r="Q186">
            <v>9.5154594599999989</v>
          </cell>
          <cell r="R186">
            <v>10.112064566960001</v>
          </cell>
          <cell r="S186">
            <v>12.42666404</v>
          </cell>
          <cell r="T186">
            <v>13.837188780000002</v>
          </cell>
          <cell r="U186">
            <v>13.824212319999997</v>
          </cell>
          <cell r="V186">
            <v>10.725069760000002</v>
          </cell>
          <cell r="W186">
            <v>7.2359570000000009</v>
          </cell>
          <cell r="X186">
            <v>9.5127849999999992</v>
          </cell>
          <cell r="Y186">
            <v>8.7675900000000002</v>
          </cell>
          <cell r="Z186">
            <v>3.607186</v>
          </cell>
          <cell r="AA186">
            <v>4.0182390000000003</v>
          </cell>
          <cell r="AB186">
            <v>4.2711939641417151</v>
          </cell>
          <cell r="AC186">
            <v>4.5946027044206739</v>
          </cell>
          <cell r="AD186">
            <v>4.429112704129059</v>
          </cell>
          <cell r="AE186">
            <v>4.328169119778071</v>
          </cell>
        </row>
        <row r="207">
          <cell r="G207" t="str">
            <v>Base</v>
          </cell>
          <cell r="H207">
            <v>42.389799174074071</v>
          </cell>
          <cell r="I207">
            <v>36.465809974074077</v>
          </cell>
          <cell r="J207">
            <v>35.569335074074075</v>
          </cell>
          <cell r="K207">
            <v>38.272286974074078</v>
          </cell>
          <cell r="L207">
            <v>34.157084474074075</v>
          </cell>
          <cell r="M207">
            <v>35.53257534037408</v>
          </cell>
          <cell r="N207">
            <v>36.773434690474069</v>
          </cell>
          <cell r="O207">
            <v>42.359566936074067</v>
          </cell>
          <cell r="P207">
            <v>51.593021086074074</v>
          </cell>
          <cell r="Q207">
            <v>51.05823207407407</v>
          </cell>
          <cell r="R207">
            <v>58.828523630074066</v>
          </cell>
          <cell r="S207">
            <v>69.276658966074081</v>
          </cell>
          <cell r="T207">
            <v>78.406612488074074</v>
          </cell>
          <cell r="U207">
            <v>74.656716200074086</v>
          </cell>
          <cell r="V207">
            <v>62.619136074074078</v>
          </cell>
          <cell r="W207">
            <v>48.797968286074081</v>
          </cell>
          <cell r="X207">
            <v>52.20252758307408</v>
          </cell>
          <cell r="Y207">
            <v>51.00957789207407</v>
          </cell>
          <cell r="Z207">
            <v>67.083563074074078</v>
          </cell>
          <cell r="AA207">
            <v>72.079969074074057</v>
          </cell>
          <cell r="AB207">
            <v>65.729459982444979</v>
          </cell>
          <cell r="AC207">
            <v>64.942320409137878</v>
          </cell>
          <cell r="AD207">
            <v>63.362334928324181</v>
          </cell>
          <cell r="AE207">
            <v>65.142943044759335</v>
          </cell>
        </row>
        <row r="208">
          <cell r="G208" t="str">
            <v>Low</v>
          </cell>
          <cell r="H208">
            <v>42.389799174074071</v>
          </cell>
          <cell r="I208">
            <v>36.465809974074077</v>
          </cell>
          <cell r="J208">
            <v>35.569335074074075</v>
          </cell>
          <cell r="K208">
            <v>38.272286974074078</v>
          </cell>
          <cell r="L208">
            <v>34.157084474074075</v>
          </cell>
          <cell r="M208">
            <v>35.53257534037408</v>
          </cell>
          <cell r="N208">
            <v>36.773434690474069</v>
          </cell>
          <cell r="O208">
            <v>42.359566936074067</v>
          </cell>
          <cell r="P208">
            <v>51.593021086074074</v>
          </cell>
          <cell r="Q208">
            <v>51.05823207407407</v>
          </cell>
          <cell r="R208">
            <v>58.828523630074066</v>
          </cell>
          <cell r="S208">
            <v>69.276658966074081</v>
          </cell>
          <cell r="T208">
            <v>78.406612488074074</v>
          </cell>
          <cell r="U208">
            <v>74.656716200074086</v>
          </cell>
          <cell r="V208">
            <v>62.619136074074078</v>
          </cell>
          <cell r="W208">
            <v>48.797968286074081</v>
          </cell>
          <cell r="X208">
            <v>52.20252758307408</v>
          </cell>
          <cell r="Y208">
            <v>51.00957789207407</v>
          </cell>
          <cell r="Z208">
            <v>67.083563074074078</v>
          </cell>
          <cell r="AA208">
            <v>72.079969074074057</v>
          </cell>
          <cell r="AB208">
            <v>65.729459982444979</v>
          </cell>
          <cell r="AC208">
            <v>64.942320409137878</v>
          </cell>
          <cell r="AD208">
            <v>63.362334928324181</v>
          </cell>
          <cell r="AE208">
            <v>65.142943044759335</v>
          </cell>
        </row>
        <row r="209">
          <cell r="G209" t="str">
            <v>High</v>
          </cell>
          <cell r="H209">
            <v>42.389799174074071</v>
          </cell>
          <cell r="I209">
            <v>36.465809974074077</v>
          </cell>
          <cell r="J209">
            <v>35.569335074074075</v>
          </cell>
          <cell r="K209">
            <v>38.272286974074078</v>
          </cell>
          <cell r="L209">
            <v>34.157084474074075</v>
          </cell>
          <cell r="M209">
            <v>35.53257534037408</v>
          </cell>
          <cell r="N209">
            <v>36.773434690474069</v>
          </cell>
          <cell r="O209">
            <v>42.359566936074067</v>
          </cell>
          <cell r="P209">
            <v>51.593021086074074</v>
          </cell>
          <cell r="Q209">
            <v>51.05823207407407</v>
          </cell>
          <cell r="R209">
            <v>58.828523630074066</v>
          </cell>
          <cell r="S209">
            <v>69.276658966074081</v>
          </cell>
          <cell r="T209">
            <v>78.406612488074074</v>
          </cell>
          <cell r="U209">
            <v>74.656716200074086</v>
          </cell>
          <cell r="V209">
            <v>62.619136074074078</v>
          </cell>
          <cell r="W209">
            <v>48.797968286074081</v>
          </cell>
          <cell r="X209">
            <v>52.20252758307408</v>
          </cell>
          <cell r="Y209">
            <v>51.00957789207407</v>
          </cell>
          <cell r="Z209">
            <v>67.083563074074078</v>
          </cell>
          <cell r="AA209">
            <v>72.079969074074057</v>
          </cell>
          <cell r="AB209">
            <v>65.729459982444979</v>
          </cell>
          <cell r="AC209">
            <v>64.942320409137878</v>
          </cell>
          <cell r="AD209">
            <v>63.362334928324181</v>
          </cell>
          <cell r="AE209">
            <v>65.142943044759335</v>
          </cell>
        </row>
        <row r="210">
          <cell r="G210" t="str">
            <v>Base</v>
          </cell>
        </row>
        <row r="211">
          <cell r="G211" t="str">
            <v>Low</v>
          </cell>
          <cell r="H211">
            <v>0</v>
          </cell>
          <cell r="I211">
            <v>0</v>
          </cell>
          <cell r="J211">
            <v>0</v>
          </cell>
          <cell r="K211">
            <v>0</v>
          </cell>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0</v>
          </cell>
          <cell r="AC211">
            <v>0</v>
          </cell>
          <cell r="AD211">
            <v>0</v>
          </cell>
          <cell r="AE211">
            <v>0</v>
          </cell>
        </row>
        <row r="212">
          <cell r="G212" t="str">
            <v>High</v>
          </cell>
          <cell r="H212">
            <v>0</v>
          </cell>
          <cell r="I212">
            <v>0</v>
          </cell>
          <cell r="J212">
            <v>0</v>
          </cell>
          <cell r="K212">
            <v>0</v>
          </cell>
          <cell r="L212">
            <v>0</v>
          </cell>
          <cell r="M212">
            <v>0</v>
          </cell>
          <cell r="N212">
            <v>0</v>
          </cell>
          <cell r="O212">
            <v>0</v>
          </cell>
          <cell r="P212">
            <v>0</v>
          </cell>
          <cell r="Q212">
            <v>0</v>
          </cell>
          <cell r="R212">
            <v>0</v>
          </cell>
          <cell r="S212">
            <v>0</v>
          </cell>
          <cell r="T212">
            <v>0</v>
          </cell>
          <cell r="U212">
            <v>0</v>
          </cell>
          <cell r="V212">
            <v>0</v>
          </cell>
          <cell r="W212">
            <v>0</v>
          </cell>
          <cell r="X212">
            <v>0</v>
          </cell>
          <cell r="Y212">
            <v>0</v>
          </cell>
          <cell r="Z212">
            <v>0</v>
          </cell>
          <cell r="AA212">
            <v>0</v>
          </cell>
          <cell r="AB212">
            <v>0</v>
          </cell>
          <cell r="AC212">
            <v>0</v>
          </cell>
          <cell r="AD212">
            <v>0</v>
          </cell>
          <cell r="AE212">
            <v>0</v>
          </cell>
        </row>
        <row r="214">
          <cell r="G214">
            <v>1986</v>
          </cell>
          <cell r="H214">
            <v>1987</v>
          </cell>
          <cell r="I214">
            <v>1988</v>
          </cell>
          <cell r="J214">
            <v>1989</v>
          </cell>
          <cell r="K214">
            <v>1990</v>
          </cell>
          <cell r="L214">
            <v>1991</v>
          </cell>
          <cell r="M214">
            <v>1992</v>
          </cell>
          <cell r="N214">
            <v>1993</v>
          </cell>
          <cell r="O214">
            <v>1994</v>
          </cell>
          <cell r="P214">
            <v>1995</v>
          </cell>
          <cell r="Q214">
            <v>1996</v>
          </cell>
          <cell r="R214">
            <v>1997</v>
          </cell>
          <cell r="S214">
            <v>1998</v>
          </cell>
          <cell r="T214">
            <v>1999</v>
          </cell>
          <cell r="U214">
            <v>2000</v>
          </cell>
          <cell r="V214">
            <v>2001</v>
          </cell>
          <cell r="W214">
            <v>2002</v>
          </cell>
          <cell r="X214">
            <v>2003</v>
          </cell>
          <cell r="Y214">
            <v>2004</v>
          </cell>
          <cell r="Z214">
            <v>2005</v>
          </cell>
          <cell r="AA214">
            <v>2006</v>
          </cell>
          <cell r="AB214">
            <v>2007</v>
          </cell>
          <cell r="AC214">
            <v>2008</v>
          </cell>
          <cell r="AD214">
            <v>2009</v>
          </cell>
          <cell r="AE214">
            <v>2010</v>
          </cell>
        </row>
        <row r="216">
          <cell r="G216">
            <v>208998.69198523989</v>
          </cell>
          <cell r="H216">
            <v>200145.98024940802</v>
          </cell>
          <cell r="I216">
            <v>204298.48758186327</v>
          </cell>
          <cell r="J216">
            <v>212514.47308934119</v>
          </cell>
          <cell r="K216">
            <v>218248.8879770175</v>
          </cell>
          <cell r="L216">
            <v>230735.79972918943</v>
          </cell>
          <cell r="M216">
            <v>231528.43027437758</v>
          </cell>
          <cell r="N216">
            <v>244878.83743148466</v>
          </cell>
          <cell r="O216">
            <v>242786.25970780815</v>
          </cell>
          <cell r="P216">
            <v>255559.09058324914</v>
          </cell>
          <cell r="Q216">
            <v>268008.32621918456</v>
          </cell>
          <cell r="R216">
            <v>265489.37581064156</v>
          </cell>
          <cell r="S216">
            <v>272482.6174634418</v>
          </cell>
          <cell r="T216">
            <v>284410.89610058442</v>
          </cell>
          <cell r="U216">
            <v>300017.95217937022</v>
          </cell>
          <cell r="V216">
            <v>317942.85702325829</v>
          </cell>
          <cell r="W216">
            <v>335695.10260296741</v>
          </cell>
          <cell r="X216">
            <v>348922.95366756298</v>
          </cell>
          <cell r="Y216">
            <v>353537.99027757213</v>
          </cell>
          <cell r="Z216">
            <v>354596.7797693297</v>
          </cell>
          <cell r="AA216">
            <v>359853.55392939574</v>
          </cell>
          <cell r="AB216">
            <v>355546.86718435638</v>
          </cell>
          <cell r="AC216">
            <v>351120.83370566339</v>
          </cell>
          <cell r="AD216">
            <v>353655.16843746061</v>
          </cell>
          <cell r="AE216">
            <v>360684.15806895884</v>
          </cell>
        </row>
        <row r="217">
          <cell r="G217">
            <v>73536.576809621445</v>
          </cell>
          <cell r="H217">
            <v>90173.965820167112</v>
          </cell>
          <cell r="I217">
            <v>92044.840537701777</v>
          </cell>
          <cell r="J217">
            <v>95746.478689050549</v>
          </cell>
          <cell r="K217">
            <v>98330.06758469365</v>
          </cell>
          <cell r="L217">
            <v>103955.93302619121</v>
          </cell>
          <cell r="M217">
            <v>104313.04556775086</v>
          </cell>
          <cell r="N217">
            <v>110327.95107407245</v>
          </cell>
          <cell r="O217">
            <v>109385.15905848605</v>
          </cell>
          <cell r="P217">
            <v>115139.84278160419</v>
          </cell>
          <cell r="Q217">
            <v>120748.73358881973</v>
          </cell>
          <cell r="R217">
            <v>119613.84320651177</v>
          </cell>
          <cell r="S217">
            <v>122764.58514490072</v>
          </cell>
          <cell r="T217">
            <v>128138.76347603065</v>
          </cell>
          <cell r="U217">
            <v>135170.38179605946</v>
          </cell>
          <cell r="V217">
            <v>143246.28596714657</v>
          </cell>
          <cell r="W217">
            <v>151244.40006437257</v>
          </cell>
          <cell r="X217">
            <v>157204.08902883093</v>
          </cell>
          <cell r="Y217">
            <v>159283.35213974226</v>
          </cell>
          <cell r="Z217">
            <v>162515.65727255808</v>
          </cell>
          <cell r="AA217">
            <v>167612.08530117007</v>
          </cell>
          <cell r="AB217">
            <v>168423.08861424751</v>
          </cell>
          <cell r="AC217">
            <v>169187.35438208625</v>
          </cell>
          <cell r="AD217">
            <v>173048.3572794295</v>
          </cell>
          <cell r="AE217">
            <v>179117.10252840212</v>
          </cell>
        </row>
        <row r="218">
          <cell r="G218">
            <v>104499.34599261994</v>
          </cell>
          <cell r="H218">
            <v>105807.50910078075</v>
          </cell>
          <cell r="I218">
            <v>108002.7390865257</v>
          </cell>
          <cell r="J218">
            <v>112346.13364419344</v>
          </cell>
          <cell r="K218">
            <v>115377.64171974598</v>
          </cell>
          <cell r="L218">
            <v>121978.86862029215</v>
          </cell>
          <cell r="M218">
            <v>122397.89409119615</v>
          </cell>
          <cell r="N218">
            <v>129455.60928994505</v>
          </cell>
          <cell r="O218">
            <v>128349.36455664544</v>
          </cell>
          <cell r="P218">
            <v>135101.74308261863</v>
          </cell>
          <cell r="Q218">
            <v>141683.05244094582</v>
          </cell>
          <cell r="R218">
            <v>140351.40507064035</v>
          </cell>
          <cell r="S218">
            <v>144048.39403289961</v>
          </cell>
          <cell r="T218">
            <v>150354.29859757473</v>
          </cell>
          <cell r="U218">
            <v>158604.99504441186</v>
          </cell>
          <cell r="V218">
            <v>168081.02613950011</v>
          </cell>
          <cell r="W218">
            <v>177465.78062417047</v>
          </cell>
          <cell r="X218">
            <v>184458.70633847601</v>
          </cell>
          <cell r="Y218">
            <v>186898.45320476568</v>
          </cell>
          <cell r="Z218">
            <v>186028.83658052023</v>
          </cell>
          <cell r="AA218">
            <v>187392.62346713556</v>
          </cell>
          <cell r="AB218">
            <v>183688.58010542323</v>
          </cell>
          <cell r="AC218">
            <v>179917.79537687683</v>
          </cell>
          <cell r="AD218">
            <v>179846.95356055681</v>
          </cell>
          <cell r="AE218">
            <v>182057.43147324634</v>
          </cell>
        </row>
        <row r="219">
          <cell r="G219">
            <v>13423.836588687245</v>
          </cell>
          <cell r="H219">
            <v>21791.875763514865</v>
          </cell>
          <cell r="I219">
            <v>22224.659925521173</v>
          </cell>
          <cell r="J219">
            <v>22732.952835002077</v>
          </cell>
          <cell r="K219">
            <v>23080.895311996119</v>
          </cell>
          <cell r="L219">
            <v>24394.967985397427</v>
          </cell>
          <cell r="M219">
            <v>24342.77819338522</v>
          </cell>
          <cell r="N219">
            <v>25847.114822320538</v>
          </cell>
          <cell r="O219">
            <v>25597.201842348808</v>
          </cell>
          <cell r="P219">
            <v>26685.15216798272</v>
          </cell>
          <cell r="Q219">
            <v>27183.979842094126</v>
          </cell>
          <cell r="R219">
            <v>26370.318525564584</v>
          </cell>
          <cell r="S219">
            <v>26408.046610476242</v>
          </cell>
          <cell r="T219">
            <v>27113.984701041256</v>
          </cell>
          <cell r="U219">
            <v>28084.473978898819</v>
          </cell>
          <cell r="V219">
            <v>29362.800335296797</v>
          </cell>
          <cell r="W219">
            <v>30805.387561284086</v>
          </cell>
          <cell r="X219">
            <v>32039.384416567875</v>
          </cell>
          <cell r="Y219">
            <v>32288.612309161115</v>
          </cell>
          <cell r="Z219">
            <v>32756.354184115167</v>
          </cell>
          <cell r="AA219">
            <v>33718.918515821199</v>
          </cell>
          <cell r="AB219">
            <v>33600.302576498187</v>
          </cell>
          <cell r="AC219">
            <v>33338.384168395656</v>
          </cell>
          <cell r="AD219">
            <v>33752.759044080267</v>
          </cell>
          <cell r="AE219">
            <v>34616.681984882525</v>
          </cell>
        </row>
        <row r="220">
          <cell r="G220">
            <v>42956.277083799177</v>
          </cell>
          <cell r="H220">
            <v>40249.231290308788</v>
          </cell>
          <cell r="I220">
            <v>41048.576423532184</v>
          </cell>
          <cell r="J220">
            <v>41987.384954699257</v>
          </cell>
          <cell r="K220">
            <v>42630.028909915964</v>
          </cell>
          <cell r="L220">
            <v>45057.099233644389</v>
          </cell>
          <cell r="M220">
            <v>44960.705557740206</v>
          </cell>
          <cell r="N220">
            <v>47739.190235863898</v>
          </cell>
          <cell r="O220">
            <v>47277.605127611147</v>
          </cell>
          <cell r="P220">
            <v>49287.03124420641</v>
          </cell>
          <cell r="Q220">
            <v>50208.35764342035</v>
          </cell>
          <cell r="R220">
            <v>48705.538754566136</v>
          </cell>
          <cell r="S220">
            <v>48775.221898515229</v>
          </cell>
          <cell r="T220">
            <v>50079.077784632274</v>
          </cell>
          <cell r="U220">
            <v>51871.555303921945</v>
          </cell>
          <cell r="V220">
            <v>54232.602775994215</v>
          </cell>
          <cell r="W220">
            <v>56897.037336162713</v>
          </cell>
          <cell r="X220">
            <v>59176.208958597657</v>
          </cell>
          <cell r="Y220">
            <v>59636.528721881943</v>
          </cell>
          <cell r="Z220">
            <v>59267.380594230824</v>
          </cell>
          <cell r="AA220">
            <v>59661.108667141169</v>
          </cell>
          <cell r="AB220">
            <v>58346.611071043306</v>
          </cell>
          <cell r="AC220">
            <v>56953.433458145395</v>
          </cell>
          <cell r="AD220">
            <v>56761.820168837978</v>
          </cell>
          <cell r="AE220">
            <v>57298.25438694148</v>
          </cell>
        </row>
        <row r="221">
          <cell r="G221">
            <v>10739.069270949794</v>
          </cell>
          <cell r="H221">
            <v>10062.307822577197</v>
          </cell>
          <cell r="I221">
            <v>10262.144105883046</v>
          </cell>
          <cell r="J221">
            <v>10496.846238674814</v>
          </cell>
          <cell r="K221">
            <v>10657.507227478991</v>
          </cell>
          <cell r="L221">
            <v>11264.274808411097</v>
          </cell>
          <cell r="M221">
            <v>11240.176389435052</v>
          </cell>
          <cell r="N221">
            <v>11934.797558965975</v>
          </cell>
          <cell r="O221">
            <v>11819.401281902787</v>
          </cell>
          <cell r="P221">
            <v>12321.757811051602</v>
          </cell>
          <cell r="Q221">
            <v>12552.089410855087</v>
          </cell>
          <cell r="R221">
            <v>12176.384688641534</v>
          </cell>
          <cell r="S221">
            <v>12193.805474628807</v>
          </cell>
          <cell r="T221">
            <v>12519.769446158069</v>
          </cell>
          <cell r="U221">
            <v>12967.888825980486</v>
          </cell>
          <cell r="V221">
            <v>13558.150693998554</v>
          </cell>
          <cell r="W221">
            <v>14224.259334040678</v>
          </cell>
          <cell r="X221">
            <v>14794.052239649414</v>
          </cell>
          <cell r="Y221">
            <v>14909.132180470486</v>
          </cell>
          <cell r="Z221">
            <v>16089.783930114661</v>
          </cell>
          <cell r="AA221">
            <v>17617.092653342384</v>
          </cell>
          <cell r="AB221">
            <v>18419.311769849035</v>
          </cell>
          <cell r="AC221">
            <v>19009.848165719726</v>
          </cell>
          <cell r="AD221">
            <v>19949.851202602753</v>
          </cell>
          <cell r="AE221">
            <v>21177.433659989274</v>
          </cell>
        </row>
        <row r="222">
          <cell r="G222">
            <v>22373.060981145409</v>
          </cell>
          <cell r="H222">
            <v>19427.476132820269</v>
          </cell>
          <cell r="I222">
            <v>19813.303588395116</v>
          </cell>
          <cell r="J222">
            <v>20266.447157796101</v>
          </cell>
          <cell r="K222">
            <v>20576.638177640001</v>
          </cell>
          <cell r="L222">
            <v>21748.135105042526</v>
          </cell>
          <cell r="M222">
            <v>21701.60786022446</v>
          </cell>
          <cell r="N222">
            <v>23042.725268910268</v>
          </cell>
          <cell r="O222">
            <v>22819.927630635757</v>
          </cell>
          <cell r="P222">
            <v>23789.836288996135</v>
          </cell>
          <cell r="Q222">
            <v>24234.541592860558</v>
          </cell>
          <cell r="R222">
            <v>23509.161823876082</v>
          </cell>
          <cell r="S222">
            <v>23542.796444278309</v>
          </cell>
          <cell r="T222">
            <v>24172.140863938701</v>
          </cell>
          <cell r="U222">
            <v>25037.332896388816</v>
          </cell>
          <cell r="V222">
            <v>26176.96195119722</v>
          </cell>
          <cell r="W222">
            <v>27463.02971362921</v>
          </cell>
          <cell r="X222">
            <v>28563.138979768595</v>
          </cell>
          <cell r="Y222">
            <v>28785.325862051341</v>
          </cell>
          <cell r="Z222">
            <v>28924.071606197242</v>
          </cell>
          <cell r="AA222">
            <v>29469.866159102188</v>
          </cell>
          <cell r="AB222">
            <v>29116.933433380244</v>
          </cell>
          <cell r="AC222">
            <v>28678.217716061263</v>
          </cell>
          <cell r="AD222">
            <v>28831.690819149815</v>
          </cell>
          <cell r="AE222">
            <v>29362.860829323748</v>
          </cell>
        </row>
        <row r="223">
          <cell r="G223">
            <v>4115.706901028545</v>
          </cell>
          <cell r="H223">
            <v>4205.010520242442</v>
          </cell>
          <cell r="I223">
            <v>4292.0902136220993</v>
          </cell>
          <cell r="J223">
            <v>4385.1340717390349</v>
          </cell>
          <cell r="K223">
            <v>4578.7455890095252</v>
          </cell>
          <cell r="L223">
            <v>4925.2542379471824</v>
          </cell>
          <cell r="M223">
            <v>5059.9086971479355</v>
          </cell>
          <cell r="N223">
            <v>5491.2305796720329</v>
          </cell>
          <cell r="O223">
            <v>5593.5954805401325</v>
          </cell>
          <cell r="P223">
            <v>5926.3175733184044</v>
          </cell>
          <cell r="Q223">
            <v>6182.9348882424329</v>
          </cell>
          <cell r="R223">
            <v>6169.7723192810736</v>
          </cell>
          <cell r="S223">
            <v>6245.6036993975076</v>
          </cell>
          <cell r="T223">
            <v>6577.8422959626059</v>
          </cell>
          <cell r="U223">
            <v>6928.8339007962168</v>
          </cell>
          <cell r="V223">
            <v>7490.3140941843267</v>
          </cell>
          <cell r="W223">
            <v>8257.6043067687824</v>
          </cell>
          <cell r="X223">
            <v>8802.0048065065639</v>
          </cell>
          <cell r="Y223">
            <v>9009.5800347258555</v>
          </cell>
          <cell r="Z223">
            <v>9145.9892087019052</v>
          </cell>
          <cell r="AA223">
            <v>9211.6710302419669</v>
          </cell>
          <cell r="AB223">
            <v>9178.9855009367984</v>
          </cell>
          <cell r="AC223">
            <v>9148.5358510380192</v>
          </cell>
          <cell r="AD223">
            <v>9307.2672479613648</v>
          </cell>
          <cell r="AE223">
            <v>9585.7986641014031</v>
          </cell>
        </row>
        <row r="224">
          <cell r="G224">
            <v>7052.2389172900575</v>
          </cell>
          <cell r="H224">
            <v>7205.2601294462738</v>
          </cell>
          <cell r="I224">
            <v>7354.4706581173587</v>
          </cell>
          <cell r="J224">
            <v>7513.9007470440247</v>
          </cell>
          <cell r="K224">
            <v>7845.6529125321231</v>
          </cell>
          <cell r="L224">
            <v>8439.3933896795734</v>
          </cell>
          <cell r="M224">
            <v>8670.1229922479361</v>
          </cell>
          <cell r="N224">
            <v>9409.1904328995261</v>
          </cell>
          <cell r="O224">
            <v>9584.5920722840365</v>
          </cell>
          <cell r="P224">
            <v>10154.709368719003</v>
          </cell>
          <cell r="Q224">
            <v>10594.421587950512</v>
          </cell>
          <cell r="R224">
            <v>10571.867605533151</v>
          </cell>
          <cell r="S224">
            <v>10701.80421736411</v>
          </cell>
          <cell r="T224">
            <v>11271.093045957972</v>
          </cell>
          <cell r="U224">
            <v>11872.515040957445</v>
          </cell>
          <cell r="V224">
            <v>12834.607961157768</v>
          </cell>
          <cell r="W224">
            <v>14047.589314524124</v>
          </cell>
          <cell r="X224">
            <v>15152.652396838437</v>
          </cell>
          <cell r="Y224">
            <v>15479.510456527292</v>
          </cell>
          <cell r="Z224">
            <v>15798.174448709171</v>
          </cell>
          <cell r="AA224">
            <v>16024.318633545427</v>
          </cell>
          <cell r="AB224">
            <v>15915.266706434264</v>
          </cell>
          <cell r="AC224">
            <v>15890.102655033168</v>
          </cell>
          <cell r="AD224">
            <v>16206.894670169306</v>
          </cell>
          <cell r="AE224">
            <v>16751.236087215875</v>
          </cell>
        </row>
        <row r="225">
          <cell r="G225">
            <v>50887.549088008323</v>
          </cell>
          <cell r="H225">
            <v>52096.128378848516</v>
          </cell>
          <cell r="I225">
            <v>53891.473390088919</v>
          </cell>
          <cell r="J225">
            <v>55301.704088136066</v>
          </cell>
          <cell r="K225">
            <v>56320.720929326286</v>
          </cell>
          <cell r="L225">
            <v>59598.948196798665</v>
          </cell>
          <cell r="M225">
            <v>59875.038133999398</v>
          </cell>
          <cell r="N225">
            <v>63090.538108352572</v>
          </cell>
          <cell r="O225">
            <v>62290.990920621967</v>
          </cell>
          <cell r="P225">
            <v>65911.63038498332</v>
          </cell>
          <cell r="Q225">
            <v>68983.639135362406</v>
          </cell>
          <cell r="R225">
            <v>69732.96582170199</v>
          </cell>
          <cell r="S225">
            <v>71331.440918664593</v>
          </cell>
          <cell r="T225">
            <v>74031.11753504441</v>
          </cell>
          <cell r="U225">
            <v>76942.356081206293</v>
          </cell>
          <cell r="V225">
            <v>81143.432123224557</v>
          </cell>
          <cell r="W225">
            <v>85690.254182846576</v>
          </cell>
          <cell r="X225">
            <v>88772.478710730531</v>
          </cell>
          <cell r="Y225">
            <v>89611.133454044131</v>
          </cell>
          <cell r="Z225">
            <v>90910.782716700836</v>
          </cell>
          <cell r="AA225">
            <v>92712.944275381815</v>
          </cell>
          <cell r="AB225">
            <v>92106.864078517261</v>
          </cell>
          <cell r="AC225">
            <v>91226.675126907721</v>
          </cell>
          <cell r="AD225">
            <v>92126.824590314762</v>
          </cell>
          <cell r="AE225">
            <v>94226.839366206506</v>
          </cell>
        </row>
        <row r="226">
          <cell r="G226">
            <v>19812.879259651741</v>
          </cell>
          <cell r="H226">
            <v>18032.884427272984</v>
          </cell>
          <cell r="I226">
            <v>18390.850686182566</v>
          </cell>
          <cell r="J226">
            <v>18811.272058336421</v>
          </cell>
          <cell r="K226">
            <v>19099.063705396456</v>
          </cell>
          <cell r="L226">
            <v>20186.310587606091</v>
          </cell>
          <cell r="M226">
            <v>20143.040724556799</v>
          </cell>
          <cell r="N226">
            <v>21387.69116528075</v>
          </cell>
          <cell r="O226">
            <v>21180.748251774428</v>
          </cell>
          <cell r="P226">
            <v>22080.758751653964</v>
          </cell>
          <cell r="Q226">
            <v>22493.41427857352</v>
          </cell>
          <cell r="R226">
            <v>21820.012288958882</v>
          </cell>
          <cell r="S226">
            <v>21851.072681430713</v>
          </cell>
          <cell r="T226">
            <v>22435.037007354465</v>
          </cell>
          <cell r="U226">
            <v>23237.856100070774</v>
          </cell>
          <cell r="V226">
            <v>24295.423566588957</v>
          </cell>
          <cell r="W226">
            <v>25676.409631101869</v>
          </cell>
          <cell r="X226">
            <v>26947.489232296917</v>
          </cell>
          <cell r="Y226">
            <v>27352.311253779546</v>
          </cell>
          <cell r="Z226">
            <v>27335.965576247774</v>
          </cell>
          <cell r="AA226">
            <v>27602.57300118457</v>
          </cell>
          <cell r="AB226">
            <v>27114.80587866436</v>
          </cell>
          <cell r="AC226">
            <v>26610.841990217854</v>
          </cell>
          <cell r="AD226">
            <v>26693.236756604154</v>
          </cell>
          <cell r="AE226">
            <v>27154.544217813003</v>
          </cell>
        </row>
        <row r="227">
          <cell r="G227">
            <v>7419.0906995658279</v>
          </cell>
          <cell r="H227">
            <v>10929.866269561855</v>
          </cell>
          <cell r="I227">
            <v>11146.832299299163</v>
          </cell>
          <cell r="J227">
            <v>11401.652840795985</v>
          </cell>
          <cell r="K227">
            <v>11576.085512870666</v>
          </cell>
          <cell r="L227">
            <v>12235.073988756241</v>
          </cell>
          <cell r="M227">
            <v>12208.847800786238</v>
          </cell>
          <cell r="N227">
            <v>12963.239752020037</v>
          </cell>
          <cell r="O227">
            <v>12837.810102693569</v>
          </cell>
          <cell r="P227">
            <v>13383.313205347922</v>
          </cell>
          <cell r="Q227">
            <v>13633.426809902779</v>
          </cell>
          <cell r="R227">
            <v>13225.27282201311</v>
          </cell>
          <cell r="S227">
            <v>13244.098758449756</v>
          </cell>
          <cell r="T227">
            <v>13598.043908726899</v>
          </cell>
          <cell r="U227">
            <v>14084.638571795298</v>
          </cell>
          <cell r="V227">
            <v>14725.638131610645</v>
          </cell>
          <cell r="W227">
            <v>15562.664125213003</v>
          </cell>
          <cell r="X227">
            <v>16333.074988492226</v>
          </cell>
          <cell r="Y227">
            <v>16578.44064674971</v>
          </cell>
          <cell r="Z227">
            <v>16857.311575218704</v>
          </cell>
          <cell r="AA227">
            <v>17266.656645919924</v>
          </cell>
          <cell r="AB227">
            <v>17209.046241024487</v>
          </cell>
          <cell r="AC227">
            <v>17136.3703707032</v>
          </cell>
          <cell r="AD227">
            <v>17456.408368183093</v>
          </cell>
          <cell r="AE227">
            <v>18058.866872371669</v>
          </cell>
        </row>
        <row r="228">
          <cell r="G228">
            <v>83364.422267462985</v>
          </cell>
          <cell r="H228">
            <v>83832.227579195271</v>
          </cell>
          <cell r="I228">
            <v>84473.651357137482</v>
          </cell>
          <cell r="J228">
            <v>85669.000717749455</v>
          </cell>
          <cell r="K228">
            <v>86953.915160136385</v>
          </cell>
          <cell r="L228">
            <v>91285.461447874812</v>
          </cell>
          <cell r="M228">
            <v>90938.245242666802</v>
          </cell>
          <cell r="N228">
            <v>95719.927133708654</v>
          </cell>
          <cell r="O228">
            <v>93952.396537730761</v>
          </cell>
          <cell r="P228">
            <v>96705.968870619268</v>
          </cell>
          <cell r="Q228">
            <v>98084.385907262404</v>
          </cell>
          <cell r="R228">
            <v>94854.133820205563</v>
          </cell>
          <cell r="S228">
            <v>94531.289301758676</v>
          </cell>
          <cell r="T228">
            <v>96314.095346684699</v>
          </cell>
          <cell r="U228">
            <v>98468.71184276056</v>
          </cell>
          <cell r="V228">
            <v>101998.44637128555</v>
          </cell>
          <cell r="W228">
            <v>108335.20040286546</v>
          </cell>
          <cell r="X228">
            <v>114395.71234984108</v>
          </cell>
          <cell r="Y228">
            <v>116727.38959742447</v>
          </cell>
          <cell r="Z228">
            <v>141998.01843454241</v>
          </cell>
          <cell r="AA228">
            <v>171946.05794425026</v>
          </cell>
          <cell r="AB228">
            <v>192464.78312542022</v>
          </cell>
          <cell r="AC228">
            <v>208908.64373695463</v>
          </cell>
          <cell r="AD228">
            <v>228706.45614921703</v>
          </cell>
          <cell r="AE228">
            <v>252084.95499626573</v>
          </cell>
        </row>
        <row r="229">
          <cell r="G229">
            <v>12778.134917081974</v>
          </cell>
          <cell r="H229">
            <v>12894.186073617273</v>
          </cell>
          <cell r="I229">
            <v>13178.009408971293</v>
          </cell>
          <cell r="J229">
            <v>13341.082749817862</v>
          </cell>
          <cell r="K229">
            <v>13581.568601140933</v>
          </cell>
          <cell r="L229">
            <v>14287.410756019724</v>
          </cell>
          <cell r="M229">
            <v>14217.523844548945</v>
          </cell>
          <cell r="N229">
            <v>14955.493690163396</v>
          </cell>
          <cell r="O229">
            <v>14749.068526871995</v>
          </cell>
          <cell r="P229">
            <v>15217.615920965041</v>
          </cell>
          <cell r="Q229">
            <v>15615.500853886677</v>
          </cell>
          <cell r="R229">
            <v>15768.602167633129</v>
          </cell>
          <cell r="S229">
            <v>16113.909210513591</v>
          </cell>
          <cell r="T229">
            <v>16679.827859739111</v>
          </cell>
          <cell r="U229">
            <v>17277.728711114269</v>
          </cell>
          <cell r="V229">
            <v>17914.590049087761</v>
          </cell>
          <cell r="W229">
            <v>18631.873619577422</v>
          </cell>
          <cell r="X229">
            <v>19246.310352174143</v>
          </cell>
          <cell r="Y229">
            <v>19226.799168199374</v>
          </cell>
          <cell r="Z229">
            <v>19109.077435323827</v>
          </cell>
          <cell r="AA229">
            <v>19277.963444280296</v>
          </cell>
          <cell r="AB229">
            <v>18940.524142835653</v>
          </cell>
          <cell r="AC229">
            <v>18579.144573461443</v>
          </cell>
          <cell r="AD229">
            <v>18559.369474301344</v>
          </cell>
          <cell r="AE229">
            <v>18786.218095097855</v>
          </cell>
        </row>
        <row r="230">
          <cell r="G230">
            <v>19927.728810231933</v>
          </cell>
          <cell r="H230">
            <v>20387.498878375507</v>
          </cell>
          <cell r="I230">
            <v>21039.067675030969</v>
          </cell>
          <cell r="J230">
            <v>21751.96518935723</v>
          </cell>
          <cell r="K230">
            <v>22543.066584433152</v>
          </cell>
          <cell r="L230">
            <v>23942.959888780144</v>
          </cell>
          <cell r="M230">
            <v>24443.241717863308</v>
          </cell>
          <cell r="N230">
            <v>25857.012921133639</v>
          </cell>
          <cell r="O230">
            <v>26019.551101581019</v>
          </cell>
          <cell r="P230">
            <v>27043.216886545717</v>
          </cell>
          <cell r="Q230">
            <v>27714.128414291805</v>
          </cell>
          <cell r="R230">
            <v>27458.778506721221</v>
          </cell>
          <cell r="S230">
            <v>28235.725930746761</v>
          </cell>
          <cell r="T230">
            <v>30700.328022192367</v>
          </cell>
          <cell r="U230">
            <v>33048.146988518049</v>
          </cell>
          <cell r="V230">
            <v>35494.528422093819</v>
          </cell>
          <cell r="W230">
            <v>37620.955907392017</v>
          </cell>
          <cell r="X230">
            <v>39513.733368011992</v>
          </cell>
          <cell r="Y230">
            <v>40010.808440145935</v>
          </cell>
          <cell r="Z230">
            <v>48908.818659119788</v>
          </cell>
          <cell r="AA230">
            <v>52282.519633483942</v>
          </cell>
          <cell r="AB230">
            <v>55374.912449867224</v>
          </cell>
          <cell r="AC230">
            <v>58076.99156480789</v>
          </cell>
          <cell r="AD230">
            <v>62210.734014487818</v>
          </cell>
          <cell r="AE230">
            <v>67374.994373915324</v>
          </cell>
        </row>
        <row r="231">
          <cell r="G231">
            <v>45108.374295171176</v>
          </cell>
          <cell r="H231">
            <v>46149.56065856183</v>
          </cell>
          <cell r="I231">
            <v>47625.090696060222</v>
          </cell>
          <cell r="J231">
            <v>49239.504556032982</v>
          </cell>
          <cell r="K231">
            <v>51031.017404918923</v>
          </cell>
          <cell r="L231">
            <v>54200.373325811925</v>
          </cell>
          <cell r="M231">
            <v>55333.543476117171</v>
          </cell>
          <cell r="N231">
            <v>58534.252384181593</v>
          </cell>
          <cell r="O231">
            <v>58902.884869384878</v>
          </cell>
          <cell r="P231">
            <v>61220.727174027903</v>
          </cell>
          <cell r="Q231">
            <v>62739.911562789377</v>
          </cell>
          <cell r="R231">
            <v>62162.601935177241</v>
          </cell>
          <cell r="S231">
            <v>63922.405058420525</v>
          </cell>
          <cell r="T231">
            <v>69503.539738679581</v>
          </cell>
          <cell r="U231">
            <v>74820.119795511695</v>
          </cell>
          <cell r="V231">
            <v>80359.598457471366</v>
          </cell>
          <cell r="W231">
            <v>86541.70128799032</v>
          </cell>
          <cell r="X231">
            <v>92483.477913026232</v>
          </cell>
          <cell r="Y231">
            <v>94848.756057148668</v>
          </cell>
          <cell r="Z231">
            <v>104876.15733776866</v>
          </cell>
          <cell r="AA231">
            <v>108880.94517899094</v>
          </cell>
          <cell r="AB231">
            <v>111269.29774283603</v>
          </cell>
          <cell r="AC231">
            <v>113174.32196937493</v>
          </cell>
          <cell r="AD231">
            <v>117725.13831993856</v>
          </cell>
          <cell r="AE231">
            <v>124056.03016699647</v>
          </cell>
        </row>
        <row r="232">
          <cell r="G232">
            <v>14732.614363471273</v>
          </cell>
          <cell r="H232">
            <v>15190.025849992297</v>
          </cell>
          <cell r="I232">
            <v>15978.652657210951</v>
          </cell>
          <cell r="J232">
            <v>16358.081684185232</v>
          </cell>
          <cell r="K232">
            <v>16802.815184019466</v>
          </cell>
          <cell r="L232">
            <v>17995.075095351578</v>
          </cell>
          <cell r="M232">
            <v>18068.872042573646</v>
          </cell>
          <cell r="N232">
            <v>19587.401185481136</v>
          </cell>
          <cell r="O232">
            <v>19396.744558816688</v>
          </cell>
          <cell r="P232">
            <v>20469.625724466405</v>
          </cell>
          <cell r="Q232">
            <v>22021.466826109994</v>
          </cell>
          <cell r="R232">
            <v>22443.493824552352</v>
          </cell>
          <cell r="S232">
            <v>23154.520006260926</v>
          </cell>
          <cell r="T232">
            <v>24297.299686122278</v>
          </cell>
          <cell r="U232">
            <v>25604.628317990238</v>
          </cell>
          <cell r="V232">
            <v>27252.115344501475</v>
          </cell>
          <cell r="W232">
            <v>29326.592850202847</v>
          </cell>
          <cell r="X232">
            <v>31071.045803116915</v>
          </cell>
          <cell r="Y232">
            <v>31809.338088577882</v>
          </cell>
          <cell r="Z232">
            <v>32253.678455315665</v>
          </cell>
          <cell r="AA232">
            <v>33031.407872308417</v>
          </cell>
          <cell r="AB232">
            <v>33044.701825989607</v>
          </cell>
          <cell r="AC232">
            <v>33079.38765057132</v>
          </cell>
          <cell r="AD232">
            <v>33840.932034592515</v>
          </cell>
          <cell r="AE232">
            <v>35028.551814055783</v>
          </cell>
        </row>
        <row r="233">
          <cell r="G233">
            <v>30607.73667734694</v>
          </cell>
          <cell r="H233">
            <v>31558.031715771514</v>
          </cell>
          <cell r="I233">
            <v>33196.443002222775</v>
          </cell>
          <cell r="J233">
            <v>33984.725615128584</v>
          </cell>
          <cell r="K233">
            <v>34908.681507727801</v>
          </cell>
          <cell r="L233">
            <v>37385.660577205868</v>
          </cell>
          <cell r="M233">
            <v>37538.977393382476</v>
          </cell>
          <cell r="N233">
            <v>40693.796965544178</v>
          </cell>
          <cell r="O233">
            <v>40297.698372262203</v>
          </cell>
          <cell r="P233">
            <v>42526.662179644067</v>
          </cell>
          <cell r="Q233">
            <v>45750.688997447731</v>
          </cell>
          <cell r="R233">
            <v>46627.471007780034</v>
          </cell>
          <cell r="S233">
            <v>48104.663147852298</v>
          </cell>
          <cell r="T233">
            <v>50478.844583575272</v>
          </cell>
          <cell r="U233">
            <v>53194.884624247505</v>
          </cell>
          <cell r="V233">
            <v>56617.620592401901</v>
          </cell>
          <cell r="W233">
            <v>59923.157134890702</v>
          </cell>
          <cell r="X233">
            <v>63973.486449511773</v>
          </cell>
          <cell r="Y233">
            <v>66181.538107032015</v>
          </cell>
          <cell r="Z233">
            <v>66453.563269918333</v>
          </cell>
          <cell r="AA233">
            <v>66959.267579956038</v>
          </cell>
          <cell r="AB233">
            <v>66094.364426773463</v>
          </cell>
          <cell r="AC233">
            <v>65334.982685483985</v>
          </cell>
          <cell r="AD233">
            <v>65811.632936669848</v>
          </cell>
          <cell r="AE233">
            <v>67051.855449590992</v>
          </cell>
        </row>
        <row r="236">
          <cell r="G236">
            <v>365235.87759901345</v>
          </cell>
          <cell r="H236">
            <v>354859.62782446295</v>
          </cell>
          <cell r="I236">
            <v>359099.12116031331</v>
          </cell>
          <cell r="J236">
            <v>363684.89253116085</v>
          </cell>
          <cell r="K236">
            <v>371183.65691280959</v>
          </cell>
          <cell r="L236">
            <v>393810.14448577375</v>
          </cell>
          <cell r="M236">
            <v>392919.76472724194</v>
          </cell>
          <cell r="N236">
            <v>416337.28299488511</v>
          </cell>
          <cell r="O236">
            <v>415847.40765335562</v>
          </cell>
          <cell r="P236">
            <v>440930.75205977412</v>
          </cell>
          <cell r="Q236">
            <v>462610.57949277834</v>
          </cell>
          <cell r="R236">
            <v>464545.80548638868</v>
          </cell>
          <cell r="S236">
            <v>474100.778496566</v>
          </cell>
          <cell r="T236">
            <v>490120.37038982578</v>
          </cell>
          <cell r="U236">
            <v>507824.3128671766</v>
          </cell>
          <cell r="V236">
            <v>523265.66056981642</v>
          </cell>
          <cell r="W236">
            <v>547621.81359517598</v>
          </cell>
          <cell r="X236">
            <v>577195.13074333861</v>
          </cell>
          <cell r="Y236">
            <v>597901.31757310289</v>
          </cell>
          <cell r="Z236">
            <v>606724.96847552957</v>
          </cell>
          <cell r="AA236">
            <v>621130.50828699535</v>
          </cell>
          <cell r="AB236">
            <v>615303.10013566166</v>
          </cell>
          <cell r="AC236">
            <v>604685.27239587845</v>
          </cell>
          <cell r="AD236">
            <v>611946.42316720472</v>
          </cell>
          <cell r="AE236">
            <v>621775.7724142184</v>
          </cell>
        </row>
        <row r="237">
          <cell r="G237">
            <v>128508.91989594916</v>
          </cell>
          <cell r="H237">
            <v>159878.80401357694</v>
          </cell>
          <cell r="I237">
            <v>161788.86949021256</v>
          </cell>
          <cell r="J237">
            <v>163854.9474116308</v>
          </cell>
          <cell r="K237">
            <v>167233.44805501943</v>
          </cell>
          <cell r="L237">
            <v>177427.60791020317</v>
          </cell>
          <cell r="M237">
            <v>177026.45534239855</v>
          </cell>
          <cell r="N237">
            <v>187577.00694092782</v>
          </cell>
          <cell r="O237">
            <v>187356.29802512456</v>
          </cell>
          <cell r="P237">
            <v>198657.37256252611</v>
          </cell>
          <cell r="Q237">
            <v>208425.02323177626</v>
          </cell>
          <cell r="R237">
            <v>209296.92184490184</v>
          </cell>
          <cell r="S237">
            <v>213601.82873615521</v>
          </cell>
          <cell r="T237">
            <v>220819.31134577713</v>
          </cell>
          <cell r="U237">
            <v>228795.66291599342</v>
          </cell>
          <cell r="V237">
            <v>235752.62282205813</v>
          </cell>
          <cell r="W237">
            <v>246726.06784295075</v>
          </cell>
          <cell r="X237">
            <v>260050.0590936582</v>
          </cell>
          <cell r="Y237">
            <v>269379.04477264325</v>
          </cell>
          <cell r="Z237">
            <v>274246.47257606586</v>
          </cell>
          <cell r="AA237">
            <v>283323.60322947107</v>
          </cell>
          <cell r="AB237">
            <v>282176.62280447973</v>
          </cell>
          <cell r="AC237">
            <v>278788.25314832455</v>
          </cell>
          <cell r="AD237">
            <v>283474.80692722125</v>
          </cell>
          <cell r="AE237">
            <v>289306.68472038873</v>
          </cell>
        </row>
        <row r="238">
          <cell r="G238">
            <v>182617.93879950672</v>
          </cell>
          <cell r="H238">
            <v>187597.13911690007</v>
          </cell>
          <cell r="I238">
            <v>189838.35439964873</v>
          </cell>
          <cell r="J238">
            <v>192262.63014803207</v>
          </cell>
          <cell r="K238">
            <v>196226.86455117722</v>
          </cell>
          <cell r="L238">
            <v>208188.39526396897</v>
          </cell>
          <cell r="M238">
            <v>207717.6945070184</v>
          </cell>
          <cell r="N238">
            <v>220097.40492705166</v>
          </cell>
          <cell r="O238">
            <v>219838.43150379052</v>
          </cell>
          <cell r="P238">
            <v>233098.78371397682</v>
          </cell>
          <cell r="Q238">
            <v>244559.86095151352</v>
          </cell>
          <cell r="R238">
            <v>245582.9214280509</v>
          </cell>
          <cell r="S238">
            <v>250634.17398117352</v>
          </cell>
          <cell r="T238">
            <v>259102.95818021009</v>
          </cell>
          <cell r="U238">
            <v>268462.17714857374</v>
          </cell>
          <cell r="V238">
            <v>276625.27158364275</v>
          </cell>
          <cell r="W238">
            <v>289501.19284710946</v>
          </cell>
          <cell r="X238">
            <v>305135.17669927207</v>
          </cell>
          <cell r="Y238">
            <v>316081.53719425993</v>
          </cell>
          <cell r="Z238">
            <v>318864.90587520832</v>
          </cell>
          <cell r="AA238">
            <v>321024.71413024032</v>
          </cell>
          <cell r="AB238">
            <v>314825.8482508192</v>
          </cell>
          <cell r="AC238">
            <v>306269.79725356057</v>
          </cell>
          <cell r="AD238">
            <v>307123.92753089877</v>
          </cell>
          <cell r="AE238">
            <v>309360.53101240424</v>
          </cell>
        </row>
        <row r="239">
          <cell r="G239">
            <v>22826.038376498713</v>
          </cell>
          <cell r="H239">
            <v>37085.098831852469</v>
          </cell>
          <cell r="I239">
            <v>37893.103890682374</v>
          </cell>
          <cell r="J239">
            <v>38462.381555532207</v>
          </cell>
          <cell r="K239">
            <v>38969.129623895285</v>
          </cell>
          <cell r="L239">
            <v>41122.671401230393</v>
          </cell>
          <cell r="M239">
            <v>41185.78757641455</v>
          </cell>
          <cell r="N239">
            <v>44212.728429698531</v>
          </cell>
          <cell r="O239">
            <v>44951.843483761288</v>
          </cell>
          <cell r="P239">
            <v>48023.926933948365</v>
          </cell>
          <cell r="Q239">
            <v>50150.466781839837</v>
          </cell>
          <cell r="R239">
            <v>50124.859380140115</v>
          </cell>
          <cell r="S239">
            <v>50689.163852827936</v>
          </cell>
          <cell r="T239">
            <v>51823.573400304151</v>
          </cell>
          <cell r="U239">
            <v>52861.045289321017</v>
          </cell>
          <cell r="V239">
            <v>54320.35492645581</v>
          </cell>
          <cell r="W239">
            <v>56926.871894878575</v>
          </cell>
          <cell r="X239">
            <v>59891.068626553875</v>
          </cell>
          <cell r="Y239">
            <v>62046.543913457623</v>
          </cell>
          <cell r="Z239">
            <v>63939.99342109407</v>
          </cell>
          <cell r="AA239">
            <v>65822.79068051881</v>
          </cell>
          <cell r="AB239">
            <v>65849.37613974858</v>
          </cell>
          <cell r="AC239">
            <v>65246.726750042319</v>
          </cell>
          <cell r="AD239">
            <v>66564.13506297869</v>
          </cell>
          <cell r="AE239">
            <v>68260.473116669134</v>
          </cell>
        </row>
        <row r="240">
          <cell r="G240">
            <v>73043.322804795869</v>
          </cell>
          <cell r="H240">
            <v>68495.559377511716</v>
          </cell>
          <cell r="I240">
            <v>69987.931252677838</v>
          </cell>
          <cell r="J240">
            <v>71039.377610467272</v>
          </cell>
          <cell r="K240">
            <v>71975.332845840443</v>
          </cell>
          <cell r="L240">
            <v>75952.888611573333</v>
          </cell>
          <cell r="M240">
            <v>76069.463135066151</v>
          </cell>
          <cell r="N240">
            <v>81660.172435542656</v>
          </cell>
          <cell r="O240">
            <v>83025.305620219151</v>
          </cell>
          <cell r="P240">
            <v>88699.392544701768</v>
          </cell>
          <cell r="Q240">
            <v>92627.076196842638</v>
          </cell>
          <cell r="R240">
            <v>92579.779752748451</v>
          </cell>
          <cell r="S240">
            <v>93622.040707511944</v>
          </cell>
          <cell r="T240">
            <v>95717.276232429431</v>
          </cell>
          <cell r="U240">
            <v>97633.469518009108</v>
          </cell>
          <cell r="V240">
            <v>100328.79009282413</v>
          </cell>
          <cell r="W240">
            <v>105142.983485933</v>
          </cell>
          <cell r="X240">
            <v>110617.80543966891</v>
          </cell>
          <cell r="Y240">
            <v>114598.93236534574</v>
          </cell>
          <cell r="Z240">
            <v>115858.64768204739</v>
          </cell>
          <cell r="AA240">
            <v>116478.30055393775</v>
          </cell>
          <cell r="AB240">
            <v>114286.39036749169</v>
          </cell>
          <cell r="AC240">
            <v>111201.59592874881</v>
          </cell>
          <cell r="AD240">
            <v>111549.77156105102</v>
          </cell>
          <cell r="AE240">
            <v>112441.44112659105</v>
          </cell>
        </row>
        <row r="241">
          <cell r="G241">
            <v>18260.830701198967</v>
          </cell>
          <cell r="H241">
            <v>17123.889844377929</v>
          </cell>
          <cell r="I241">
            <v>17496.982813169459</v>
          </cell>
          <cell r="J241">
            <v>17759.844402616818</v>
          </cell>
          <cell r="K241">
            <v>17993.833211460111</v>
          </cell>
          <cell r="L241">
            <v>18988.222152893333</v>
          </cell>
          <cell r="M241">
            <v>19017.365783766538</v>
          </cell>
          <cell r="N241">
            <v>20415.043108885664</v>
          </cell>
          <cell r="O241">
            <v>20756.326405054788</v>
          </cell>
          <cell r="P241">
            <v>22174.848136175442</v>
          </cell>
          <cell r="Q241">
            <v>23156.769049210659</v>
          </cell>
          <cell r="R241">
            <v>23144.944938187113</v>
          </cell>
          <cell r="S241">
            <v>23405.510176877986</v>
          </cell>
          <cell r="T241">
            <v>23929.319058107358</v>
          </cell>
          <cell r="U241">
            <v>24408.367379502277</v>
          </cell>
          <cell r="V241">
            <v>25082.197523206032</v>
          </cell>
          <cell r="W241">
            <v>26285.74587148325</v>
          </cell>
          <cell r="X241">
            <v>27654.451359917228</v>
          </cell>
          <cell r="Y241">
            <v>28649.733091336435</v>
          </cell>
          <cell r="Z241">
            <v>30793.004144602553</v>
          </cell>
          <cell r="AA241">
            <v>33283.211347743643</v>
          </cell>
          <cell r="AB241">
            <v>34566.484046841208</v>
          </cell>
          <cell r="AC241">
            <v>35406.47476373057</v>
          </cell>
          <cell r="AD241">
            <v>37197.32778087561</v>
          </cell>
          <cell r="AE241">
            <v>39251.843081514526</v>
          </cell>
        </row>
        <row r="242">
          <cell r="G242">
            <v>38043.397294164519</v>
          </cell>
          <cell r="H242">
            <v>33061.397754723999</v>
          </cell>
          <cell r="I242">
            <v>33781.73496506628</v>
          </cell>
          <cell r="J242">
            <v>34289.246496741514</v>
          </cell>
          <cell r="K242">
            <v>34741.012838946874</v>
          </cell>
          <cell r="L242">
            <v>36660.897200175481</v>
          </cell>
          <cell r="M242">
            <v>36717.165325062553</v>
          </cell>
          <cell r="N242">
            <v>39415.685719579902</v>
          </cell>
          <cell r="O242">
            <v>40074.60743095701</v>
          </cell>
          <cell r="P242">
            <v>42813.372489743997</v>
          </cell>
          <cell r="Q242">
            <v>44709.184607467789</v>
          </cell>
          <cell r="R242">
            <v>44686.35558665546</v>
          </cell>
          <cell r="S242">
            <v>45189.43351320739</v>
          </cell>
          <cell r="T242">
            <v>46200.760608112003</v>
          </cell>
          <cell r="U242">
            <v>47125.667696472541</v>
          </cell>
          <cell r="V242">
            <v>48426.643502937863</v>
          </cell>
          <cell r="W242">
            <v>50750.35563966936</v>
          </cell>
          <cell r="X242">
            <v>53392.939595384662</v>
          </cell>
          <cell r="Y242">
            <v>55314.547682069737</v>
          </cell>
          <cell r="Z242">
            <v>56206.338067598081</v>
          </cell>
          <cell r="AA242">
            <v>56867.860447024854</v>
          </cell>
          <cell r="AB242">
            <v>56094.0735060183</v>
          </cell>
          <cell r="AC242">
            <v>54855.157088644417</v>
          </cell>
          <cell r="AD242">
            <v>55287.638953758076</v>
          </cell>
          <cell r="AE242">
            <v>56002.286494712542</v>
          </cell>
        </row>
        <row r="243">
          <cell r="G243">
            <v>4628.0563230687512</v>
          </cell>
          <cell r="H243">
            <v>4701.4044369701423</v>
          </cell>
          <cell r="I243">
            <v>4765.7538702829233</v>
          </cell>
          <cell r="J243">
            <v>4856.2183556535629</v>
          </cell>
          <cell r="K243">
            <v>4946.6084717631393</v>
          </cell>
          <cell r="L243">
            <v>5278.2857012813538</v>
          </cell>
          <cell r="M243">
            <v>5357.0931278130192</v>
          </cell>
          <cell r="N243">
            <v>5747.3914872416699</v>
          </cell>
          <cell r="O243">
            <v>5732.4673645938337</v>
          </cell>
          <cell r="P243">
            <v>6142.1880301032079</v>
          </cell>
          <cell r="Q243">
            <v>6440.7376439136387</v>
          </cell>
          <cell r="R243">
            <v>6446.5319933809833</v>
          </cell>
          <cell r="S243">
            <v>6508.8716791976822</v>
          </cell>
          <cell r="T243">
            <v>6604.0308077340533</v>
          </cell>
          <cell r="U243">
            <v>6726.1553145885591</v>
          </cell>
          <cell r="V243">
            <v>6888.1269957209943</v>
          </cell>
          <cell r="W243">
            <v>7236.5674433278036</v>
          </cell>
          <cell r="X243">
            <v>7730.2118587169389</v>
          </cell>
          <cell r="Y243">
            <v>8038.0237502793789</v>
          </cell>
          <cell r="Z243">
            <v>8252.3093205514033</v>
          </cell>
          <cell r="AA243">
            <v>8409.382277396091</v>
          </cell>
          <cell r="AB243">
            <v>8362.9356517854412</v>
          </cell>
          <cell r="AC243">
            <v>8292.2030909308778</v>
          </cell>
          <cell r="AD243">
            <v>8458.0331189855751</v>
          </cell>
          <cell r="AE243">
            <v>8650.3301626552002</v>
          </cell>
        </row>
        <row r="244">
          <cell r="G244">
            <v>15523.354711945038</v>
          </cell>
          <cell r="H244">
            <v>15769.377817555918</v>
          </cell>
          <cell r="I244">
            <v>15985.217688356061</v>
          </cell>
          <cell r="J244">
            <v>16288.652261578984</v>
          </cell>
          <cell r="K244">
            <v>16591.837386580326</v>
          </cell>
          <cell r="L244">
            <v>17704.344003671897</v>
          </cell>
          <cell r="M244">
            <v>17968.678651002941</v>
          </cell>
          <cell r="N244">
            <v>19277.81135250035</v>
          </cell>
          <cell r="O244">
            <v>19227.753091871116</v>
          </cell>
          <cell r="P244">
            <v>20602.031791076501</v>
          </cell>
          <cell r="Q244">
            <v>21603.422273554581</v>
          </cell>
          <cell r="R244">
            <v>21622.857590635365</v>
          </cell>
          <cell r="S244">
            <v>21831.956397566515</v>
          </cell>
          <cell r="T244">
            <v>22151.137670055909</v>
          </cell>
          <cell r="U244">
            <v>22560.765796117001</v>
          </cell>
          <cell r="V244">
            <v>23104.048695889851</v>
          </cell>
          <cell r="W244">
            <v>24222.842301479006</v>
          </cell>
          <cell r="X244">
            <v>25741.472768522566</v>
          </cell>
          <cell r="Y244">
            <v>26592.666617849558</v>
          </cell>
          <cell r="Z244">
            <v>27217.575877861957</v>
          </cell>
          <cell r="AA244">
            <v>27703.370878767415</v>
          </cell>
          <cell r="AB244">
            <v>27506.937031022229</v>
          </cell>
          <cell r="AC244">
            <v>27126.465394959287</v>
          </cell>
          <cell r="AD244">
            <v>27532.444745598816</v>
          </cell>
          <cell r="AE244">
            <v>28038.123006593294</v>
          </cell>
        </row>
        <row r="245">
          <cell r="G245">
            <v>42989.038650593269</v>
          </cell>
          <cell r="H245">
            <v>46177.524094383676</v>
          </cell>
          <cell r="I245">
            <v>48049.097799709365</v>
          </cell>
          <cell r="J245">
            <v>50221.351556134323</v>
          </cell>
          <cell r="K245">
            <v>53009.132948004757</v>
          </cell>
          <cell r="L245">
            <v>57640.128982233764</v>
          </cell>
          <cell r="M245">
            <v>59025.056673692248</v>
          </cell>
          <cell r="N245">
            <v>64140.796106645364</v>
          </cell>
          <cell r="O245">
            <v>65738.378600449563</v>
          </cell>
          <cell r="P245">
            <v>72214.596280012745</v>
          </cell>
          <cell r="Q245">
            <v>79060.97595669709</v>
          </cell>
          <cell r="R245">
            <v>81293.356899375809</v>
          </cell>
          <cell r="S245">
            <v>84841.963710676544</v>
          </cell>
          <cell r="T245">
            <v>88452.881885079623</v>
          </cell>
          <cell r="U245">
            <v>92105.077335115246</v>
          </cell>
          <cell r="V245">
            <v>97065.846332970599</v>
          </cell>
          <cell r="W245">
            <v>102052.43951083547</v>
          </cell>
          <cell r="X245">
            <v>109775.5245398815</v>
          </cell>
          <cell r="Y245">
            <v>114575.40812346498</v>
          </cell>
          <cell r="Z245">
            <v>118916.91832645051</v>
          </cell>
          <cell r="AA245">
            <v>122334.77011979968</v>
          </cell>
          <cell r="AB245">
            <v>122593.4152380662</v>
          </cell>
          <cell r="AC245">
            <v>121709.85508655623</v>
          </cell>
          <cell r="AD245">
            <v>124569.45637297981</v>
          </cell>
          <cell r="AE245">
            <v>128234.69570832193</v>
          </cell>
        </row>
        <row r="246">
          <cell r="G246">
            <v>33299.04878638684</v>
          </cell>
          <cell r="H246">
            <v>30330.448544332252</v>
          </cell>
          <cell r="I246">
            <v>30989.602297357953</v>
          </cell>
          <cell r="J246">
            <v>31454.007198291205</v>
          </cell>
          <cell r="K246">
            <v>31867.401752508187</v>
          </cell>
          <cell r="L246">
            <v>33627.757716878958</v>
          </cell>
          <cell r="M246">
            <v>33678.283068356512</v>
          </cell>
          <cell r="N246">
            <v>36151.728628515026</v>
          </cell>
          <cell r="O246">
            <v>36753.502636978956</v>
          </cell>
          <cell r="P246">
            <v>39263.465870843895</v>
          </cell>
          <cell r="Q246">
            <v>41001.093157340103</v>
          </cell>
          <cell r="R246">
            <v>40978.97325122216</v>
          </cell>
          <cell r="S246">
            <v>41438.624077021566</v>
          </cell>
          <cell r="T246">
            <v>42363.69971619008</v>
          </cell>
          <cell r="U246">
            <v>43210.133146248801</v>
          </cell>
          <cell r="V246">
            <v>44401.32382270151</v>
          </cell>
          <cell r="W246">
            <v>46342.560297745775</v>
          </cell>
          <cell r="X246">
            <v>48642.611386782039</v>
          </cell>
          <cell r="Y246">
            <v>50263.175879098308</v>
          </cell>
          <cell r="Z246">
            <v>50977.817961385736</v>
          </cell>
          <cell r="AA246">
            <v>51339.024248911577</v>
          </cell>
          <cell r="AB246">
            <v>50538.39378639061</v>
          </cell>
          <cell r="AC246">
            <v>49436.659552163255</v>
          </cell>
          <cell r="AD246">
            <v>49738.779482392318</v>
          </cell>
          <cell r="AE246">
            <v>50267.876249741275</v>
          </cell>
        </row>
        <row r="247">
          <cell r="G247">
            <v>10691.658369472056</v>
          </cell>
          <cell r="H247">
            <v>15762.991449869804</v>
          </cell>
          <cell r="I247">
            <v>16105.559247965732</v>
          </cell>
          <cell r="J247">
            <v>16346.914415265306</v>
          </cell>
          <cell r="K247">
            <v>16561.759072574627</v>
          </cell>
          <cell r="L247">
            <v>17476.631003154402</v>
          </cell>
          <cell r="M247">
            <v>17502.889457004119</v>
          </cell>
          <cell r="N247">
            <v>18788.360100786689</v>
          </cell>
          <cell r="O247">
            <v>19101.107158790332</v>
          </cell>
          <cell r="P247">
            <v>20405.55634743558</v>
          </cell>
          <cell r="Q247">
            <v>21308.615991280461</v>
          </cell>
          <cell r="R247">
            <v>21297.120088392661</v>
          </cell>
          <cell r="S247">
            <v>21536.004522508803</v>
          </cell>
          <cell r="T247">
            <v>22016.774181070974</v>
          </cell>
          <cell r="U247">
            <v>22456.672816311991</v>
          </cell>
          <cell r="V247">
            <v>23075.744717627389</v>
          </cell>
          <cell r="W247">
            <v>24084.621784300914</v>
          </cell>
          <cell r="X247">
            <v>25279.97785026049</v>
          </cell>
          <cell r="Y247">
            <v>26122.198966740394</v>
          </cell>
          <cell r="Z247">
            <v>26801.516390175642</v>
          </cell>
          <cell r="AA247">
            <v>27292.56324226594</v>
          </cell>
          <cell r="AB247">
            <v>27183.612671531475</v>
          </cell>
          <cell r="AC247">
            <v>26965.245592442159</v>
          </cell>
          <cell r="AD247">
            <v>27407.916763462723</v>
          </cell>
          <cell r="AE247">
            <v>27972.689694185861</v>
          </cell>
        </row>
        <row r="248">
          <cell r="G248">
            <v>112714.25036667172</v>
          </cell>
          <cell r="H248">
            <v>114141.16481280299</v>
          </cell>
          <cell r="I248">
            <v>115190.36661142894</v>
          </cell>
          <cell r="J248">
            <v>116520.75449208662</v>
          </cell>
          <cell r="K248">
            <v>117639.50338136432</v>
          </cell>
          <cell r="L248">
            <v>125133.03018357205</v>
          </cell>
          <cell r="M248">
            <v>125028.1219180683</v>
          </cell>
          <cell r="N248">
            <v>132782.30628235237</v>
          </cell>
          <cell r="O248">
            <v>132776.26779086614</v>
          </cell>
          <cell r="P248">
            <v>140250.1217333712</v>
          </cell>
          <cell r="Q248">
            <v>146590.53423395441</v>
          </cell>
          <cell r="R248">
            <v>146845.81875868811</v>
          </cell>
          <cell r="S248">
            <v>147443.91759888123</v>
          </cell>
          <cell r="T248">
            <v>149119.28301449967</v>
          </cell>
          <cell r="U248">
            <v>151298.35382192422</v>
          </cell>
          <cell r="V248">
            <v>153935.93009441264</v>
          </cell>
          <cell r="W248">
            <v>164146.30188532348</v>
          </cell>
          <cell r="X248">
            <v>174886.41228830878</v>
          </cell>
          <cell r="Y248">
            <v>184122.16950487869</v>
          </cell>
          <cell r="Z248">
            <v>222578.6043170327</v>
          </cell>
          <cell r="AA248">
            <v>270108.4559566789</v>
          </cell>
          <cell r="AB248">
            <v>303077.22933959612</v>
          </cell>
          <cell r="AC248">
            <v>330226.38848079956</v>
          </cell>
          <cell r="AD248">
            <v>364736.77247703593</v>
          </cell>
          <cell r="AE248">
            <v>402666.75528648176</v>
          </cell>
        </row>
        <row r="249">
          <cell r="G249">
            <v>14752.415649731582</v>
          </cell>
          <cell r="H249">
            <v>14949.486256197217</v>
          </cell>
          <cell r="I249">
            <v>15653.173296422536</v>
          </cell>
          <cell r="J249">
            <v>16126.238339946436</v>
          </cell>
          <cell r="K249">
            <v>16429.953298851924</v>
          </cell>
          <cell r="L249">
            <v>17486.291276105734</v>
          </cell>
          <cell r="M249">
            <v>17416.657106211544</v>
          </cell>
          <cell r="N249">
            <v>18528.371104601782</v>
          </cell>
          <cell r="O249">
            <v>18478.233325586072</v>
          </cell>
          <cell r="P249">
            <v>19711.765341966311</v>
          </cell>
          <cell r="Q249">
            <v>20744.547614122177</v>
          </cell>
          <cell r="R249">
            <v>21201.557636324564</v>
          </cell>
          <cell r="S249">
            <v>21869.370611957627</v>
          </cell>
          <cell r="T249">
            <v>22409.704663340748</v>
          </cell>
          <cell r="U249">
            <v>23146.437011872487</v>
          </cell>
          <cell r="V249">
            <v>23754.6214532173</v>
          </cell>
          <cell r="W249">
            <v>24638.42210750085</v>
          </cell>
          <cell r="X249">
            <v>25998.629422016213</v>
          </cell>
          <cell r="Y249">
            <v>27022.019736324251</v>
          </cell>
          <cell r="Z249">
            <v>27815.476693020497</v>
          </cell>
          <cell r="AA249">
            <v>28513.040758287032</v>
          </cell>
          <cell r="AB249">
            <v>28522.892788035613</v>
          </cell>
          <cell r="AC249">
            <v>28160.258081621505</v>
          </cell>
          <cell r="AD249">
            <v>28635.095426973003</v>
          </cell>
          <cell r="AE249">
            <v>29323.666041989127</v>
          </cell>
        </row>
        <row r="250">
          <cell r="G250">
            <v>34875.560548544068</v>
          </cell>
          <cell r="H250">
            <v>35490.215717743871</v>
          </cell>
          <cell r="I250">
            <v>36041.055471905849</v>
          </cell>
          <cell r="J250">
            <v>36987.832605266187</v>
          </cell>
          <cell r="K250">
            <v>37609.896544160554</v>
          </cell>
          <cell r="L250">
            <v>39880.544867932578</v>
          </cell>
          <cell r="M250">
            <v>40403.524766928334</v>
          </cell>
          <cell r="N250">
            <v>43318.517315310317</v>
          </cell>
          <cell r="O250">
            <v>43477.324084102991</v>
          </cell>
          <cell r="P250">
            <v>46102.792950617768</v>
          </cell>
          <cell r="Q250">
            <v>48157.744443856565</v>
          </cell>
          <cell r="R250">
            <v>48381.995246132137</v>
          </cell>
          <cell r="S250">
            <v>49049.199908716473</v>
          </cell>
          <cell r="T250">
            <v>50428.752236485008</v>
          </cell>
          <cell r="U250">
            <v>51749.10969971741</v>
          </cell>
          <cell r="V250">
            <v>53283.685692529973</v>
          </cell>
          <cell r="W250">
            <v>55740.603359634508</v>
          </cell>
          <cell r="X250">
            <v>58846.279199835903</v>
          </cell>
          <cell r="Y250">
            <v>60989.003348343955</v>
          </cell>
          <cell r="Z250">
            <v>66855.58838065021</v>
          </cell>
          <cell r="AA250">
            <v>70982.670891079164</v>
          </cell>
          <cell r="AB250">
            <v>72875.175932513535</v>
          </cell>
          <cell r="AC250">
            <v>74055.453637505809</v>
          </cell>
          <cell r="AD250">
            <v>77727.363212703494</v>
          </cell>
          <cell r="AE250">
            <v>81944.81933887284</v>
          </cell>
        </row>
        <row r="251">
          <cell r="G251">
            <v>95092.731567875642</v>
          </cell>
          <cell r="H251">
            <v>96766.415545228316</v>
          </cell>
          <cell r="I251">
            <v>98266.332436564364</v>
          </cell>
          <cell r="J251">
            <v>100844.37260873445</v>
          </cell>
          <cell r="K251">
            <v>102538.23040020447</v>
          </cell>
          <cell r="L251">
            <v>108726.98855621848</v>
          </cell>
          <cell r="M251">
            <v>110149.4485241012</v>
          </cell>
          <cell r="N251">
            <v>118093.70785323142</v>
          </cell>
          <cell r="O251">
            <v>118524.17778565657</v>
          </cell>
          <cell r="P251">
            <v>125679.56328821628</v>
          </cell>
          <cell r="Q251">
            <v>131279.82577985615</v>
          </cell>
          <cell r="R251">
            <v>131888.41597728548</v>
          </cell>
          <cell r="S251">
            <v>133704.03605860649</v>
          </cell>
          <cell r="T251">
            <v>137459.9244662337</v>
          </cell>
          <cell r="U251">
            <v>141055.35189563283</v>
          </cell>
          <cell r="V251">
            <v>145235.13322236884</v>
          </cell>
          <cell r="W251">
            <v>153068.71128711573</v>
          </cell>
          <cell r="X251">
            <v>162786.7828709142</v>
          </cell>
          <cell r="Y251">
            <v>169902.61285857085</v>
          </cell>
          <cell r="Z251">
            <v>177924.99831106921</v>
          </cell>
          <cell r="AA251">
            <v>183099.6511936677</v>
          </cell>
          <cell r="AB251">
            <v>183290.58023238834</v>
          </cell>
          <cell r="AC251">
            <v>181910.0452579376</v>
          </cell>
          <cell r="AD251">
            <v>186440.59700101402</v>
          </cell>
          <cell r="AE251">
            <v>192071.4052546951</v>
          </cell>
        </row>
        <row r="252">
          <cell r="G252">
            <v>20269.095261833754</v>
          </cell>
          <cell r="H252">
            <v>20530.532236312658</v>
          </cell>
          <cell r="I252">
            <v>20719.297673345118</v>
          </cell>
          <cell r="J252">
            <v>20905.426610008475</v>
          </cell>
          <cell r="K252">
            <v>21238.400627835614</v>
          </cell>
          <cell r="L252">
            <v>22707.133589089823</v>
          </cell>
          <cell r="M252">
            <v>22914.0953188536</v>
          </cell>
          <cell r="N252">
            <v>24446.984147439664</v>
          </cell>
          <cell r="O252">
            <v>24508.760457259279</v>
          </cell>
          <cell r="P252">
            <v>26182.572155659302</v>
          </cell>
          <cell r="Q252">
            <v>27665.032170520342</v>
          </cell>
          <cell r="R252">
            <v>27944.373484518161</v>
          </cell>
          <cell r="S252">
            <v>28737.453154020208</v>
          </cell>
          <cell r="T252">
            <v>29887.275798005736</v>
          </cell>
          <cell r="U252">
            <v>31124.852838925988</v>
          </cell>
          <cell r="V252">
            <v>32286.30287308092</v>
          </cell>
          <cell r="W252">
            <v>34084.157085432591</v>
          </cell>
          <cell r="X252">
            <v>36026.430975225201</v>
          </cell>
          <cell r="Y252">
            <v>37766.179529638641</v>
          </cell>
          <cell r="Z252">
            <v>38453.867170200647</v>
          </cell>
          <cell r="AA252">
            <v>38998.349356101215</v>
          </cell>
          <cell r="AB252">
            <v>38753.276478936947</v>
          </cell>
          <cell r="AC252">
            <v>38078.707519783769</v>
          </cell>
          <cell r="AD252">
            <v>38623.220290712226</v>
          </cell>
          <cell r="AE252">
            <v>39376.63752481604</v>
          </cell>
        </row>
        <row r="253">
          <cell r="G253">
            <v>111590.53378044043</v>
          </cell>
          <cell r="H253">
            <v>113029.8625297102</v>
          </cell>
          <cell r="I253">
            <v>114069.10160800362</v>
          </cell>
          <cell r="J253">
            <v>115093.82555971152</v>
          </cell>
          <cell r="K253">
            <v>116926.99807700257</v>
          </cell>
          <cell r="L253">
            <v>125013.03709404237</v>
          </cell>
          <cell r="M253">
            <v>126152.45499099954</v>
          </cell>
          <cell r="N253">
            <v>134591.7010648037</v>
          </cell>
          <cell r="O253">
            <v>134931.80758158234</v>
          </cell>
          <cell r="P253">
            <v>144146.89776985085</v>
          </cell>
          <cell r="Q253">
            <v>152308.51042347541</v>
          </cell>
          <cell r="R253">
            <v>153846.41065697235</v>
          </cell>
          <cell r="S253">
            <v>158212.67281652676</v>
          </cell>
          <cell r="T253">
            <v>164542.96634653877</v>
          </cell>
          <cell r="U253">
            <v>171356.38750849618</v>
          </cell>
          <cell r="V253">
            <v>177750.69507853885</v>
          </cell>
          <cell r="W253">
            <v>186860.74176010364</v>
          </cell>
          <cell r="X253">
            <v>198849.0352817431</v>
          </cell>
          <cell r="Y253">
            <v>207459.88509259641</v>
          </cell>
          <cell r="Z253">
            <v>210238.94541030767</v>
          </cell>
          <cell r="AA253">
            <v>212559.78193989891</v>
          </cell>
          <cell r="AB253">
            <v>209370.44418938732</v>
          </cell>
          <cell r="AC253">
            <v>204710.6763606098</v>
          </cell>
          <cell r="AD253">
            <v>206356.08182021734</v>
          </cell>
          <cell r="AE253">
            <v>208941.43593905578</v>
          </cell>
        </row>
        <row r="256">
          <cell r="G256">
            <v>41700.08658172701</v>
          </cell>
          <cell r="H256">
            <v>42703.510343600574</v>
          </cell>
          <cell r="I256">
            <v>44257.002746285623</v>
          </cell>
          <cell r="J256">
            <v>46606.120598262525</v>
          </cell>
          <cell r="K256">
            <v>48934.561178675896</v>
          </cell>
          <cell r="L256">
            <v>49695.768483822583</v>
          </cell>
          <cell r="M256">
            <v>49546.517070036483</v>
          </cell>
          <cell r="N256">
            <v>52273.811962574538</v>
          </cell>
          <cell r="O256">
            <v>52585.807956194207</v>
          </cell>
          <cell r="P256">
            <v>56289.490101634299</v>
          </cell>
          <cell r="Q256">
            <v>59687.816054859606</v>
          </cell>
          <cell r="R256">
            <v>62488.410252297035</v>
          </cell>
          <cell r="S256">
            <v>66288.542174939212</v>
          </cell>
          <cell r="T256">
            <v>70860.892025420588</v>
          </cell>
          <cell r="U256">
            <v>78425.921481403377</v>
          </cell>
          <cell r="V256">
            <v>82710.375879353072</v>
          </cell>
          <cell r="W256">
            <v>87029.28237334211</v>
          </cell>
          <cell r="X256">
            <v>91919.753724823735</v>
          </cell>
          <cell r="Y256">
            <v>97412.530517584542</v>
          </cell>
          <cell r="Z256">
            <v>101803.61807623306</v>
          </cell>
          <cell r="AA256">
            <v>106254.40114189948</v>
          </cell>
          <cell r="AB256">
            <v>108563.77406324894</v>
          </cell>
          <cell r="AC256">
            <v>110216.79388037193</v>
          </cell>
          <cell r="AD256">
            <v>113386.61374144799</v>
          </cell>
          <cell r="AE256">
            <v>117712.63216067546</v>
          </cell>
        </row>
        <row r="257">
          <cell r="G257">
            <v>14672.252686163205</v>
          </cell>
          <cell r="H257">
            <v>19239.68134321988</v>
          </cell>
          <cell r="I257">
            <v>19939.593330695461</v>
          </cell>
          <cell r="J257">
            <v>20997.967186756636</v>
          </cell>
          <cell r="K257">
            <v>22047.02508465117</v>
          </cell>
          <cell r="L257">
            <v>22389.980168889302</v>
          </cell>
          <cell r="M257">
            <v>22322.736290852939</v>
          </cell>
          <cell r="N257">
            <v>23551.49440088233</v>
          </cell>
          <cell r="O257">
            <v>23692.06138119155</v>
          </cell>
          <cell r="P257">
            <v>25360.721959712802</v>
          </cell>
          <cell r="Q257">
            <v>26891.807060548002</v>
          </cell>
          <cell r="R257">
            <v>28153.589511143226</v>
          </cell>
          <cell r="S257">
            <v>29865.70466667843</v>
          </cell>
          <cell r="T257">
            <v>31925.735643175518</v>
          </cell>
          <cell r="U257">
            <v>35334.09141800685</v>
          </cell>
          <cell r="V257">
            <v>37264.413695563177</v>
          </cell>
          <cell r="W257">
            <v>39210.258054186605</v>
          </cell>
          <cell r="X257">
            <v>41413.615803083063</v>
          </cell>
          <cell r="Y257">
            <v>43888.336834956921</v>
          </cell>
          <cell r="Z257">
            <v>49736.807319184532</v>
          </cell>
          <cell r="AA257">
            <v>56142.539444000598</v>
          </cell>
          <cell r="AB257">
            <v>60827.935304007333</v>
          </cell>
          <cell r="AC257">
            <v>65095.991258090726</v>
          </cell>
          <cell r="AD257">
            <v>69834.495854563807</v>
          </cell>
          <cell r="AE257">
            <v>75291.428799324145</v>
          </cell>
        </row>
        <row r="258">
          <cell r="G258">
            <v>20850.043290863505</v>
          </cell>
          <cell r="H258">
            <v>22575.282569679115</v>
          </cell>
          <cell r="I258">
            <v>23396.538941304792</v>
          </cell>
          <cell r="J258">
            <v>24638.404044926261</v>
          </cell>
          <cell r="K258">
            <v>25869.338074156876</v>
          </cell>
          <cell r="L258">
            <v>26271.751596359642</v>
          </cell>
          <cell r="M258">
            <v>26192.849585423435</v>
          </cell>
          <cell r="N258">
            <v>27634.638617624529</v>
          </cell>
          <cell r="O258">
            <v>27799.575824423198</v>
          </cell>
          <cell r="P258">
            <v>29757.533620136724</v>
          </cell>
          <cell r="Q258">
            <v>31554.064351232275</v>
          </cell>
          <cell r="R258">
            <v>33034.603184256543</v>
          </cell>
          <cell r="S258">
            <v>35043.549316914716</v>
          </cell>
          <cell r="T258">
            <v>37460.729755981731</v>
          </cell>
          <cell r="U258">
            <v>41459.995302130206</v>
          </cell>
          <cell r="V258">
            <v>43724.979325981389</v>
          </cell>
          <cell r="W258">
            <v>46008.176508351571</v>
          </cell>
          <cell r="X258">
            <v>48593.532413997003</v>
          </cell>
          <cell r="Y258">
            <v>51497.298104241556</v>
          </cell>
          <cell r="Z258">
            <v>52757.518908787002</v>
          </cell>
          <cell r="AA258">
            <v>53903.877954527678</v>
          </cell>
          <cell r="AB258">
            <v>54125.33752447724</v>
          </cell>
          <cell r="AC258">
            <v>54033.163247066717</v>
          </cell>
          <cell r="AD258">
            <v>54801.231162971046</v>
          </cell>
          <cell r="AE258">
            <v>56126.369631058922</v>
          </cell>
        </row>
        <row r="259">
          <cell r="G259">
            <v>3084.9199261436966</v>
          </cell>
          <cell r="H259">
            <v>5192.3238248352354</v>
          </cell>
          <cell r="I259">
            <v>5441.9087153135188</v>
          </cell>
          <cell r="J259">
            <v>5708.9913981860245</v>
          </cell>
          <cell r="K259">
            <v>5939.2683798155113</v>
          </cell>
          <cell r="L259">
            <v>5907.767503560216</v>
          </cell>
          <cell r="M259">
            <v>5893.8371432833674</v>
          </cell>
          <cell r="N259">
            <v>6195.5678689534261</v>
          </cell>
          <cell r="O259">
            <v>6123.6377703355965</v>
          </cell>
          <cell r="P259">
            <v>6556.9250028957049</v>
          </cell>
          <cell r="Q259">
            <v>6960.5527448298462</v>
          </cell>
          <cell r="R259">
            <v>7163.8361106454095</v>
          </cell>
          <cell r="S259">
            <v>7643.6281214589717</v>
          </cell>
          <cell r="T259">
            <v>8227.1598087030998</v>
          </cell>
          <cell r="U259">
            <v>8657.9336583136501</v>
          </cell>
          <cell r="V259">
            <v>9040.8792984394131</v>
          </cell>
          <cell r="W259">
            <v>9412.5989064156402</v>
          </cell>
          <cell r="X259">
            <v>9908.961078993003</v>
          </cell>
          <cell r="Y259">
            <v>10279.707681731243</v>
          </cell>
          <cell r="Z259">
            <v>10839.759702525946</v>
          </cell>
          <cell r="AA259">
            <v>11663.103603960732</v>
          </cell>
          <cell r="AB259">
            <v>12117.020713681366</v>
          </cell>
          <cell r="AC259">
            <v>12408.832497687614</v>
          </cell>
          <cell r="AD259">
            <v>12917.727582640358</v>
          </cell>
          <cell r="AE259">
            <v>13578.615297081387</v>
          </cell>
        </row>
        <row r="260">
          <cell r="G260">
            <v>9871.7437636598297</v>
          </cell>
          <cell r="H260">
            <v>9590.1355545478818</v>
          </cell>
          <cell r="I260">
            <v>10051.114686975101</v>
          </cell>
          <cell r="J260">
            <v>10544.41195028686</v>
          </cell>
          <cell r="K260">
            <v>10969.729696910446</v>
          </cell>
          <cell r="L260">
            <v>10911.548103549427</v>
          </cell>
          <cell r="M260">
            <v>10885.818960320785</v>
          </cell>
          <cell r="N260">
            <v>11443.110581137555</v>
          </cell>
          <cell r="O260">
            <v>11310.256887980453</v>
          </cell>
          <cell r="P260">
            <v>12110.53118413112</v>
          </cell>
          <cell r="Q260">
            <v>12856.024895484399</v>
          </cell>
          <cell r="R260">
            <v>13231.48588365146</v>
          </cell>
          <cell r="S260">
            <v>14117.653730056369</v>
          </cell>
          <cell r="T260">
            <v>15195.427029610313</v>
          </cell>
          <cell r="U260">
            <v>15991.059149348286</v>
          </cell>
          <cell r="V260">
            <v>16698.353363407765</v>
          </cell>
          <cell r="W260">
            <v>17384.91328321179</v>
          </cell>
          <cell r="X260">
            <v>18301.685942189361</v>
          </cell>
          <cell r="Y260">
            <v>18986.448737537681</v>
          </cell>
          <cell r="Z260">
            <v>19186.457357777792</v>
          </cell>
          <cell r="AA260">
            <v>19421.389500806956</v>
          </cell>
          <cell r="AB260">
            <v>19309.143644282176</v>
          </cell>
          <cell r="AC260">
            <v>19047.886232108558</v>
          </cell>
          <cell r="AD260">
            <v>19147.291907871771</v>
          </cell>
          <cell r="AE260">
            <v>19450.207372063909</v>
          </cell>
        </row>
        <row r="261">
          <cell r="G261">
            <v>2467.9359409149574</v>
          </cell>
          <cell r="H261">
            <v>2397.5338886369705</v>
          </cell>
          <cell r="I261">
            <v>2512.7786717437752</v>
          </cell>
          <cell r="J261">
            <v>2636.1029875717149</v>
          </cell>
          <cell r="K261">
            <v>2742.4324242276116</v>
          </cell>
          <cell r="L261">
            <v>2727.8870258873567</v>
          </cell>
          <cell r="M261">
            <v>2721.4547400801962</v>
          </cell>
          <cell r="N261">
            <v>2860.7776452843887</v>
          </cell>
          <cell r="O261">
            <v>2827.5642219951133</v>
          </cell>
          <cell r="P261">
            <v>3027.6327960327799</v>
          </cell>
          <cell r="Q261">
            <v>3214.0062238710998</v>
          </cell>
          <cell r="R261">
            <v>3307.8714709128649</v>
          </cell>
          <cell r="S261">
            <v>3529.4134325140922</v>
          </cell>
          <cell r="T261">
            <v>3798.8567574025783</v>
          </cell>
          <cell r="U261">
            <v>3997.7647873370715</v>
          </cell>
          <cell r="V261">
            <v>4174.5883408519412</v>
          </cell>
          <cell r="W261">
            <v>4346.2283208029476</v>
          </cell>
          <cell r="X261">
            <v>4575.4214855473401</v>
          </cell>
          <cell r="Y261">
            <v>4746.6121843844203</v>
          </cell>
          <cell r="Z261">
            <v>5696.4113678519134</v>
          </cell>
          <cell r="AA261">
            <v>7141.6915145381108</v>
          </cell>
          <cell r="AB261">
            <v>8138.7616941484803</v>
          </cell>
          <cell r="AC261">
            <v>8936.3970229625047</v>
          </cell>
          <cell r="AD261">
            <v>9867.6418435425585</v>
          </cell>
          <cell r="AE261">
            <v>10933.03441460919</v>
          </cell>
        </row>
        <row r="262">
          <cell r="G262">
            <v>5141.5332102394941</v>
          </cell>
          <cell r="H262">
            <v>4628.9611906538521</v>
          </cell>
          <cell r="I262">
            <v>4851.4663368605652</v>
          </cell>
          <cell r="J262">
            <v>5089.5707801541757</v>
          </cell>
          <cell r="K262">
            <v>5294.8629088856933</v>
          </cell>
          <cell r="L262">
            <v>5266.7798503984886</v>
          </cell>
          <cell r="M262">
            <v>5254.3609221365559</v>
          </cell>
          <cell r="N262">
            <v>5523.3541256178196</v>
          </cell>
          <cell r="O262">
            <v>5459.2283803495338</v>
          </cell>
          <cell r="P262">
            <v>5845.504323759169</v>
          </cell>
          <cell r="Q262">
            <v>6205.3388055662963</v>
          </cell>
          <cell r="R262">
            <v>6386.5661024010788</v>
          </cell>
          <cell r="S262">
            <v>6814.3010959349658</v>
          </cell>
          <cell r="T262">
            <v>7334.5201009303946</v>
          </cell>
          <cell r="U262">
            <v>7718.5553612618451</v>
          </cell>
          <cell r="V262">
            <v>8059.9517313791303</v>
          </cell>
          <cell r="W262">
            <v>8391.3400841041475</v>
          </cell>
          <cell r="X262">
            <v>8833.8473912138234</v>
          </cell>
          <cell r="Y262">
            <v>9164.3683089257556</v>
          </cell>
          <cell r="Z262">
            <v>9427.4013538185536</v>
          </cell>
          <cell r="AA262">
            <v>9797.3565548521656</v>
          </cell>
          <cell r="AB262">
            <v>9932.861944815053</v>
          </cell>
          <cell r="AC262">
            <v>9966.4333527343661</v>
          </cell>
          <cell r="AD262">
            <v>10182.127978430055</v>
          </cell>
          <cell r="AE262">
            <v>10511.460426461397</v>
          </cell>
        </row>
        <row r="263">
          <cell r="G263">
            <v>38695.862157504649</v>
          </cell>
          <cell r="H263">
            <v>39188.4671848789</v>
          </cell>
          <cell r="I263">
            <v>39741.214823901777</v>
          </cell>
          <cell r="J263">
            <v>40107.89074653374</v>
          </cell>
          <cell r="K263">
            <v>41756.080499778414</v>
          </cell>
          <cell r="L263">
            <v>42655.293736363157</v>
          </cell>
          <cell r="M263">
            <v>41788.422279535007</v>
          </cell>
          <cell r="N263">
            <v>42758.588014985733</v>
          </cell>
          <cell r="O263">
            <v>42675.647914828987</v>
          </cell>
          <cell r="P263">
            <v>44698.188170030255</v>
          </cell>
          <cell r="Q263">
            <v>46622.423951739962</v>
          </cell>
          <cell r="R263">
            <v>47476.187309589091</v>
          </cell>
          <cell r="S263">
            <v>47987.913010357173</v>
          </cell>
          <cell r="T263">
            <v>48926.548887985504</v>
          </cell>
          <cell r="U263">
            <v>49631.181693389517</v>
          </cell>
          <cell r="V263">
            <v>51502.693953272537</v>
          </cell>
          <cell r="W263">
            <v>53982.101264314697</v>
          </cell>
          <cell r="X263">
            <v>56987.497434832425</v>
          </cell>
          <cell r="Y263">
            <v>57959.733733594301</v>
          </cell>
          <cell r="Z263">
            <v>59424.072963241932</v>
          </cell>
          <cell r="AA263">
            <v>62248.204735016327</v>
          </cell>
          <cell r="AB263">
            <v>63461.255420553018</v>
          </cell>
          <cell r="AC263">
            <v>63503.996144116907</v>
          </cell>
          <cell r="AD263">
            <v>64899.250469511047</v>
          </cell>
          <cell r="AE263">
            <v>67021.594229596027</v>
          </cell>
        </row>
        <row r="264">
          <cell r="G264">
            <v>15817.337232070206</v>
          </cell>
          <cell r="H264">
            <v>16018.694674591499</v>
          </cell>
          <cell r="I264">
            <v>16244.636036876404</v>
          </cell>
          <cell r="J264">
            <v>16394.518644467444</v>
          </cell>
          <cell r="K264">
            <v>17068.233395760493</v>
          </cell>
          <cell r="L264">
            <v>17435.796184482177</v>
          </cell>
          <cell r="M264">
            <v>17081.453435541836</v>
          </cell>
          <cell r="N264">
            <v>17478.018798168017</v>
          </cell>
          <cell r="O264">
            <v>17444.116167212251</v>
          </cell>
          <cell r="P264">
            <v>18270.850590436661</v>
          </cell>
          <cell r="Q264">
            <v>19057.402034863284</v>
          </cell>
          <cell r="R264">
            <v>19406.386711636154</v>
          </cell>
          <cell r="S264">
            <v>19615.559928824609</v>
          </cell>
          <cell r="T264">
            <v>19999.237133227925</v>
          </cell>
          <cell r="U264">
            <v>20287.263141344494</v>
          </cell>
          <cell r="V264">
            <v>21052.263296348981</v>
          </cell>
          <cell r="W264">
            <v>22167.22763662495</v>
          </cell>
          <cell r="X264">
            <v>23362.862099979786</v>
          </cell>
          <cell r="Y264">
            <v>23744.685317019321</v>
          </cell>
          <cell r="Z264">
            <v>23996.322284808713</v>
          </cell>
          <cell r="AA264">
            <v>23948.878801276289</v>
          </cell>
          <cell r="AB264">
            <v>23807.88839224822</v>
          </cell>
          <cell r="AC264">
            <v>23579.111074955865</v>
          </cell>
          <cell r="AD264">
            <v>23808.133708016674</v>
          </cell>
          <cell r="AE264">
            <v>24242.268569309461</v>
          </cell>
        </row>
        <row r="265">
          <cell r="G265">
            <v>5322.184838687871</v>
          </cell>
          <cell r="H265">
            <v>5545.0304646425429</v>
          </cell>
          <cell r="I265">
            <v>5646.0717363855647</v>
          </cell>
          <cell r="J265">
            <v>5772.714861515663</v>
          </cell>
          <cell r="K265">
            <v>5942.4333319450498</v>
          </cell>
          <cell r="L265">
            <v>6101.6843781988837</v>
          </cell>
          <cell r="M265">
            <v>5984.6208573422091</v>
          </cell>
          <cell r="N265">
            <v>6060.5218777927839</v>
          </cell>
          <cell r="O265">
            <v>5984.088884824102</v>
          </cell>
          <cell r="P265">
            <v>6250.5787353942815</v>
          </cell>
          <cell r="Q265">
            <v>6572.719636686692</v>
          </cell>
          <cell r="R265">
            <v>6621.4012106557939</v>
          </cell>
          <cell r="S265">
            <v>7007.3620811741166</v>
          </cell>
          <cell r="T265">
            <v>7493.6319939120322</v>
          </cell>
          <cell r="U265">
            <v>7852.5601573598751</v>
          </cell>
          <cell r="V265">
            <v>8244.2529789954897</v>
          </cell>
          <cell r="W265">
            <v>8590.1003647840844</v>
          </cell>
          <cell r="X265">
            <v>8791.169223543573</v>
          </cell>
          <cell r="Y265">
            <v>9001.664162895453</v>
          </cell>
          <cell r="Z265">
            <v>9312.348144124393</v>
          </cell>
          <cell r="AA265">
            <v>9600.2460714418157</v>
          </cell>
          <cell r="AB265">
            <v>9649.7064927956617</v>
          </cell>
          <cell r="AC265">
            <v>9594.2324440334487</v>
          </cell>
          <cell r="AD265">
            <v>9674.6836717986062</v>
          </cell>
          <cell r="AE265">
            <v>9849.4812135498341</v>
          </cell>
        </row>
        <row r="266">
          <cell r="G266">
            <v>40188.47897715179</v>
          </cell>
          <cell r="H266">
            <v>37894.786608260598</v>
          </cell>
          <cell r="I266">
            <v>39692.417744606828</v>
          </cell>
          <cell r="J266">
            <v>41616.076447625463</v>
          </cell>
          <cell r="K266">
            <v>43274.642682815946</v>
          </cell>
          <cell r="L266">
            <v>43037.119273569937</v>
          </cell>
          <cell r="M266">
            <v>42915.311055033781</v>
          </cell>
          <cell r="N266">
            <v>45084.536114695635</v>
          </cell>
          <cell r="O266">
            <v>44539.564838901228</v>
          </cell>
          <cell r="P266">
            <v>47662.286009123229</v>
          </cell>
          <cell r="Q266">
            <v>50573.227173981133</v>
          </cell>
          <cell r="R266">
            <v>52028.353540521784</v>
          </cell>
          <cell r="S266">
            <v>55480.383681701147</v>
          </cell>
          <cell r="T266">
            <v>59679.121785217372</v>
          </cell>
          <cell r="U266">
            <v>62780.458365300248</v>
          </cell>
          <cell r="V266">
            <v>65538.345071305797</v>
          </cell>
          <cell r="W266">
            <v>66650.46253738238</v>
          </cell>
          <cell r="X266">
            <v>67942.572302651621</v>
          </cell>
          <cell r="Y266">
            <v>68392.695694490918</v>
          </cell>
          <cell r="Z266">
            <v>68988.233738220995</v>
          </cell>
          <cell r="AA266">
            <v>69484.825010124769</v>
          </cell>
          <cell r="AB266">
            <v>68888.699697287899</v>
          </cell>
          <cell r="AC266">
            <v>67780.569700880937</v>
          </cell>
          <cell r="AD266">
            <v>67936.197356717166</v>
          </cell>
          <cell r="AE266">
            <v>68764.752407722292</v>
          </cell>
        </row>
        <row r="267">
          <cell r="G267">
            <v>1188.7545350603505</v>
          </cell>
          <cell r="H267">
            <v>1814.3315151782574</v>
          </cell>
          <cell r="I267">
            <v>1900.3987322087844</v>
          </cell>
          <cell r="J267">
            <v>1992.499913445489</v>
          </cell>
          <cell r="K267">
            <v>2071.9089630760959</v>
          </cell>
          <cell r="L267">
            <v>2060.5367864375899</v>
          </cell>
          <cell r="M267">
            <v>2054.7048367295088</v>
          </cell>
          <cell r="N267">
            <v>2158.5632758848569</v>
          </cell>
          <cell r="O267">
            <v>2132.4710703590135</v>
          </cell>
          <cell r="P267">
            <v>2281.9811201401903</v>
          </cell>
          <cell r="Q267">
            <v>2421.3515393175903</v>
          </cell>
          <cell r="R267">
            <v>2491.0202684932815</v>
          </cell>
          <cell r="S267">
            <v>2656.2970159581087</v>
          </cell>
          <cell r="T267">
            <v>2857.3247442295396</v>
          </cell>
          <cell r="U267">
            <v>3005.8109398265065</v>
          </cell>
          <cell r="V267">
            <v>3137.8533977435613</v>
          </cell>
          <cell r="W267">
            <v>3191.0995022312723</v>
          </cell>
          <cell r="X267">
            <v>3252.9633013979505</v>
          </cell>
          <cell r="Y267">
            <v>3274.5143676165139</v>
          </cell>
          <cell r="Z267">
            <v>3365.3187326417874</v>
          </cell>
          <cell r="AA267">
            <v>3474.0116701583424</v>
          </cell>
          <cell r="AB267">
            <v>3512.953897458478</v>
          </cell>
          <cell r="AC267">
            <v>3516.3128897770621</v>
          </cell>
          <cell r="AD267">
            <v>3581.1158402421911</v>
          </cell>
          <cell r="AE267">
            <v>3680.4791879235472</v>
          </cell>
        </row>
        <row r="268">
          <cell r="G268">
            <v>3849.7950827751201</v>
          </cell>
          <cell r="H268">
            <v>3906.2891171259025</v>
          </cell>
          <cell r="I268">
            <v>3961.8719573742533</v>
          </cell>
          <cell r="J268">
            <v>4034.5396870432041</v>
          </cell>
          <cell r="K268">
            <v>4138.6436132460585</v>
          </cell>
          <cell r="L268">
            <v>4100.6830786251285</v>
          </cell>
          <cell r="M268">
            <v>4035.3829999262734</v>
          </cell>
          <cell r="N268">
            <v>4110.6521986094058</v>
          </cell>
          <cell r="O268">
            <v>4006.1320247028834</v>
          </cell>
          <cell r="P268">
            <v>4254.9883579236111</v>
          </cell>
          <cell r="Q268">
            <v>4437.9947273019006</v>
          </cell>
          <cell r="R268">
            <v>4680.7221218276991</v>
          </cell>
          <cell r="S268">
            <v>4828.4799985370428</v>
          </cell>
          <cell r="T268">
            <v>5017.4618558662078</v>
          </cell>
          <cell r="U268">
            <v>5345.4511655331662</v>
          </cell>
          <cell r="V268">
            <v>5516.9923667331486</v>
          </cell>
          <cell r="W268">
            <v>5867.6518045882958</v>
          </cell>
          <cell r="X268">
            <v>6329.7630600932562</v>
          </cell>
          <cell r="Y268">
            <v>6722.9459400846354</v>
          </cell>
          <cell r="Z268">
            <v>6861.7784227451157</v>
          </cell>
          <cell r="AA268">
            <v>6955.8284829545846</v>
          </cell>
          <cell r="AB268">
            <v>6957.0865987713378</v>
          </cell>
          <cell r="AC268">
            <v>6912.3452832716694</v>
          </cell>
          <cell r="AD268">
            <v>6996.4987096325658</v>
          </cell>
          <cell r="AE268">
            <v>7149.722042615902</v>
          </cell>
        </row>
        <row r="269">
          <cell r="G269">
            <v>534.44742790618818</v>
          </cell>
          <cell r="H269">
            <v>549.59350482299533</v>
          </cell>
          <cell r="I269">
            <v>558.80354351382152</v>
          </cell>
          <cell r="J269">
            <v>563.62274980553275</v>
          </cell>
          <cell r="K269">
            <v>587.5147936961863</v>
          </cell>
          <cell r="L269">
            <v>579.97784016970309</v>
          </cell>
          <cell r="M269">
            <v>560.90805620046797</v>
          </cell>
          <cell r="N269">
            <v>573.68000690966471</v>
          </cell>
          <cell r="O269">
            <v>553.53475886949707</v>
          </cell>
          <cell r="P269">
            <v>576.68826299924194</v>
          </cell>
          <cell r="Q269">
            <v>617.12387357911405</v>
          </cell>
          <cell r="R269">
            <v>611.47974591985735</v>
          </cell>
          <cell r="S269">
            <v>612.49116303855203</v>
          </cell>
          <cell r="T269">
            <v>617.39099685506926</v>
          </cell>
          <cell r="U269">
            <v>625.42155541820807</v>
          </cell>
          <cell r="V269">
            <v>634.89317973156528</v>
          </cell>
          <cell r="W269">
            <v>649.66639439859387</v>
          </cell>
          <cell r="X269">
            <v>664.18689457805033</v>
          </cell>
          <cell r="Y269">
            <v>675.222447049018</v>
          </cell>
          <cell r="Z269">
            <v>689.29368563316996</v>
          </cell>
          <cell r="AA269">
            <v>708.88049415932687</v>
          </cell>
          <cell r="AB269">
            <v>715.26417571277989</v>
          </cell>
          <cell r="AC269">
            <v>712.08311568624777</v>
          </cell>
          <cell r="AD269">
            <v>720.56979461845128</v>
          </cell>
          <cell r="AE269">
            <v>738.00039313122193</v>
          </cell>
        </row>
        <row r="270">
          <cell r="G270">
            <v>3115.2089672205038</v>
          </cell>
          <cell r="H270">
            <v>3197.5651166446492</v>
          </cell>
          <cell r="I270">
            <v>3229.0497286223444</v>
          </cell>
          <cell r="J270">
            <v>3272.3257565644481</v>
          </cell>
          <cell r="K270">
            <v>3286.9654885929872</v>
          </cell>
          <cell r="L270">
            <v>3293.264126133221</v>
          </cell>
          <cell r="M270">
            <v>3300.0809674539782</v>
          </cell>
          <cell r="N270">
            <v>3451.930911696365</v>
          </cell>
          <cell r="O270">
            <v>3297.3681869148945</v>
          </cell>
          <cell r="P270">
            <v>3489.5232829070401</v>
          </cell>
          <cell r="Q270">
            <v>3673.2929341504673</v>
          </cell>
          <cell r="R270">
            <v>3717.6174958107317</v>
          </cell>
          <cell r="S270">
            <v>3800.0880835238581</v>
          </cell>
          <cell r="T270">
            <v>3887.0650904153217</v>
          </cell>
          <cell r="U270">
            <v>4056.124578585614</v>
          </cell>
          <cell r="V270">
            <v>4194.5406633190933</v>
          </cell>
          <cell r="W270">
            <v>4344.0884180067906</v>
          </cell>
          <cell r="X270">
            <v>4474.3387921523226</v>
          </cell>
          <cell r="Y270">
            <v>4678.5785905776456</v>
          </cell>
          <cell r="Z270">
            <v>5141.8087527319158</v>
          </cell>
          <cell r="AA270">
            <v>5563.8893544924167</v>
          </cell>
          <cell r="AB270">
            <v>5764.1241758474371</v>
          </cell>
          <cell r="AC270">
            <v>5987.6855187118917</v>
          </cell>
          <cell r="AD270">
            <v>6250.8438285058528</v>
          </cell>
          <cell r="AE270">
            <v>6624.8401927575715</v>
          </cell>
        </row>
        <row r="271">
          <cell r="G271">
            <v>11420.491920913755</v>
          </cell>
          <cell r="H271">
            <v>11592.720625003223</v>
          </cell>
          <cell r="I271">
            <v>11658.563357544677</v>
          </cell>
          <cell r="J271">
            <v>11749.065090113814</v>
          </cell>
          <cell r="K271">
            <v>11779.680679758576</v>
          </cell>
          <cell r="L271">
            <v>11687.872839212228</v>
          </cell>
          <cell r="M271">
            <v>11490.221763086443</v>
          </cell>
          <cell r="N271">
            <v>11768.452142521628</v>
          </cell>
          <cell r="O271">
            <v>11179.822225067792</v>
          </cell>
          <cell r="P271">
            <v>11601.176974790342</v>
          </cell>
          <cell r="Q271">
            <v>12023.171597635273</v>
          </cell>
          <cell r="R271">
            <v>12026.872322236679</v>
          </cell>
          <cell r="S271">
            <v>12163.184919060364</v>
          </cell>
          <cell r="T271">
            <v>12304.230792458153</v>
          </cell>
          <cell r="U271">
            <v>12644.901097631564</v>
          </cell>
          <cell r="V271">
            <v>12931.671530017473</v>
          </cell>
          <cell r="W271">
            <v>13317.881753484435</v>
          </cell>
          <cell r="X271">
            <v>13653.779577349764</v>
          </cell>
          <cell r="Y271">
            <v>14138.492855194008</v>
          </cell>
          <cell r="Z271">
            <v>14622.668209005438</v>
          </cell>
          <cell r="AA271">
            <v>15006.014751748147</v>
          </cell>
          <cell r="AB271">
            <v>15029.928175957646</v>
          </cell>
          <cell r="AC271">
            <v>15034.086030244467</v>
          </cell>
          <cell r="AD271">
            <v>15245.007781740544</v>
          </cell>
          <cell r="AE271">
            <v>15663.703138796815</v>
          </cell>
        </row>
        <row r="272">
          <cell r="G272">
            <v>3691.5192148666688</v>
          </cell>
          <cell r="H272">
            <v>3753.6667501636275</v>
          </cell>
          <cell r="I272">
            <v>3908.1283727573941</v>
          </cell>
          <cell r="J272">
            <v>3990.3782404125386</v>
          </cell>
          <cell r="K272">
            <v>4054.2488327687715</v>
          </cell>
          <cell r="L272">
            <v>4020.6948301558132</v>
          </cell>
          <cell r="M272">
            <v>3920.8513231352058</v>
          </cell>
          <cell r="N272">
            <v>4041.18327816493</v>
          </cell>
          <cell r="O272">
            <v>3904.2872844354733</v>
          </cell>
          <cell r="P272">
            <v>3990.4226943218055</v>
          </cell>
          <cell r="Q272">
            <v>4159.7894375329506</v>
          </cell>
          <cell r="R272">
            <v>4196.5362378426089</v>
          </cell>
          <cell r="S272">
            <v>4339.6995561507783</v>
          </cell>
          <cell r="T272">
            <v>4479.5142833859791</v>
          </cell>
          <cell r="U272">
            <v>4693.9937824858698</v>
          </cell>
          <cell r="V272">
            <v>4845.6041433523815</v>
          </cell>
          <cell r="W272">
            <v>4995.1928652936713</v>
          </cell>
          <cell r="X272">
            <v>5242.7236629585241</v>
          </cell>
          <cell r="Y272">
            <v>5545.2672924388035</v>
          </cell>
          <cell r="Z272">
            <v>5673.8896302172889</v>
          </cell>
          <cell r="AA272">
            <v>5924.0874725941449</v>
          </cell>
          <cell r="AB272">
            <v>5934.4464396809926</v>
          </cell>
          <cell r="AC272">
            <v>5912.4372921907834</v>
          </cell>
          <cell r="AD272">
            <v>6006.6769874874071</v>
          </cell>
          <cell r="AE272">
            <v>6164.8604393322439</v>
          </cell>
        </row>
        <row r="273">
          <cell r="G273">
            <v>17497.207948601801</v>
          </cell>
          <cell r="H273">
            <v>17791.777280438058</v>
          </cell>
          <cell r="I273">
            <v>18901.054967077107</v>
          </cell>
          <cell r="J273">
            <v>19491.738538742164</v>
          </cell>
          <cell r="K273">
            <v>19950.42997123814</v>
          </cell>
          <cell r="L273">
            <v>19905.594194185171</v>
          </cell>
          <cell r="M273">
            <v>19584.467713881531</v>
          </cell>
          <cell r="N273">
            <v>20522.118178496305</v>
          </cell>
          <cell r="O273">
            <v>20034.834221414225</v>
          </cell>
          <cell r="P273">
            <v>20616.976813630718</v>
          </cell>
          <cell r="Q273">
            <v>21762.89295682016</v>
          </cell>
          <cell r="R273">
            <v>22193.060520158731</v>
          </cell>
          <cell r="S273">
            <v>23288.74802317745</v>
          </cell>
          <cell r="T273">
            <v>24369.151315222582</v>
          </cell>
          <cell r="U273">
            <v>25933.512365323673</v>
          </cell>
          <cell r="V273">
            <v>27027.347784204048</v>
          </cell>
          <cell r="W273">
            <v>28045.729928476008</v>
          </cell>
          <cell r="X273">
            <v>28851.325810615399</v>
          </cell>
          <cell r="Y273">
            <v>28873.897229677121</v>
          </cell>
          <cell r="Z273">
            <v>29028.51577124407</v>
          </cell>
          <cell r="AA273">
            <v>28959.754956209981</v>
          </cell>
          <cell r="AB273">
            <v>28706.819769662256</v>
          </cell>
          <cell r="AC273">
            <v>28180.95717693547</v>
          </cell>
          <cell r="AD273">
            <v>28203.027422428651</v>
          </cell>
          <cell r="AE273">
            <v>28506.77394470897</v>
          </cell>
        </row>
        <row r="276">
          <cell r="G276">
            <v>53708.756626847957</v>
          </cell>
          <cell r="H276">
            <v>50349.464058565485</v>
          </cell>
          <cell r="I276">
            <v>50585.765733522334</v>
          </cell>
          <cell r="J276">
            <v>50756.917170227302</v>
          </cell>
          <cell r="K276">
            <v>50890.56319950617</v>
          </cell>
          <cell r="L276">
            <v>50409.683971895211</v>
          </cell>
          <cell r="M276">
            <v>49748.857660934671</v>
          </cell>
          <cell r="N276">
            <v>51074.418525560905</v>
          </cell>
          <cell r="O276">
            <v>50637.294229816769</v>
          </cell>
          <cell r="P276">
            <v>51882.363343747689</v>
          </cell>
          <cell r="Q276">
            <v>53040.286432316985</v>
          </cell>
          <cell r="R276">
            <v>53738.485192411041</v>
          </cell>
          <cell r="S276">
            <v>55949.769545049654</v>
          </cell>
          <cell r="T276">
            <v>57329.270888827872</v>
          </cell>
          <cell r="U276">
            <v>59883.340093594605</v>
          </cell>
          <cell r="V276">
            <v>62238.988957004687</v>
          </cell>
          <cell r="W276">
            <v>64365.633187934131</v>
          </cell>
          <cell r="X276">
            <v>65570.953790492698</v>
          </cell>
          <cell r="Y276">
            <v>67305.727422033131</v>
          </cell>
          <cell r="Z276">
            <v>68196.039917622096</v>
          </cell>
          <cell r="AA276">
            <v>68883.240349581378</v>
          </cell>
          <cell r="AB276">
            <v>68252.643635550878</v>
          </cell>
          <cell r="AC276">
            <v>68712.851087571893</v>
          </cell>
          <cell r="AD276">
            <v>69589.365365579099</v>
          </cell>
          <cell r="AE276">
            <v>71181.30416701932</v>
          </cell>
        </row>
        <row r="277">
          <cell r="G277">
            <v>18897.525479816875</v>
          </cell>
          <cell r="H277">
            <v>22684.496812891877</v>
          </cell>
          <cell r="I277">
            <v>22790.96040079034</v>
          </cell>
          <cell r="J277">
            <v>22868.071136585651</v>
          </cell>
          <cell r="K277">
            <v>22928.284149413474</v>
          </cell>
          <cell r="L277">
            <v>22711.628351579398</v>
          </cell>
          <cell r="M277">
            <v>22413.899018702621</v>
          </cell>
          <cell r="N277">
            <v>23011.11850794945</v>
          </cell>
          <cell r="O277">
            <v>22814.176099940669</v>
          </cell>
          <cell r="P277">
            <v>23375.130757053677</v>
          </cell>
          <cell r="Q277">
            <v>23896.822558612297</v>
          </cell>
          <cell r="R277">
            <v>24211.389711297299</v>
          </cell>
          <cell r="S277">
            <v>25207.663927671896</v>
          </cell>
          <cell r="T277">
            <v>25829.18581318625</v>
          </cell>
          <cell r="U277">
            <v>26979.898652314874</v>
          </cell>
          <cell r="V277">
            <v>28041.214996658913</v>
          </cell>
          <cell r="W277">
            <v>28999.35536976318</v>
          </cell>
          <cell r="X277">
            <v>29542.401693661457</v>
          </cell>
          <cell r="Y277">
            <v>30323.988303401613</v>
          </cell>
          <cell r="Z277">
            <v>31006.105312805237</v>
          </cell>
          <cell r="AA277">
            <v>31737.357087980727</v>
          </cell>
          <cell r="AB277">
            <v>31853.529467166318</v>
          </cell>
          <cell r="AC277">
            <v>32575.680823859493</v>
          </cell>
          <cell r="AD277">
            <v>33518.523530953906</v>
          </cell>
          <cell r="AE277">
            <v>34882.341931854091</v>
          </cell>
        </row>
        <row r="278">
          <cell r="G278">
            <v>26854.378313423978</v>
          </cell>
          <cell r="H278">
            <v>26617.32886145165</v>
          </cell>
          <cell r="I278">
            <v>26742.250139372747</v>
          </cell>
          <cell r="J278">
            <v>26832.72963426046</v>
          </cell>
          <cell r="K278">
            <v>26903.381832428946</v>
          </cell>
          <cell r="L278">
            <v>26649.16421992223</v>
          </cell>
          <cell r="M278">
            <v>26299.817279134986</v>
          </cell>
          <cell r="N278">
            <v>27000.577259789123</v>
          </cell>
          <cell r="O278">
            <v>26769.490765608803</v>
          </cell>
          <cell r="P278">
            <v>27427.698646872188</v>
          </cell>
          <cell r="Q278">
            <v>28039.836635250114</v>
          </cell>
          <cell r="R278">
            <v>28408.940584131567</v>
          </cell>
          <cell r="S278">
            <v>29577.939776494393</v>
          </cell>
          <cell r="T278">
            <v>30307.215482179141</v>
          </cell>
          <cell r="U278">
            <v>31657.428463177443</v>
          </cell>
          <cell r="V278">
            <v>32902.746196978107</v>
          </cell>
          <cell r="W278">
            <v>34027.00024663622</v>
          </cell>
          <cell r="X278">
            <v>34664.19501050633</v>
          </cell>
          <cell r="Y278">
            <v>35581.286008678158</v>
          </cell>
          <cell r="Z278">
            <v>36083.497426165137</v>
          </cell>
          <cell r="AA278">
            <v>36494.12300096816</v>
          </cell>
          <cell r="AB278">
            <v>36205.695140698299</v>
          </cell>
          <cell r="AC278">
            <v>36506.780251500866</v>
          </cell>
          <cell r="AD278">
            <v>37031.665828922414</v>
          </cell>
          <cell r="AE278">
            <v>37945.836580810574</v>
          </cell>
        </row>
        <row r="279">
          <cell r="G279">
            <v>2899.3137186553386</v>
          </cell>
          <cell r="H279">
            <v>4653.2063275829678</v>
          </cell>
          <cell r="I279">
            <v>4722.1827958588665</v>
          </cell>
          <cell r="J279">
            <v>4803.0505198635774</v>
          </cell>
          <cell r="K279">
            <v>4864.1054718609148</v>
          </cell>
          <cell r="L279">
            <v>4847.1465088239911</v>
          </cell>
          <cell r="M279">
            <v>4921.2901977497777</v>
          </cell>
          <cell r="N279">
            <v>5132.826898850004</v>
          </cell>
          <cell r="O279">
            <v>5165.3941277993135</v>
          </cell>
          <cell r="P279">
            <v>5307.180926289423</v>
          </cell>
          <cell r="Q279">
            <v>5413.9324826064094</v>
          </cell>
          <cell r="R279">
            <v>5527.7892431994651</v>
          </cell>
          <cell r="S279">
            <v>5793.8879649185292</v>
          </cell>
          <cell r="T279">
            <v>6012.6273752844645</v>
          </cell>
          <cell r="U279">
            <v>6396.3583829453282</v>
          </cell>
          <cell r="V279">
            <v>6644.3243452930392</v>
          </cell>
          <cell r="W279">
            <v>6897.2765527024421</v>
          </cell>
          <cell r="X279">
            <v>7099.8649378566442</v>
          </cell>
          <cell r="Y279">
            <v>7280.7841604239902</v>
          </cell>
          <cell r="Z279">
            <v>7440.8024860006608</v>
          </cell>
          <cell r="AA279">
            <v>7753.3183815559305</v>
          </cell>
          <cell r="AB279">
            <v>7831.6449985303652</v>
          </cell>
          <cell r="AC279">
            <v>8006.5157584517292</v>
          </cell>
          <cell r="AD279">
            <v>8228.1687845852503</v>
          </cell>
          <cell r="AE279">
            <v>8541.3880336494094</v>
          </cell>
        </row>
        <row r="280">
          <cell r="G280">
            <v>9277.8038996970827</v>
          </cell>
          <cell r="H280">
            <v>8594.3945235766678</v>
          </cell>
          <cell r="I280">
            <v>8721.7929107257623</v>
          </cell>
          <cell r="J280">
            <v>8871.1542489927488</v>
          </cell>
          <cell r="K280">
            <v>8983.9217276176933</v>
          </cell>
          <cell r="L280">
            <v>8952.5988055744328</v>
          </cell>
          <cell r="M280">
            <v>9089.5409631323892</v>
          </cell>
          <cell r="N280">
            <v>9480.2457239968408</v>
          </cell>
          <cell r="O280">
            <v>9540.3968530088641</v>
          </cell>
          <cell r="P280">
            <v>9802.2747064011619</v>
          </cell>
          <cell r="Q280">
            <v>9999.4430514959204</v>
          </cell>
          <cell r="R280">
            <v>10209.734590453189</v>
          </cell>
          <cell r="S280">
            <v>10701.214493916017</v>
          </cell>
          <cell r="T280">
            <v>11105.222538733551</v>
          </cell>
          <cell r="U280">
            <v>11813.967313539215</v>
          </cell>
          <cell r="V280">
            <v>12271.956312694891</v>
          </cell>
          <cell r="W280">
            <v>12739.154823364681</v>
          </cell>
          <cell r="X280">
            <v>13113.332193834716</v>
          </cell>
          <cell r="Y280">
            <v>13447.486982206243</v>
          </cell>
          <cell r="Z280">
            <v>13640.857864027112</v>
          </cell>
          <cell r="AA280">
            <v>13872.69083053642</v>
          </cell>
          <cell r="AB280">
            <v>13796.657277388424</v>
          </cell>
          <cell r="AC280">
            <v>13921.166336675924</v>
          </cell>
          <cell r="AD280">
            <v>14127.797044953708</v>
          </cell>
          <cell r="AE280">
            <v>14478.709794728822</v>
          </cell>
        </row>
        <row r="281">
          <cell r="G281">
            <v>2319.4509749242707</v>
          </cell>
          <cell r="H281">
            <v>2148.5986308941669</v>
          </cell>
          <cell r="I281">
            <v>2180.4482276814406</v>
          </cell>
          <cell r="J281">
            <v>2217.7885622481872</v>
          </cell>
          <cell r="K281">
            <v>2245.9804319044233</v>
          </cell>
          <cell r="L281">
            <v>2238.1497013936082</v>
          </cell>
          <cell r="M281">
            <v>2272.3852407830973</v>
          </cell>
          <cell r="N281">
            <v>2370.0614309992102</v>
          </cell>
          <cell r="O281">
            <v>2385.099213252216</v>
          </cell>
          <cell r="P281">
            <v>2450.5686766002905</v>
          </cell>
          <cell r="Q281">
            <v>2499.8607628739801</v>
          </cell>
          <cell r="R281">
            <v>2552.4336476132971</v>
          </cell>
          <cell r="S281">
            <v>2675.3036234790043</v>
          </cell>
          <cell r="T281">
            <v>2776.3056346833878</v>
          </cell>
          <cell r="U281">
            <v>2953.4918283848037</v>
          </cell>
          <cell r="V281">
            <v>3067.9890781737226</v>
          </cell>
          <cell r="W281">
            <v>3184.7887058411702</v>
          </cell>
          <cell r="X281">
            <v>3278.3330484586791</v>
          </cell>
          <cell r="Y281">
            <v>3361.8717455515607</v>
          </cell>
          <cell r="Z281">
            <v>3632.5223696265007</v>
          </cell>
          <cell r="AA281">
            <v>4441.9015054216325</v>
          </cell>
          <cell r="AB281">
            <v>4903.0609251577835</v>
          </cell>
          <cell r="AC281">
            <v>5365.9975567944002</v>
          </cell>
          <cell r="AD281">
            <v>5858.7859645388498</v>
          </cell>
          <cell r="AE281">
            <v>6441.6862271514865</v>
          </cell>
        </row>
        <row r="282">
          <cell r="G282">
            <v>4832.1895310922318</v>
          </cell>
          <cell r="H282">
            <v>4148.337474535304</v>
          </cell>
          <cell r="I282">
            <v>4209.8300557934908</v>
          </cell>
          <cell r="J282">
            <v>4281.9237018415006</v>
          </cell>
          <cell r="K282">
            <v>4336.3542444708164</v>
          </cell>
          <cell r="L282">
            <v>4321.2353142230195</v>
          </cell>
          <cell r="M282">
            <v>4387.3344771696347</v>
          </cell>
          <cell r="N282">
            <v>4575.9196295648571</v>
          </cell>
          <cell r="O282">
            <v>4604.9533424031115</v>
          </cell>
          <cell r="P282">
            <v>4731.3563961607624</v>
          </cell>
          <cell r="Q282">
            <v>4826.5255011518029</v>
          </cell>
          <cell r="R282">
            <v>4928.0289019138954</v>
          </cell>
          <cell r="S282">
            <v>5165.2561429862953</v>
          </cell>
          <cell r="T282">
            <v>5360.2625169353532</v>
          </cell>
          <cell r="U282">
            <v>5702.3590428909547</v>
          </cell>
          <cell r="V282">
            <v>5923.4209132659416</v>
          </cell>
          <cell r="W282">
            <v>6148.928025435609</v>
          </cell>
          <cell r="X282">
            <v>6329.5357464083654</v>
          </cell>
          <cell r="Y282">
            <v>6490.8253901516618</v>
          </cell>
          <cell r="Z282">
            <v>6641.7124607483611</v>
          </cell>
          <cell r="AA282">
            <v>6948.1408095370089</v>
          </cell>
          <cell r="AB282">
            <v>7035.7465017183213</v>
          </cell>
          <cell r="AC282">
            <v>7207.6309870677396</v>
          </cell>
          <cell r="AD282">
            <v>7421.5670118882181</v>
          </cell>
          <cell r="AE282">
            <v>7719.1351981849666</v>
          </cell>
        </row>
        <row r="283">
          <cell r="G283">
            <v>52715.95523740026</v>
          </cell>
          <cell r="H283">
            <v>52972.193082349717</v>
          </cell>
          <cell r="I283">
            <v>53212.466582069668</v>
          </cell>
          <cell r="J283">
            <v>53938.137008894228</v>
          </cell>
          <cell r="K283">
            <v>54658.14918677666</v>
          </cell>
          <cell r="L283">
            <v>54742.833531026023</v>
          </cell>
          <cell r="M283">
            <v>54443.844986943564</v>
          </cell>
          <cell r="N283">
            <v>55849.634953873981</v>
          </cell>
          <cell r="O283">
            <v>55878.248310892755</v>
          </cell>
          <cell r="P283">
            <v>57396.258918086387</v>
          </cell>
          <cell r="Q283">
            <v>58035.309287294032</v>
          </cell>
          <cell r="R283">
            <v>59654.398509755512</v>
          </cell>
          <cell r="S283">
            <v>62104.8709686109</v>
          </cell>
          <cell r="T283">
            <v>63526.574546607473</v>
          </cell>
          <cell r="U283">
            <v>65957.962889180169</v>
          </cell>
          <cell r="V283">
            <v>68171.241513705259</v>
          </cell>
          <cell r="W283">
            <v>70617.724740144578</v>
          </cell>
          <cell r="X283">
            <v>71464.039108899116</v>
          </cell>
          <cell r="Y283">
            <v>72789.143125892486</v>
          </cell>
          <cell r="Z283">
            <v>75215.745131270101</v>
          </cell>
          <cell r="AA283">
            <v>76186.560911929831</v>
          </cell>
          <cell r="AB283">
            <v>76853.980700327316</v>
          </cell>
          <cell r="AC283">
            <v>77917.122126248083</v>
          </cell>
          <cell r="AD283">
            <v>79216.483772401363</v>
          </cell>
          <cell r="AE283">
            <v>81328.70406933871</v>
          </cell>
        </row>
        <row r="284">
          <cell r="G284">
            <v>12325.222891105739</v>
          </cell>
          <cell r="H284">
            <v>12411.478571584297</v>
          </cell>
          <cell r="I284">
            <v>12492.3602782791</v>
          </cell>
          <cell r="J284">
            <v>12736.637997994008</v>
          </cell>
          <cell r="K284">
            <v>12979.011018139992</v>
          </cell>
          <cell r="L284">
            <v>13082.905311561863</v>
          </cell>
          <cell r="M284">
            <v>13062.787028174751</v>
          </cell>
          <cell r="N284">
            <v>13424.845554871805</v>
          </cell>
          <cell r="O284">
            <v>13548.59001540821</v>
          </cell>
          <cell r="P284">
            <v>13980.657672693853</v>
          </cell>
          <cell r="Q284">
            <v>14151.634240852109</v>
          </cell>
          <cell r="R284">
            <v>14662.608287554143</v>
          </cell>
          <cell r="S284">
            <v>15342.221667490938</v>
          </cell>
          <cell r="T284">
            <v>15752.539658883021</v>
          </cell>
          <cell r="U284">
            <v>16413.182641424464</v>
          </cell>
          <cell r="V284">
            <v>17008.725904970168</v>
          </cell>
          <cell r="W284">
            <v>17714.846912884725</v>
          </cell>
          <cell r="X284">
            <v>18311.517709238116</v>
          </cell>
          <cell r="Y284">
            <v>18790.104072193208</v>
          </cell>
          <cell r="Z284">
            <v>19448.410032238226</v>
          </cell>
          <cell r="AA284">
            <v>20279.403781524616</v>
          </cell>
          <cell r="AB284">
            <v>20865.767577195416</v>
          </cell>
          <cell r="AC284">
            <v>21460.307798955622</v>
          </cell>
          <cell r="AD284">
            <v>22071.159594989709</v>
          </cell>
          <cell r="AE284">
            <v>22914.833275438461</v>
          </cell>
        </row>
        <row r="285">
          <cell r="G285">
            <v>4064.3381986614581</v>
          </cell>
          <cell r="H285">
            <v>4110.6155283892722</v>
          </cell>
          <cell r="I285">
            <v>4130.4447133594185</v>
          </cell>
          <cell r="J285">
            <v>4205.0534065292159</v>
          </cell>
          <cell r="K285">
            <v>4217.0450784455206</v>
          </cell>
          <cell r="L285">
            <v>4170.9267556090681</v>
          </cell>
          <cell r="M285">
            <v>4134.7945018280743</v>
          </cell>
          <cell r="N285">
            <v>4282.9160340500976</v>
          </cell>
          <cell r="O285">
            <v>4275.4670964137213</v>
          </cell>
          <cell r="P285">
            <v>4429.7057135800214</v>
          </cell>
          <cell r="Q285">
            <v>4571.3057004235488</v>
          </cell>
          <cell r="R285">
            <v>4650.7392960571424</v>
          </cell>
          <cell r="S285">
            <v>4871.7140546202527</v>
          </cell>
          <cell r="T285">
            <v>5071.655054028929</v>
          </cell>
          <cell r="U285">
            <v>5305.9233944586949</v>
          </cell>
          <cell r="V285">
            <v>5510.6914731726365</v>
          </cell>
          <cell r="W285">
            <v>5667.2540484688725</v>
          </cell>
          <cell r="X285">
            <v>5754.0571342942558</v>
          </cell>
          <cell r="Y285">
            <v>5912.2142025016201</v>
          </cell>
          <cell r="Z285">
            <v>6003.5111888109896</v>
          </cell>
          <cell r="AA285">
            <v>6134.9943818498568</v>
          </cell>
          <cell r="AB285">
            <v>6108.7349988576152</v>
          </cell>
          <cell r="AC285">
            <v>6173.6786485485254</v>
          </cell>
          <cell r="AD285">
            <v>6269.9374728963212</v>
          </cell>
          <cell r="AE285">
            <v>6430.4101834982612</v>
          </cell>
        </row>
        <row r="286">
          <cell r="G286">
            <v>23923.707463310635</v>
          </cell>
          <cell r="H286">
            <v>21647.641659652782</v>
          </cell>
          <cell r="I286">
            <v>22128.313168026249</v>
          </cell>
          <cell r="J286">
            <v>22691.850441645358</v>
          </cell>
          <cell r="K286">
            <v>23117.319831479061</v>
          </cell>
          <cell r="L286">
            <v>23149.057701051199</v>
          </cell>
          <cell r="M286">
            <v>23825.879336971771</v>
          </cell>
          <cell r="N286">
            <v>25078.936527734691</v>
          </cell>
          <cell r="O286">
            <v>25532.814116989506</v>
          </cell>
          <cell r="P286">
            <v>26363.909867431343</v>
          </cell>
          <cell r="Q286">
            <v>27020.037905563124</v>
          </cell>
          <cell r="R286">
            <v>27745.751550098303</v>
          </cell>
          <cell r="S286">
            <v>29311.199170970409</v>
          </cell>
          <cell r="T286">
            <v>30699.76709413149</v>
          </cell>
          <cell r="U286">
            <v>33060.000699184602</v>
          </cell>
          <cell r="V286">
            <v>34490.685630520056</v>
          </cell>
          <cell r="W286">
            <v>35472.814235427039</v>
          </cell>
          <cell r="X286">
            <v>35945.792596740102</v>
          </cell>
          <cell r="Y286">
            <v>36599.196670922705</v>
          </cell>
          <cell r="Z286">
            <v>37338.175449304828</v>
          </cell>
          <cell r="AA286">
            <v>37764.39848142652</v>
          </cell>
          <cell r="AB286">
            <v>37576.372594239103</v>
          </cell>
          <cell r="AC286">
            <v>37973.19540543147</v>
          </cell>
          <cell r="AD286">
            <v>38602.990098158494</v>
          </cell>
          <cell r="AE286">
            <v>39622.564281848492</v>
          </cell>
        </row>
        <row r="287">
          <cell r="G287">
            <v>996.27006530550568</v>
          </cell>
          <cell r="H287">
            <v>1459.1695219378896</v>
          </cell>
          <cell r="I287">
            <v>1491.5694122404775</v>
          </cell>
          <cell r="J287">
            <v>1529.5549086316887</v>
          </cell>
          <cell r="K287">
            <v>1558.2338740323387</v>
          </cell>
          <cell r="L287">
            <v>1560.3731801377803</v>
          </cell>
          <cell r="M287">
            <v>1605.9946625352893</v>
          </cell>
          <cell r="N287">
            <v>1690.4575749741171</v>
          </cell>
          <cell r="O287">
            <v>1721.0514084892775</v>
          </cell>
          <cell r="P287">
            <v>1777.0718105230519</v>
          </cell>
          <cell r="Q287">
            <v>1821.2984311768487</v>
          </cell>
          <cell r="R287">
            <v>1870.2155025331188</v>
          </cell>
          <cell r="S287">
            <v>1975.7352396241201</v>
          </cell>
          <cell r="T287">
            <v>2069.3323170551284</v>
          </cell>
          <cell r="U287">
            <v>2228.4249792163846</v>
          </cell>
          <cell r="V287">
            <v>2324.8609734979896</v>
          </cell>
          <cell r="W287">
            <v>2391.0618165013484</v>
          </cell>
          <cell r="X287">
            <v>2422.9431465887023</v>
          </cell>
          <cell r="Y287">
            <v>2466.986157164506</v>
          </cell>
          <cell r="Z287">
            <v>2548.1271595340168</v>
          </cell>
          <cell r="AA287">
            <v>2591.155501135403</v>
          </cell>
          <cell r="AB287">
            <v>2602.4683840851649</v>
          </cell>
          <cell r="AC287">
            <v>2654.8483583836405</v>
          </cell>
          <cell r="AD287">
            <v>2724.2999372452</v>
          </cell>
          <cell r="AE287">
            <v>2822.2253817942296</v>
          </cell>
        </row>
        <row r="288">
          <cell r="G288">
            <v>6892.3787896395215</v>
          </cell>
          <cell r="H288">
            <v>6928.1609750366788</v>
          </cell>
          <cell r="I288">
            <v>6982.6206747894967</v>
          </cell>
          <cell r="J288">
            <v>7002.6744270450472</v>
          </cell>
          <cell r="K288">
            <v>7017.2232277010353</v>
          </cell>
          <cell r="L288">
            <v>6982.0498196612562</v>
          </cell>
          <cell r="M288">
            <v>6901.8684594309616</v>
          </cell>
          <cell r="N288">
            <v>7198.137989982336</v>
          </cell>
          <cell r="O288">
            <v>7124.1508540068598</v>
          </cell>
          <cell r="P288">
            <v>7324.0058826836794</v>
          </cell>
          <cell r="Q288">
            <v>7473.4110288347356</v>
          </cell>
          <cell r="R288">
            <v>7621.4968117202607</v>
          </cell>
          <cell r="S288">
            <v>7927.3463352318622</v>
          </cell>
          <cell r="T288">
            <v>8076.0865137607298</v>
          </cell>
          <cell r="U288">
            <v>8366.4477846220634</v>
          </cell>
          <cell r="V288">
            <v>8638.4901170356188</v>
          </cell>
          <cell r="W288">
            <v>8983.0887739326063</v>
          </cell>
          <cell r="X288">
            <v>9271.6822999805772</v>
          </cell>
          <cell r="Y288">
            <v>9518.2206653226694</v>
          </cell>
          <cell r="Z288">
            <v>10391.498689374765</v>
          </cell>
          <cell r="AA288">
            <v>13044.720292089158</v>
          </cell>
          <cell r="AB288">
            <v>14581.489120295437</v>
          </cell>
          <cell r="AC288">
            <v>16100.012982795835</v>
          </cell>
          <cell r="AD288">
            <v>17707.540694802836</v>
          </cell>
          <cell r="AE288">
            <v>19596.207526869926</v>
          </cell>
        </row>
        <row r="289">
          <cell r="G289">
            <v>1781.7556093565017</v>
          </cell>
          <cell r="H289">
            <v>1783.0538360074877</v>
          </cell>
          <cell r="I289">
            <v>1788.8878421921647</v>
          </cell>
          <cell r="J289">
            <v>1807.4316475648882</v>
          </cell>
          <cell r="K289">
            <v>1812.4722930184073</v>
          </cell>
          <cell r="L289">
            <v>1793.6088525783809</v>
          </cell>
          <cell r="M289">
            <v>1774.6486729597157</v>
          </cell>
          <cell r="N289">
            <v>1823.0509687537462</v>
          </cell>
          <cell r="O289">
            <v>1794.2995981969964</v>
          </cell>
          <cell r="P289">
            <v>1840.40380825741</v>
          </cell>
          <cell r="Q289">
            <v>1872.8279339126823</v>
          </cell>
          <cell r="R289">
            <v>1897.4249208326673</v>
          </cell>
          <cell r="S289">
            <v>1968.2360718720968</v>
          </cell>
          <cell r="T289">
            <v>2005.124253123417</v>
          </cell>
          <cell r="U289">
            <v>2074.6913217054471</v>
          </cell>
          <cell r="V289">
            <v>2157.0993395020882</v>
          </cell>
          <cell r="W289">
            <v>2230.5387643737845</v>
          </cell>
          <cell r="X289">
            <v>2244.3283016341893</v>
          </cell>
          <cell r="Y289">
            <v>2286.2415552117754</v>
          </cell>
          <cell r="Z289">
            <v>2326.3694648036135</v>
          </cell>
          <cell r="AA289">
            <v>2374.7982364656368</v>
          </cell>
          <cell r="AB289">
            <v>2372.028004997203</v>
          </cell>
          <cell r="AC289">
            <v>2401.8374704377493</v>
          </cell>
          <cell r="AD289">
            <v>2445.1309775396853</v>
          </cell>
          <cell r="AE289">
            <v>2516.1911582055527</v>
          </cell>
        </row>
        <row r="290">
          <cell r="G290">
            <v>2766.2306421587773</v>
          </cell>
          <cell r="H290">
            <v>2818.4580776956645</v>
          </cell>
          <cell r="I290">
            <v>2891.2487001949826</v>
          </cell>
          <cell r="J290">
            <v>2928.2449547405686</v>
          </cell>
          <cell r="K290">
            <v>2963.6022730245368</v>
          </cell>
          <cell r="L290">
            <v>2967.139006534268</v>
          </cell>
          <cell r="M290">
            <v>2966.3889493279867</v>
          </cell>
          <cell r="N290">
            <v>3122.6086524580405</v>
          </cell>
          <cell r="O290">
            <v>3102.4778216604896</v>
          </cell>
          <cell r="P290">
            <v>3203.2341197678347</v>
          </cell>
          <cell r="Q290">
            <v>3308.1437877260823</v>
          </cell>
          <cell r="R290">
            <v>3416.7948674728191</v>
          </cell>
          <cell r="S290">
            <v>3565.1526112071565</v>
          </cell>
          <cell r="T290">
            <v>3680.8949130500373</v>
          </cell>
          <cell r="U290">
            <v>3890.9266215566536</v>
          </cell>
          <cell r="V290">
            <v>4108.0317271811991</v>
          </cell>
          <cell r="W290">
            <v>4297.4681162204697</v>
          </cell>
          <cell r="X290">
            <v>4366.5805978291328</v>
          </cell>
          <cell r="Y290">
            <v>4487.4959667609901</v>
          </cell>
          <cell r="Z290">
            <v>4926.8541427762138</v>
          </cell>
          <cell r="AA290">
            <v>5327.6338130134527</v>
          </cell>
          <cell r="AB290">
            <v>5467.5606581810716</v>
          </cell>
          <cell r="AC290">
            <v>5692.4167839611218</v>
          </cell>
          <cell r="AD290">
            <v>6015.7371534228814</v>
          </cell>
          <cell r="AE290">
            <v>6447.6555798742547</v>
          </cell>
        </row>
        <row r="291">
          <cell r="G291">
            <v>4846.9173570763787</v>
          </cell>
          <cell r="H291">
            <v>5008.2207596646458</v>
          </cell>
          <cell r="I291">
            <v>5233.033158836829</v>
          </cell>
          <cell r="J291">
            <v>5347.2953599171369</v>
          </cell>
          <cell r="K291">
            <v>5456.4957387404911</v>
          </cell>
          <cell r="L291">
            <v>5518.8324925047837</v>
          </cell>
          <cell r="M291">
            <v>5571.4355115558528</v>
          </cell>
          <cell r="N291">
            <v>5978.1045452741855</v>
          </cell>
          <cell r="O291">
            <v>5993.7545762651171</v>
          </cell>
          <cell r="P291">
            <v>6251.1086086014566</v>
          </cell>
          <cell r="Q291">
            <v>6545.0150556943636</v>
          </cell>
          <cell r="R291">
            <v>6857.360364281305</v>
          </cell>
          <cell r="S291">
            <v>7216.4853030157956</v>
          </cell>
          <cell r="T291">
            <v>7527.399842884297</v>
          </cell>
          <cell r="U291">
            <v>8068.4471852160214</v>
          </cell>
          <cell r="V291">
            <v>8637.0155147854675</v>
          </cell>
          <cell r="W291">
            <v>9132.2699067393223</v>
          </cell>
          <cell r="X291">
            <v>9334.210585621915</v>
          </cell>
          <cell r="Y291">
            <v>9652.3734184585046</v>
          </cell>
          <cell r="Z291">
            <v>10129.531809913426</v>
          </cell>
          <cell r="AA291">
            <v>10549.414687247838</v>
          </cell>
          <cell r="AB291">
            <v>10617.785206666567</v>
          </cell>
          <cell r="AC291">
            <v>10850.415661333316</v>
          </cell>
          <cell r="AD291">
            <v>11208.394192480373</v>
          </cell>
          <cell r="AE291">
            <v>11723.25428099248</v>
          </cell>
        </row>
        <row r="292">
          <cell r="G292">
            <v>8982.682049718147</v>
          </cell>
          <cell r="H292">
            <v>9133.9571886090871</v>
          </cell>
          <cell r="I292">
            <v>9228.0551391407607</v>
          </cell>
          <cell r="J292">
            <v>9325.9303391624871</v>
          </cell>
          <cell r="K292">
            <v>9435.3594788008522</v>
          </cell>
          <cell r="L292">
            <v>9402.5029670648019</v>
          </cell>
          <cell r="M292">
            <v>9317.0133829133265</v>
          </cell>
          <cell r="N292">
            <v>9594.8534284338602</v>
          </cell>
          <cell r="O292">
            <v>9549.1543135264837</v>
          </cell>
          <cell r="P292">
            <v>9905.9247494187312</v>
          </cell>
          <cell r="Q292">
            <v>10179.873946420012</v>
          </cell>
          <cell r="R292">
            <v>10570.47967384969</v>
          </cell>
          <cell r="S292">
            <v>11214.050773343295</v>
          </cell>
          <cell r="T292">
            <v>11613.829592872014</v>
          </cell>
          <cell r="U292">
            <v>12097.143965452469</v>
          </cell>
          <cell r="V292">
            <v>12642.748453845543</v>
          </cell>
          <cell r="W292">
            <v>13013.240075139931</v>
          </cell>
          <cell r="X292">
            <v>13291.521251566393</v>
          </cell>
          <cell r="Y292">
            <v>13704.521907588638</v>
          </cell>
          <cell r="Z292">
            <v>14204.638505637235</v>
          </cell>
          <cell r="AA292">
            <v>14704.160551185496</v>
          </cell>
          <cell r="AB292">
            <v>14715.028570659057</v>
          </cell>
          <cell r="AC292">
            <v>14928.119440779048</v>
          </cell>
          <cell r="AD292">
            <v>15215.031073933886</v>
          </cell>
          <cell r="AE292">
            <v>15656.809695717346</v>
          </cell>
        </row>
        <row r="293">
          <cell r="G293">
            <v>11026.806939503975</v>
          </cell>
          <cell r="H293">
            <v>11212.506682861736</v>
          </cell>
          <cell r="I293">
            <v>11328.017832891619</v>
          </cell>
          <cell r="J293">
            <v>11448.165794138758</v>
          </cell>
          <cell r="K293">
            <v>11582.496942638683</v>
          </cell>
          <cell r="L293">
            <v>11542.163508858694</v>
          </cell>
          <cell r="M293">
            <v>11437.219669751494</v>
          </cell>
          <cell r="N293">
            <v>11778.285792882729</v>
          </cell>
          <cell r="O293">
            <v>11722.187256320849</v>
          </cell>
          <cell r="P293">
            <v>12160.145395831078</v>
          </cell>
          <cell r="Q293">
            <v>12496.43525779497</v>
          </cell>
          <cell r="R293">
            <v>12975.92834482533</v>
          </cell>
          <cell r="S293">
            <v>13765.952329497366</v>
          </cell>
          <cell r="T293">
            <v>14256.705963773478</v>
          </cell>
          <cell r="U293">
            <v>14850.004741135788</v>
          </cell>
          <cell r="V293">
            <v>15519.768551714615</v>
          </cell>
          <cell r="W293">
            <v>15983.555698489869</v>
          </cell>
          <cell r="X293">
            <v>16194.710846388716</v>
          </cell>
          <cell r="Y293">
            <v>16576.532245536484</v>
          </cell>
          <cell r="Z293">
            <v>16934.510115706671</v>
          </cell>
          <cell r="AA293">
            <v>17217.490214471542</v>
          </cell>
          <cell r="AB293">
            <v>17241.166059223928</v>
          </cell>
          <cell r="AC293">
            <v>17506.071071606191</v>
          </cell>
          <cell r="AD293">
            <v>17889.73979428424</v>
          </cell>
          <cell r="AE293">
            <v>18472.572870047712</v>
          </cell>
        </row>
      </sheetData>
      <sheetData sheetId="8">
        <row r="21">
          <cell r="H21">
            <v>0.40814400000000001</v>
          </cell>
          <cell r="I21">
            <v>0.39798</v>
          </cell>
          <cell r="J21">
            <v>0.425238</v>
          </cell>
          <cell r="K21">
            <v>0.88486200000000004</v>
          </cell>
          <cell r="L21">
            <v>0.683562</v>
          </cell>
          <cell r="M21">
            <v>0.85707600000000006</v>
          </cell>
          <cell r="N21">
            <v>0.88373999999999997</v>
          </cell>
          <cell r="O21">
            <v>1.075866</v>
          </cell>
          <cell r="P21">
            <v>1.041018</v>
          </cell>
          <cell r="Q21">
            <v>0.91416599999999992</v>
          </cell>
          <cell r="R21">
            <v>1.1944680000000001</v>
          </cell>
          <cell r="S21">
            <v>0.82579200000000008</v>
          </cell>
          <cell r="T21">
            <v>1.2765060000000001</v>
          </cell>
          <cell r="U21">
            <v>1.201794</v>
          </cell>
          <cell r="V21">
            <v>1.6133040000000001</v>
          </cell>
          <cell r="W21">
            <v>2.0698000000000003</v>
          </cell>
          <cell r="X21">
            <v>1.415</v>
          </cell>
          <cell r="Y21">
            <v>1.1031</v>
          </cell>
          <cell r="Z21">
            <v>1.0355000000000001</v>
          </cell>
          <cell r="AA21">
            <v>0.28970000000000001</v>
          </cell>
          <cell r="AB21">
            <v>0.96416996977002289</v>
          </cell>
          <cell r="AC21">
            <v>1.0474829794917409</v>
          </cell>
          <cell r="AD21">
            <v>1.0602062008599469</v>
          </cell>
          <cell r="AE21">
            <v>1.0741061198150028</v>
          </cell>
        </row>
        <row r="22">
          <cell r="H22">
            <v>0.210256</v>
          </cell>
          <cell r="I22">
            <v>0.20502000000000001</v>
          </cell>
          <cell r="J22">
            <v>0.21906200000000001</v>
          </cell>
          <cell r="K22">
            <v>0.45583800000000002</v>
          </cell>
          <cell r="L22">
            <v>0.35213800000000001</v>
          </cell>
          <cell r="M22">
            <v>0.44152400000000003</v>
          </cell>
          <cell r="N22">
            <v>0.45526000000000005</v>
          </cell>
          <cell r="O22">
            <v>0.554234</v>
          </cell>
          <cell r="P22">
            <v>0.53628200000000004</v>
          </cell>
          <cell r="Q22">
            <v>0.47093400000000002</v>
          </cell>
          <cell r="R22">
            <v>0.61533199999999999</v>
          </cell>
          <cell r="S22">
            <v>0.42540800000000006</v>
          </cell>
          <cell r="T22">
            <v>0.65759400000000001</v>
          </cell>
          <cell r="U22">
            <v>0.61910600000000016</v>
          </cell>
          <cell r="V22">
            <v>0.83109600000000017</v>
          </cell>
          <cell r="W22">
            <v>0.93820000000000003</v>
          </cell>
          <cell r="X22">
            <v>0.94359999999999999</v>
          </cell>
          <cell r="Y22">
            <v>0.53320000000000001</v>
          </cell>
          <cell r="Z22">
            <v>0.64049999999999996</v>
          </cell>
          <cell r="AA22">
            <v>0.29170000000000001</v>
          </cell>
          <cell r="AB22">
            <v>0.43694662123493522</v>
          </cell>
          <cell r="AC22">
            <v>0.58273476357135601</v>
          </cell>
          <cell r="AD22">
            <v>0.6086834810811409</v>
          </cell>
          <cell r="AE22">
            <v>0.64149366754371639</v>
          </cell>
        </row>
        <row r="23">
          <cell r="H23">
            <v>1.9095</v>
          </cell>
          <cell r="I23">
            <v>2.8365629999999999</v>
          </cell>
          <cell r="J23">
            <v>2.2281</v>
          </cell>
          <cell r="K23">
            <v>1.61</v>
          </cell>
          <cell r="L23">
            <v>1.4142000000000001</v>
          </cell>
          <cell r="M23">
            <v>1.5080250000000002</v>
          </cell>
          <cell r="N23">
            <v>0.83910000000000007</v>
          </cell>
          <cell r="O23">
            <v>1.2907</v>
          </cell>
          <cell r="P23">
            <v>3.8820000000000001</v>
          </cell>
          <cell r="Q23">
            <v>3.8363</v>
          </cell>
          <cell r="R23">
            <v>5.9918000000000005</v>
          </cell>
          <cell r="S23">
            <v>4.3921000000000001</v>
          </cell>
          <cell r="T23">
            <v>3.3323</v>
          </cell>
          <cell r="U23">
            <v>3.0750000000000002</v>
          </cell>
          <cell r="V23">
            <v>3.1429999999999998</v>
          </cell>
          <cell r="W23">
            <v>2.3030999999999997</v>
          </cell>
          <cell r="X23">
            <v>1.4487000000000001</v>
          </cell>
          <cell r="Y23">
            <v>2.0606</v>
          </cell>
          <cell r="Z23">
            <v>3.4781999999999997</v>
          </cell>
          <cell r="AA23">
            <v>2.6520000000000001</v>
          </cell>
          <cell r="AB23">
            <v>2.9438208100000005</v>
          </cell>
          <cell r="AC23">
            <v>2.7560084900000006</v>
          </cell>
          <cell r="AD23">
            <v>2.603018580000001</v>
          </cell>
          <cell r="AE23">
            <v>2.6672277900000001</v>
          </cell>
        </row>
        <row r="24">
          <cell r="H24">
            <v>0.14913168675370994</v>
          </cell>
          <cell r="I24">
            <v>0.1329757089339306</v>
          </cell>
          <cell r="J24">
            <v>0.15617625578296401</v>
          </cell>
          <cell r="K24">
            <v>0.1069075571805157</v>
          </cell>
          <cell r="L24">
            <v>0.10403995227613426</v>
          </cell>
          <cell r="M24">
            <v>7.0727040207687705E-2</v>
          </cell>
          <cell r="N24">
            <v>0.12267397357932248</v>
          </cell>
          <cell r="O24">
            <v>0.12562814768836453</v>
          </cell>
          <cell r="P24">
            <v>0.19469955185691878</v>
          </cell>
          <cell r="Q24">
            <v>8.8365515657279348E-2</v>
          </cell>
          <cell r="R24">
            <v>0.12595819278113293</v>
          </cell>
          <cell r="S24">
            <v>0.14973226061104264</v>
          </cell>
          <cell r="T24">
            <v>0.15087930257279522</v>
          </cell>
          <cell r="U24">
            <v>0.19032780702155982</v>
          </cell>
          <cell r="V24">
            <v>0.14870425130569837</v>
          </cell>
          <cell r="W24">
            <v>0.16880282991010148</v>
          </cell>
          <cell r="X24">
            <v>0.21751936506571806</v>
          </cell>
          <cell r="Y24">
            <v>0.19732937621560423</v>
          </cell>
          <cell r="Z24">
            <v>0.10970000000000001</v>
          </cell>
          <cell r="AA24">
            <v>9.4200000000000006E-2</v>
          </cell>
          <cell r="AB24">
            <v>9.8923323863743931E-2</v>
          </cell>
          <cell r="AC24">
            <v>0.10283212131183471</v>
          </cell>
          <cell r="AD24">
            <v>0.11325872838672849</v>
          </cell>
          <cell r="AE24">
            <v>0.12860505588071519</v>
          </cell>
        </row>
        <row r="25">
          <cell r="H25">
            <v>6.0347113246290073E-2</v>
          </cell>
          <cell r="I25">
            <v>5.3809491066069394E-2</v>
          </cell>
          <cell r="J25">
            <v>6.3197744217035973E-2</v>
          </cell>
          <cell r="K25">
            <v>4.326084281948428E-2</v>
          </cell>
          <cell r="L25">
            <v>4.2100447723865751E-2</v>
          </cell>
          <cell r="M25">
            <v>2.8620159792312291E-2</v>
          </cell>
          <cell r="N25">
            <v>4.9640826420677527E-2</v>
          </cell>
          <cell r="O25">
            <v>5.0836252311635494E-2</v>
          </cell>
          <cell r="P25">
            <v>7.8786448143081236E-2</v>
          </cell>
          <cell r="Q25">
            <v>3.5757684342720655E-2</v>
          </cell>
          <cell r="R25">
            <v>5.0969807218867055E-2</v>
          </cell>
          <cell r="S25">
            <v>6.059013938895734E-2</v>
          </cell>
          <cell r="T25">
            <v>6.1054297427204751E-2</v>
          </cell>
          <cell r="U25">
            <v>7.7017392978440125E-2</v>
          </cell>
          <cell r="V25">
            <v>6.0174148694301641E-2</v>
          </cell>
          <cell r="W25">
            <v>6.8307170089898533E-2</v>
          </cell>
          <cell r="X25">
            <v>8.8020634934281985E-2</v>
          </cell>
          <cell r="Y25">
            <v>7.9850623784395738E-2</v>
          </cell>
          <cell r="Z25">
            <v>0.10970000000000001</v>
          </cell>
          <cell r="AA25">
            <v>9.4200000000000006E-2</v>
          </cell>
          <cell r="AB25">
            <v>9.8923323863743931E-2</v>
          </cell>
          <cell r="AC25">
            <v>0.10283212131183471</v>
          </cell>
          <cell r="AD25">
            <v>0.11325872838672849</v>
          </cell>
          <cell r="AE25">
            <v>0.12860505588071519</v>
          </cell>
        </row>
        <row r="26">
          <cell r="H26">
            <v>6.7900000000000002E-2</v>
          </cell>
          <cell r="I26">
            <v>9.3099999999999988E-2</v>
          </cell>
          <cell r="J26">
            <v>0.17349999999999999</v>
          </cell>
          <cell r="K26">
            <v>0.1865</v>
          </cell>
          <cell r="L26">
            <v>9.8900000000000002E-2</v>
          </cell>
          <cell r="M26">
            <v>0.1036</v>
          </cell>
          <cell r="N26">
            <v>0.1033</v>
          </cell>
          <cell r="O26">
            <v>0.10299999999999999</v>
          </cell>
          <cell r="P26">
            <v>0.16839999999999999</v>
          </cell>
          <cell r="Q26">
            <v>9.3099999999999988E-2</v>
          </cell>
          <cell r="R26">
            <v>0.1729</v>
          </cell>
          <cell r="S26">
            <v>0.18819999999999998</v>
          </cell>
          <cell r="T26">
            <v>0.14849999999999999</v>
          </cell>
          <cell r="U26">
            <v>0.13639999999999999</v>
          </cell>
          <cell r="V26">
            <v>0.11509999999999999</v>
          </cell>
          <cell r="W26">
            <v>0.34855169999999996</v>
          </cell>
          <cell r="X26">
            <v>0.44914379999999998</v>
          </cell>
          <cell r="Y26">
            <v>0.4074546</v>
          </cell>
          <cell r="Z26">
            <v>3.5369000000000002</v>
          </cell>
          <cell r="AA26">
            <v>3.9733000000000001</v>
          </cell>
          <cell r="AB26">
            <v>3.449729856136257</v>
          </cell>
          <cell r="AC26">
            <v>3.0943406286881654</v>
          </cell>
          <cell r="AD26">
            <v>3.0579254016132715</v>
          </cell>
          <cell r="AE26">
            <v>3.1692212141192844</v>
          </cell>
        </row>
        <row r="27">
          <cell r="H27">
            <v>0.34329999999999999</v>
          </cell>
          <cell r="I27">
            <v>0.83960000000000001</v>
          </cell>
          <cell r="J27">
            <v>0.4824</v>
          </cell>
          <cell r="K27">
            <v>0.71140000000000003</v>
          </cell>
          <cell r="L27">
            <v>0.39800000000000002</v>
          </cell>
          <cell r="M27">
            <v>0.2858</v>
          </cell>
          <cell r="N27">
            <v>0.30269999999999997</v>
          </cell>
          <cell r="O27">
            <v>0.52510000000000001</v>
          </cell>
          <cell r="P27">
            <v>0.63970000000000005</v>
          </cell>
          <cell r="Q27">
            <v>0.7984</v>
          </cell>
          <cell r="R27">
            <v>2.4916999999999998</v>
          </cell>
          <cell r="S27">
            <v>1.8120000000000001</v>
          </cell>
          <cell r="T27">
            <v>1.2810999999999999</v>
          </cell>
          <cell r="U27">
            <v>1.1297999999999999</v>
          </cell>
          <cell r="V27">
            <v>0.46079999999999999</v>
          </cell>
          <cell r="W27">
            <v>0.1757</v>
          </cell>
          <cell r="X27">
            <v>0.44230000000000003</v>
          </cell>
          <cell r="Y27">
            <v>0.30010000000000003</v>
          </cell>
          <cell r="Z27">
            <v>0.32750000000000001</v>
          </cell>
          <cell r="AA27">
            <v>0.47720000000000001</v>
          </cell>
          <cell r="AB27">
            <v>0.55912742999999965</v>
          </cell>
          <cell r="AC27">
            <v>0.54529235000000031</v>
          </cell>
          <cell r="AD27">
            <v>0.40671768999999997</v>
          </cell>
          <cell r="AE27">
            <v>0.44228138999999994</v>
          </cell>
        </row>
        <row r="28">
          <cell r="H28">
            <v>0.20303249999999998</v>
          </cell>
          <cell r="I28">
            <v>0.28772999999999999</v>
          </cell>
          <cell r="J28">
            <v>0.3148125</v>
          </cell>
          <cell r="K28">
            <v>0.34934699999999996</v>
          </cell>
          <cell r="L28">
            <v>0.195408</v>
          </cell>
          <cell r="M28">
            <v>0.33637499999999998</v>
          </cell>
          <cell r="N28">
            <v>0.13727549999999999</v>
          </cell>
          <cell r="O28">
            <v>0.35469449999999997</v>
          </cell>
          <cell r="P28">
            <v>0.25029750000000001</v>
          </cell>
          <cell r="Q28">
            <v>0.1968915</v>
          </cell>
          <cell r="R28">
            <v>0.43252649999999998</v>
          </cell>
          <cell r="S28">
            <v>0.54820499999999994</v>
          </cell>
          <cell r="T28">
            <v>0.97724699999999987</v>
          </cell>
          <cell r="U28">
            <v>0.84756149999999986</v>
          </cell>
          <cell r="V28">
            <v>0.64639199999999997</v>
          </cell>
          <cell r="W28">
            <v>0.33719399999999999</v>
          </cell>
          <cell r="X28">
            <v>0.39087360000000004</v>
          </cell>
          <cell r="Y28">
            <v>0.30558060000000004</v>
          </cell>
          <cell r="Z28">
            <v>3.7835000000000001</v>
          </cell>
          <cell r="AA28">
            <v>1.3673</v>
          </cell>
          <cell r="AB28">
            <v>1.8872418900000005</v>
          </cell>
          <cell r="AC28">
            <v>1.84246679</v>
          </cell>
          <cell r="AD28">
            <v>1.9964261199999997</v>
          </cell>
          <cell r="AE28">
            <v>2.11022474</v>
          </cell>
        </row>
        <row r="29">
          <cell r="H29">
            <v>0.38546750000000002</v>
          </cell>
          <cell r="I29">
            <v>0.54627000000000003</v>
          </cell>
          <cell r="J29">
            <v>0.59768750000000004</v>
          </cell>
          <cell r="K29">
            <v>0.66325300000000009</v>
          </cell>
          <cell r="L29">
            <v>0.37099200000000004</v>
          </cell>
          <cell r="M29">
            <v>0.638625</v>
          </cell>
          <cell r="N29">
            <v>0.26062450000000004</v>
          </cell>
          <cell r="O29">
            <v>0.67340549999999999</v>
          </cell>
          <cell r="P29">
            <v>0.47520250000000003</v>
          </cell>
          <cell r="Q29">
            <v>0.37380850000000004</v>
          </cell>
          <cell r="R29">
            <v>0.82117350000000011</v>
          </cell>
          <cell r="S29">
            <v>1.0407950000000001</v>
          </cell>
          <cell r="T29">
            <v>1.855353</v>
          </cell>
          <cell r="U29">
            <v>1.6091385</v>
          </cell>
          <cell r="V29">
            <v>1.2272080000000001</v>
          </cell>
          <cell r="W29">
            <v>1.1038060000000001</v>
          </cell>
          <cell r="X29">
            <v>1.2795264000000002</v>
          </cell>
          <cell r="Y29">
            <v>1.0003194000000002</v>
          </cell>
          <cell r="Z29">
            <v>3.7835000000000001</v>
          </cell>
          <cell r="AA29">
            <v>1.3673</v>
          </cell>
          <cell r="AB29">
            <v>1.8872418900000005</v>
          </cell>
          <cell r="AC29">
            <v>1.84246679</v>
          </cell>
          <cell r="AD29">
            <v>1.9964261199999997</v>
          </cell>
          <cell r="AE29">
            <v>2.11022474</v>
          </cell>
        </row>
        <row r="30">
          <cell r="H30">
            <v>0.66609400000000007</v>
          </cell>
          <cell r="I30">
            <v>1.1484180000000002</v>
          </cell>
          <cell r="J30">
            <v>0.55253399999999997</v>
          </cell>
          <cell r="K30">
            <v>0.6476320000000001</v>
          </cell>
          <cell r="L30">
            <v>0.68836400000000009</v>
          </cell>
          <cell r="M30">
            <v>0.40613802400000004</v>
          </cell>
          <cell r="N30">
            <v>0.97611110000000012</v>
          </cell>
          <cell r="O30">
            <v>0.44944599999999996</v>
          </cell>
          <cell r="P30">
            <v>1.0394595600000001</v>
          </cell>
          <cell r="Q30">
            <v>1.9108285600000001</v>
          </cell>
          <cell r="R30">
            <v>2.0233162</v>
          </cell>
          <cell r="S30">
            <v>1.5876980000000001</v>
          </cell>
          <cell r="T30">
            <v>1.3800260000000002</v>
          </cell>
          <cell r="U30">
            <v>1.4298360000000001</v>
          </cell>
          <cell r="V30">
            <v>1.3088299999999999</v>
          </cell>
          <cell r="W30">
            <v>1.4430000000000001</v>
          </cell>
          <cell r="X30">
            <v>1.3551</v>
          </cell>
          <cell r="Y30">
            <v>1.248</v>
          </cell>
          <cell r="Z30">
            <v>1.1154000000000002</v>
          </cell>
          <cell r="AA30">
            <v>1.0509999999999999</v>
          </cell>
          <cell r="AB30">
            <v>1.2799544001277074</v>
          </cell>
          <cell r="AC30">
            <v>1.4046792195590034</v>
          </cell>
          <cell r="AD30">
            <v>1.4878548079657998</v>
          </cell>
          <cell r="AE30">
            <v>1.4917427808967407</v>
          </cell>
        </row>
        <row r="31">
          <cell r="H31">
            <v>1.2930060000000001</v>
          </cell>
          <cell r="I31">
            <v>2.229282</v>
          </cell>
          <cell r="J31">
            <v>1.0725660000000001</v>
          </cell>
          <cell r="K31">
            <v>1.2571680000000001</v>
          </cell>
          <cell r="L31">
            <v>1.3362360000000002</v>
          </cell>
          <cell r="M31">
            <v>0.78838557600000003</v>
          </cell>
          <cell r="N31">
            <v>1.8948039000000001</v>
          </cell>
          <cell r="O31">
            <v>0.87245399999999995</v>
          </cell>
          <cell r="P31">
            <v>2.0177744400000002</v>
          </cell>
          <cell r="Q31">
            <v>3.7092554399999997</v>
          </cell>
          <cell r="R31">
            <v>3.9276137999999996</v>
          </cell>
          <cell r="S31">
            <v>3.0820020000000001</v>
          </cell>
          <cell r="T31">
            <v>2.6788740000000009</v>
          </cell>
          <cell r="U31">
            <v>2.7755639999999997</v>
          </cell>
          <cell r="V31">
            <v>2.5406699999999995</v>
          </cell>
          <cell r="W31">
            <v>1.5496500000000002</v>
          </cell>
          <cell r="X31">
            <v>3.1783999999999999</v>
          </cell>
          <cell r="Y31">
            <v>3.2438500000000001</v>
          </cell>
          <cell r="Z31">
            <v>1.3588</v>
          </cell>
          <cell r="AA31">
            <v>0.66200000000000003</v>
          </cell>
          <cell r="AB31">
            <v>1.2854712808283151</v>
          </cell>
          <cell r="AC31">
            <v>1.5350817518422488</v>
          </cell>
          <cell r="AD31">
            <v>1.3825302212329729</v>
          </cell>
          <cell r="AE31">
            <v>1.2973344781524432</v>
          </cell>
        </row>
        <row r="53">
          <cell r="H53">
            <v>4.6720565328458212</v>
          </cell>
          <cell r="I53">
            <v>1.5093528080297529</v>
          </cell>
          <cell r="J53">
            <v>1.6326353993862486</v>
          </cell>
          <cell r="K53">
            <v>2.6697249363466713</v>
          </cell>
          <cell r="L53">
            <v>1.9057770751539596</v>
          </cell>
          <cell r="M53">
            <v>1.3124038157725313</v>
          </cell>
          <cell r="N53">
            <v>1.0072288765130091</v>
          </cell>
          <cell r="O53">
            <v>1.7837576251023464</v>
          </cell>
          <cell r="P53">
            <v>1.8651544507889506</v>
          </cell>
          <cell r="Q53">
            <v>2.2166108874593542</v>
          </cell>
          <cell r="R53">
            <v>2.5878733797903091</v>
          </cell>
          <cell r="S53">
            <v>4.1569475087148886</v>
          </cell>
          <cell r="T53">
            <v>5.6567509684797317</v>
          </cell>
          <cell r="U53">
            <v>5.4289813283833865</v>
          </cell>
          <cell r="V53">
            <v>3.5235074071425996</v>
          </cell>
          <cell r="W53">
            <v>2.4352050691170355</v>
          </cell>
          <cell r="X53">
            <v>2.1414388221232086</v>
          </cell>
          <cell r="Y53">
            <v>2.302555021843534</v>
          </cell>
          <cell r="Z53">
            <v>1.4488319999999999</v>
          </cell>
          <cell r="AA53">
            <v>4.2056000000000004</v>
          </cell>
          <cell r="AB53">
            <v>2.5994797107084047</v>
          </cell>
          <cell r="AC53">
            <v>2.6698126381317313</v>
          </cell>
          <cell r="AD53">
            <v>2.4533274635786939</v>
          </cell>
          <cell r="AE53">
            <v>2.3671787571438605</v>
          </cell>
        </row>
        <row r="54">
          <cell r="H54">
            <v>2.1049529227503614</v>
          </cell>
          <cell r="I54">
            <v>0.68002529130110145</v>
          </cell>
          <cell r="J54">
            <v>0.7355691506648977</v>
          </cell>
          <cell r="K54">
            <v>1.2028204856244402</v>
          </cell>
          <cell r="L54">
            <v>0.85863066858321024</v>
          </cell>
          <cell r="M54">
            <v>0.59129169957975791</v>
          </cell>
          <cell r="N54">
            <v>0.45379788377757357</v>
          </cell>
          <cell r="O54">
            <v>0.80365590613912508</v>
          </cell>
          <cell r="P54">
            <v>0.84032851164530364</v>
          </cell>
          <cell r="Q54">
            <v>0.99867403858570003</v>
          </cell>
          <cell r="R54">
            <v>1.1659430052271653</v>
          </cell>
          <cell r="S54">
            <v>1.8728751988922039</v>
          </cell>
          <cell r="T54">
            <v>2.5485981174802896</v>
          </cell>
          <cell r="U54">
            <v>2.4459785609179971</v>
          </cell>
          <cell r="V54">
            <v>1.587484475595518</v>
          </cell>
          <cell r="W54">
            <v>1.0971596751232116</v>
          </cell>
          <cell r="X54">
            <v>0.96480594269985731</v>
          </cell>
          <cell r="Y54">
            <v>1.0373953930028383</v>
          </cell>
          <cell r="Z54">
            <v>0.90551999999999988</v>
          </cell>
          <cell r="AA54">
            <v>2.6284999999999998</v>
          </cell>
          <cell r="AB54">
            <v>1.6246748191927527</v>
          </cell>
          <cell r="AC54">
            <v>1.668632898832332</v>
          </cell>
          <cell r="AD54">
            <v>1.5333296647366834</v>
          </cell>
          <cell r="AE54">
            <v>1.4794867232149127</v>
          </cell>
        </row>
        <row r="55">
          <cell r="H55">
            <v>2.4698905444038184</v>
          </cell>
          <cell r="I55">
            <v>0.79792190066914614</v>
          </cell>
          <cell r="J55">
            <v>0.86309544994885412</v>
          </cell>
          <cell r="K55">
            <v>1.4113545780288896</v>
          </cell>
          <cell r="L55">
            <v>1.0074922562628299</v>
          </cell>
          <cell r="M55">
            <v>0.69380448464771105</v>
          </cell>
          <cell r="N55">
            <v>0.53247323970941751</v>
          </cell>
          <cell r="O55">
            <v>0.94298646875852898</v>
          </cell>
          <cell r="P55">
            <v>0.98601703756574599</v>
          </cell>
          <cell r="Q55">
            <v>1.1718150739549462</v>
          </cell>
          <cell r="R55">
            <v>1.368083614982526</v>
          </cell>
          <cell r="S55">
            <v>2.1975772923929076</v>
          </cell>
          <cell r="T55">
            <v>2.9904509140399775</v>
          </cell>
          <cell r="U55">
            <v>2.8700401106986155</v>
          </cell>
          <cell r="V55">
            <v>1.8627081172618836</v>
          </cell>
          <cell r="W55">
            <v>1.2873752557597529</v>
          </cell>
          <cell r="X55">
            <v>1.1320752351769341</v>
          </cell>
          <cell r="Y55">
            <v>1.2172495851536278</v>
          </cell>
          <cell r="Z55">
            <v>0.23284799999999997</v>
          </cell>
          <cell r="AA55">
            <v>0.67589999999999995</v>
          </cell>
          <cell r="AB55">
            <v>0.41777352493527931</v>
          </cell>
          <cell r="AC55">
            <v>0.42907703112831391</v>
          </cell>
          <cell r="AD55">
            <v>0.39428477093229003</v>
          </cell>
          <cell r="AE55">
            <v>0.38043944311240613</v>
          </cell>
        </row>
        <row r="56">
          <cell r="H56">
            <v>1.1645465043915073</v>
          </cell>
          <cell r="I56">
            <v>1.1001820295846425</v>
          </cell>
          <cell r="J56">
            <v>0.77513011814390298</v>
          </cell>
          <cell r="K56">
            <v>0.68998963836582305</v>
          </cell>
          <cell r="L56">
            <v>0.47628477138962716</v>
          </cell>
          <cell r="M56">
            <v>0.72979317264235954</v>
          </cell>
          <cell r="N56">
            <v>1.1207523315363412</v>
          </cell>
          <cell r="O56">
            <v>1.7296949802124721</v>
          </cell>
          <cell r="P56">
            <v>1.2091017784188862</v>
          </cell>
          <cell r="Q56">
            <v>0.64730626181604856</v>
          </cell>
          <cell r="R56">
            <v>0.79226517966966792</v>
          </cell>
          <cell r="S56">
            <v>1.1545493376429821</v>
          </cell>
          <cell r="T56">
            <v>1.6151595389454148</v>
          </cell>
          <cell r="U56">
            <v>1.1894365697530624</v>
          </cell>
          <cell r="V56">
            <v>1.2257225823958589</v>
          </cell>
          <cell r="W56">
            <v>1.0573849449768578</v>
          </cell>
          <cell r="X56">
            <v>0.72875294390060763</v>
          </cell>
          <cell r="Y56">
            <v>0.92132453975849626</v>
          </cell>
          <cell r="Z56">
            <v>1.6346550000000002</v>
          </cell>
          <cell r="AA56">
            <v>2.0905169999999997</v>
          </cell>
          <cell r="AB56">
            <v>1.7691131441651935</v>
          </cell>
          <cell r="AC56">
            <v>1.7050112905317358</v>
          </cell>
          <cell r="AD56">
            <v>1.6258923167686812</v>
          </cell>
          <cell r="AE56">
            <v>1.7031142550524103</v>
          </cell>
        </row>
        <row r="57">
          <cell r="H57">
            <v>2.1508979819924536</v>
          </cell>
          <cell r="I57">
            <v>2.0320178699041631</v>
          </cell>
          <cell r="J57">
            <v>1.4316524077056443</v>
          </cell>
          <cell r="K57">
            <v>1.2743993607470525</v>
          </cell>
          <cell r="L57">
            <v>0.87969003365045617</v>
          </cell>
          <cell r="M57">
            <v>1.3479158250777785</v>
          </cell>
          <cell r="N57">
            <v>2.0700108747262438</v>
          </cell>
          <cell r="O57">
            <v>3.1947177964742988</v>
          </cell>
          <cell r="P57">
            <v>2.2331908304370804</v>
          </cell>
          <cell r="Q57">
            <v>1.195563875741235</v>
          </cell>
          <cell r="R57">
            <v>1.4633005807224375</v>
          </cell>
          <cell r="S57">
            <v>2.1324333816489229</v>
          </cell>
          <cell r="T57">
            <v>2.983172745624953</v>
          </cell>
          <cell r="U57">
            <v>2.1968695178271713</v>
          </cell>
          <cell r="V57">
            <v>2.2638891783333217</v>
          </cell>
          <cell r="W57">
            <v>1.9529723680105797</v>
          </cell>
          <cell r="X57">
            <v>1.3459945399311508</v>
          </cell>
          <cell r="Y57">
            <v>1.701671067538973</v>
          </cell>
          <cell r="Z57">
            <v>0.59441999999999995</v>
          </cell>
          <cell r="AA57">
            <v>0.76018799999999986</v>
          </cell>
          <cell r="AB57">
            <v>0.64331387060552492</v>
          </cell>
          <cell r="AC57">
            <v>0.62000410564790387</v>
          </cell>
          <cell r="AD57">
            <v>0.59123356973406582</v>
          </cell>
          <cell r="AE57">
            <v>0.61931427456451282</v>
          </cell>
        </row>
        <row r="58">
          <cell r="H58">
            <v>0.53772449549811341</v>
          </cell>
          <cell r="I58">
            <v>0.50800446747604078</v>
          </cell>
          <cell r="J58">
            <v>0.35791310192641107</v>
          </cell>
          <cell r="K58">
            <v>0.31859984018676313</v>
          </cell>
          <cell r="L58">
            <v>0.21992250841261404</v>
          </cell>
          <cell r="M58">
            <v>0.33697895626944463</v>
          </cell>
          <cell r="N58">
            <v>0.51750271868156095</v>
          </cell>
          <cell r="O58">
            <v>0.79867944911857469</v>
          </cell>
          <cell r="P58">
            <v>0.55829770760927011</v>
          </cell>
          <cell r="Q58">
            <v>0.29889096893530875</v>
          </cell>
          <cell r="R58">
            <v>0.36582514518060938</v>
          </cell>
          <cell r="S58">
            <v>0.53310834541223073</v>
          </cell>
          <cell r="T58">
            <v>0.74579318640623826</v>
          </cell>
          <cell r="U58">
            <v>0.54921737945679283</v>
          </cell>
          <cell r="V58">
            <v>0.56597229458333043</v>
          </cell>
          <cell r="W58">
            <v>0.48824309200264493</v>
          </cell>
          <cell r="X58">
            <v>0.3364986349827877</v>
          </cell>
          <cell r="Y58">
            <v>0.42541776688474325</v>
          </cell>
          <cell r="Z58">
            <v>2.1300050000000001</v>
          </cell>
          <cell r="AA58">
            <v>2.7240069999999998</v>
          </cell>
          <cell r="AB58">
            <v>2.305208036336464</v>
          </cell>
          <cell r="AC58">
            <v>2.2216813785716556</v>
          </cell>
          <cell r="AD58">
            <v>2.118586958213736</v>
          </cell>
          <cell r="AE58">
            <v>2.2192094838561709</v>
          </cell>
        </row>
        <row r="59">
          <cell r="H59">
            <v>1.0381942181179253</v>
          </cell>
          <cell r="I59">
            <v>0.980813233035153</v>
          </cell>
          <cell r="J59">
            <v>0.69102917222404159</v>
          </cell>
          <cell r="K59">
            <v>0.61512636070036175</v>
          </cell>
          <cell r="L59">
            <v>0.42460828654730265</v>
          </cell>
          <cell r="M59">
            <v>0.65061124601041742</v>
          </cell>
          <cell r="N59">
            <v>0.99915167505585367</v>
          </cell>
          <cell r="O59">
            <v>1.542024574194655</v>
          </cell>
          <cell r="P59">
            <v>1.077915283534763</v>
          </cell>
          <cell r="Q59">
            <v>0.57707409350740779</v>
          </cell>
          <cell r="R59">
            <v>0.70630509442728517</v>
          </cell>
          <cell r="S59">
            <v>1.029281735295865</v>
          </cell>
          <cell r="T59">
            <v>1.4399161290233935</v>
          </cell>
          <cell r="U59">
            <v>1.0603837329629731</v>
          </cell>
          <cell r="V59">
            <v>1.092732744687489</v>
          </cell>
          <cell r="W59">
            <v>0.94265959500991836</v>
          </cell>
          <cell r="X59">
            <v>0.64968388118545384</v>
          </cell>
          <cell r="Y59">
            <v>0.82136162581778727</v>
          </cell>
          <cell r="Z59">
            <v>0.59441999999999995</v>
          </cell>
          <cell r="AA59">
            <v>0.76018799999999986</v>
          </cell>
          <cell r="AB59">
            <v>0.64331387060552492</v>
          </cell>
          <cell r="AC59">
            <v>0.62000410564790387</v>
          </cell>
          <cell r="AD59">
            <v>0.59123356973406582</v>
          </cell>
          <cell r="AE59">
            <v>0.61931427456451282</v>
          </cell>
        </row>
        <row r="60">
          <cell r="H60">
            <v>1.6924380000000001</v>
          </cell>
          <cell r="I60">
            <v>1.484802</v>
          </cell>
          <cell r="J60">
            <v>2.0873819999999998</v>
          </cell>
          <cell r="K60">
            <v>2.0856660000000002</v>
          </cell>
          <cell r="L60">
            <v>2.3110560000000002</v>
          </cell>
          <cell r="M60">
            <v>3.1661519999999999</v>
          </cell>
          <cell r="N60">
            <v>2.39778</v>
          </cell>
          <cell r="O60">
            <v>1.4201721599999999</v>
          </cell>
          <cell r="P60">
            <v>2.9824739999999998</v>
          </cell>
          <cell r="Q60">
            <v>1.9324140000000003</v>
          </cell>
          <cell r="R60">
            <v>1.907796</v>
          </cell>
          <cell r="S60">
            <v>2.3078220000000003</v>
          </cell>
          <cell r="T60">
            <v>2.4817980000000004</v>
          </cell>
          <cell r="U60">
            <v>2.3626019999999999</v>
          </cell>
          <cell r="V60">
            <v>2.16249</v>
          </cell>
          <cell r="W60">
            <v>2.6243000000000003</v>
          </cell>
          <cell r="X60">
            <v>3.7761</v>
          </cell>
          <cell r="Y60">
            <v>2.5621999999999998</v>
          </cell>
          <cell r="Z60">
            <v>3.0191999999999997</v>
          </cell>
          <cell r="AA60">
            <v>2.9931000000000001</v>
          </cell>
          <cell r="AB60">
            <v>2.8918301090794269</v>
          </cell>
          <cell r="AC60">
            <v>3.782360064278282</v>
          </cell>
          <cell r="AD60">
            <v>3.4705377413257055</v>
          </cell>
          <cell r="AE60">
            <v>3.2160116321090824</v>
          </cell>
        </row>
        <row r="61">
          <cell r="H61">
            <v>0.87186200000000003</v>
          </cell>
          <cell r="I61">
            <v>0.76489800000000008</v>
          </cell>
          <cell r="J61">
            <v>1.075318</v>
          </cell>
          <cell r="K61">
            <v>1.0744339999999999</v>
          </cell>
          <cell r="L61">
            <v>1.190544</v>
          </cell>
          <cell r="M61">
            <v>1.6310480000000001</v>
          </cell>
          <cell r="N61">
            <v>1.23522</v>
          </cell>
          <cell r="O61">
            <v>0.73160384000000001</v>
          </cell>
          <cell r="P61">
            <v>1.5364259999999998</v>
          </cell>
          <cell r="Q61">
            <v>0.99548600000000009</v>
          </cell>
          <cell r="R61">
            <v>0.98280400000000012</v>
          </cell>
          <cell r="S61">
            <v>1.1888779999999999</v>
          </cell>
          <cell r="T61">
            <v>1.2785020000000002</v>
          </cell>
          <cell r="U61">
            <v>1.217098</v>
          </cell>
          <cell r="V61">
            <v>1.1140099999999999</v>
          </cell>
          <cell r="W61">
            <v>1.2012</v>
          </cell>
          <cell r="X61">
            <v>1.5534000000000001</v>
          </cell>
          <cell r="Y61">
            <v>0.81710000000000005</v>
          </cell>
          <cell r="Z61">
            <v>1.2970999999999999</v>
          </cell>
          <cell r="AA61">
            <v>1.4250999999999998</v>
          </cell>
          <cell r="AB61">
            <v>1.3376018689940781</v>
          </cell>
          <cell r="AC61">
            <v>1.4693053926132156</v>
          </cell>
          <cell r="AD61">
            <v>1.3354667382339562</v>
          </cell>
          <cell r="AE61">
            <v>1.249250206816515</v>
          </cell>
        </row>
        <row r="62">
          <cell r="H62">
            <v>5.2438000000000002</v>
          </cell>
          <cell r="I62">
            <v>3.0779999999999998</v>
          </cell>
          <cell r="J62">
            <v>3.5724999999999998</v>
          </cell>
          <cell r="K62">
            <v>4.5848000000000004</v>
          </cell>
          <cell r="L62">
            <v>3.4581999999999997</v>
          </cell>
          <cell r="M62">
            <v>3.2988000000000004</v>
          </cell>
          <cell r="N62">
            <v>3.1168</v>
          </cell>
          <cell r="O62">
            <v>3.8371</v>
          </cell>
          <cell r="P62">
            <v>5.0454999999999997</v>
          </cell>
          <cell r="Q62">
            <v>6.3580129999999997</v>
          </cell>
          <cell r="R62">
            <v>4.7816999999999998</v>
          </cell>
          <cell r="S62">
            <v>6.0843999999999996</v>
          </cell>
          <cell r="T62">
            <v>5.7608000000000006</v>
          </cell>
          <cell r="U62">
            <v>5.1916000000000002</v>
          </cell>
          <cell r="V62">
            <v>6.0718000000000005</v>
          </cell>
          <cell r="W62">
            <v>2.7429000000000001</v>
          </cell>
          <cell r="X62">
            <v>4.8205</v>
          </cell>
          <cell r="Y62">
            <v>3.1579999999999999</v>
          </cell>
          <cell r="Z62">
            <v>4.7521000000000004</v>
          </cell>
          <cell r="AA62">
            <v>4.5863000000000005</v>
          </cell>
          <cell r="AB62">
            <v>4.2521218800000069</v>
          </cell>
          <cell r="AC62">
            <v>4.1643903399999962</v>
          </cell>
          <cell r="AD62">
            <v>4.2213762000000035</v>
          </cell>
          <cell r="AE62">
            <v>4.5285378099999987</v>
          </cell>
        </row>
        <row r="63">
          <cell r="H63">
            <v>0.5481317139383739</v>
          </cell>
          <cell r="I63">
            <v>0.5178364790468617</v>
          </cell>
          <cell r="J63">
            <v>0.36484021769957081</v>
          </cell>
          <cell r="K63">
            <v>0.32476607988686124</v>
          </cell>
          <cell r="L63">
            <v>0.22417892894792907</v>
          </cell>
          <cell r="M63">
            <v>0.34350090875073974</v>
          </cell>
          <cell r="N63">
            <v>0.52751856114705731</v>
          </cell>
          <cell r="O63">
            <v>0.81413723755914813</v>
          </cell>
          <cell r="P63">
            <v>0.56910310376739748</v>
          </cell>
          <cell r="Q63">
            <v>0.30467575952895537</v>
          </cell>
          <cell r="R63">
            <v>0.37290539208903378</v>
          </cell>
          <cell r="S63">
            <v>0.54342622203767876</v>
          </cell>
          <cell r="T63">
            <v>0.76022740442525871</v>
          </cell>
          <cell r="U63">
            <v>0.55984703327961061</v>
          </cell>
          <cell r="V63">
            <v>0.57692622610435551</v>
          </cell>
          <cell r="W63">
            <v>0.37201976634398637</v>
          </cell>
          <cell r="X63">
            <v>0.26963174813441793</v>
          </cell>
          <cell r="Y63">
            <v>0.34990048025184839</v>
          </cell>
          <cell r="Z63">
            <v>0.25180000000000002</v>
          </cell>
          <cell r="AA63">
            <v>0.24840000000000001</v>
          </cell>
          <cell r="AB63">
            <v>0.2696633082872934</v>
          </cell>
          <cell r="AC63">
            <v>0.33187896960079466</v>
          </cell>
          <cell r="AD63">
            <v>0.24932755554944439</v>
          </cell>
          <cell r="AE63">
            <v>0.2462404319623952</v>
          </cell>
        </row>
        <row r="64">
          <cell r="H64">
            <v>0.22180508606162622</v>
          </cell>
          <cell r="I64">
            <v>0.20954592095313826</v>
          </cell>
          <cell r="J64">
            <v>0.14763498230042921</v>
          </cell>
          <cell r="K64">
            <v>0.13141872011313882</v>
          </cell>
          <cell r="L64">
            <v>9.0715471052070965E-2</v>
          </cell>
          <cell r="M64">
            <v>0.13899989124926035</v>
          </cell>
          <cell r="N64">
            <v>0.21346383885294262</v>
          </cell>
          <cell r="O64">
            <v>0.32944596244085222</v>
          </cell>
          <cell r="P64">
            <v>0.23029129623260253</v>
          </cell>
          <cell r="Q64">
            <v>0.12328904047104472</v>
          </cell>
          <cell r="R64">
            <v>0.15089860791096629</v>
          </cell>
          <cell r="S64">
            <v>0.2199009779623213</v>
          </cell>
          <cell r="T64">
            <v>0.30763099557474127</v>
          </cell>
          <cell r="U64">
            <v>0.22654576672038956</v>
          </cell>
          <cell r="V64">
            <v>0.23345697389564446</v>
          </cell>
          <cell r="W64">
            <v>0.15054023365601354</v>
          </cell>
          <cell r="X64">
            <v>0.1091082518655821</v>
          </cell>
          <cell r="Y64">
            <v>0.14158951974815162</v>
          </cell>
          <cell r="Z64">
            <v>0.25180000000000002</v>
          </cell>
          <cell r="AA64">
            <v>0.24840000000000001</v>
          </cell>
          <cell r="AB64">
            <v>0.2696633082872934</v>
          </cell>
          <cell r="AC64">
            <v>0.33187896960079466</v>
          </cell>
          <cell r="AD64">
            <v>0.24932755554944439</v>
          </cell>
          <cell r="AE64">
            <v>0.2462404319623952</v>
          </cell>
        </row>
        <row r="65">
          <cell r="H65">
            <v>0.23799999999999999</v>
          </cell>
          <cell r="I65">
            <v>0.17499999999999999</v>
          </cell>
          <cell r="J65">
            <v>0.22190000000000001</v>
          </cell>
          <cell r="K65">
            <v>0.18659999999999999</v>
          </cell>
          <cell r="L65">
            <v>0.33439999999999998</v>
          </cell>
          <cell r="M65">
            <v>0.22409999999999999</v>
          </cell>
          <cell r="N65">
            <v>0.1966</v>
          </cell>
          <cell r="O65">
            <v>0.28989999999999999</v>
          </cell>
          <cell r="P65">
            <v>0.19939999999999999</v>
          </cell>
          <cell r="Q65">
            <v>0.25030000000000002</v>
          </cell>
          <cell r="R65">
            <v>0.33189999999999997</v>
          </cell>
          <cell r="S65">
            <v>0.25900000000000001</v>
          </cell>
          <cell r="T65">
            <v>0.33539999999999998</v>
          </cell>
          <cell r="U65">
            <v>0.30019999999999997</v>
          </cell>
          <cell r="V65">
            <v>0.20430000000000001</v>
          </cell>
          <cell r="W65">
            <v>0.76816319999999993</v>
          </cell>
          <cell r="X65">
            <v>0.55674780000000001</v>
          </cell>
          <cell r="Y65">
            <v>0.72249029999999992</v>
          </cell>
          <cell r="Z65">
            <v>4.9535</v>
          </cell>
          <cell r="AA65">
            <v>6.3348999999999993</v>
          </cell>
          <cell r="AB65">
            <v>5.3609489217127075</v>
          </cell>
          <cell r="AC65">
            <v>5.1667008803991994</v>
          </cell>
          <cell r="AD65">
            <v>4.9269464144505486</v>
          </cell>
          <cell r="AE65">
            <v>5.1609522880376071</v>
          </cell>
        </row>
        <row r="66">
          <cell r="H66">
            <v>0.61850000000000005</v>
          </cell>
          <cell r="I66">
            <v>2.2084999999999999</v>
          </cell>
          <cell r="J66">
            <v>1.4847000000000001</v>
          </cell>
          <cell r="K66">
            <v>0.95320000000000005</v>
          </cell>
          <cell r="L66">
            <v>0.90810000000000002</v>
          </cell>
          <cell r="M66">
            <v>0.42230000000000001</v>
          </cell>
          <cell r="N66">
            <v>0.60639999999999994</v>
          </cell>
          <cell r="O66">
            <v>0.6167999999999999</v>
          </cell>
          <cell r="P66">
            <v>1.0635999999999999</v>
          </cell>
          <cell r="Q66">
            <v>1.0459000000000001</v>
          </cell>
          <cell r="R66">
            <v>2.0405000000000002</v>
          </cell>
          <cell r="S66">
            <v>2.3144</v>
          </cell>
          <cell r="T66">
            <v>1.7478</v>
          </cell>
          <cell r="U66">
            <v>1.9861</v>
          </cell>
          <cell r="V66">
            <v>1.1522000000000001</v>
          </cell>
          <cell r="W66">
            <v>0.38150000000000001</v>
          </cell>
          <cell r="X66">
            <v>0.92549999999999999</v>
          </cell>
          <cell r="Y66">
            <v>1.1422999999999999</v>
          </cell>
          <cell r="Z66">
            <v>1.5630999999999999</v>
          </cell>
          <cell r="AA66">
            <v>1.7925</v>
          </cell>
          <cell r="AB66">
            <v>1.7621433593581584</v>
          </cell>
          <cell r="AC66">
            <v>1.4336343163011998</v>
          </cell>
          <cell r="AD66">
            <v>1.3691762784064214</v>
          </cell>
          <cell r="AE66">
            <v>1.5800612145564872</v>
          </cell>
        </row>
        <row r="67">
          <cell r="H67">
            <v>0.43003140000000001</v>
          </cell>
          <cell r="I67">
            <v>0.38538420000000001</v>
          </cell>
          <cell r="J67">
            <v>0.66239400000000004</v>
          </cell>
          <cell r="K67">
            <v>0.43521479999999996</v>
          </cell>
          <cell r="L67">
            <v>0.36477779999999993</v>
          </cell>
          <cell r="M67">
            <v>0.67629059999999996</v>
          </cell>
          <cell r="N67">
            <v>0.52988339999999989</v>
          </cell>
          <cell r="O67">
            <v>0.50167679999999992</v>
          </cell>
          <cell r="P67">
            <v>0.38506620000000003</v>
          </cell>
          <cell r="Q67">
            <v>0.32744460000000003</v>
          </cell>
          <cell r="R67">
            <v>0.54336660000000003</v>
          </cell>
          <cell r="S67">
            <v>0.64827480000000004</v>
          </cell>
          <cell r="T67">
            <v>0.97781820000000008</v>
          </cell>
          <cell r="U67">
            <v>0.78724080000000007</v>
          </cell>
          <cell r="V67">
            <v>0.68166479999999996</v>
          </cell>
          <cell r="W67">
            <v>0.47345219999999999</v>
          </cell>
          <cell r="X67">
            <v>0.48302279999999997</v>
          </cell>
          <cell r="Y67">
            <v>0.4790682</v>
          </cell>
          <cell r="Z67">
            <v>3.056</v>
          </cell>
          <cell r="AA67">
            <v>2.3259000000000003</v>
          </cell>
          <cell r="AB67">
            <v>2.0441822700000003</v>
          </cell>
          <cell r="AC67">
            <v>2.0585218499999991</v>
          </cell>
          <cell r="AD67">
            <v>2.2333007499999997</v>
          </cell>
          <cell r="AE67">
            <v>2.33822785</v>
          </cell>
        </row>
        <row r="68">
          <cell r="H68">
            <v>0.92226859999999999</v>
          </cell>
          <cell r="I68">
            <v>0.82651580000000013</v>
          </cell>
          <cell r="J68">
            <v>1.420606</v>
          </cell>
          <cell r="K68">
            <v>0.93338520000000003</v>
          </cell>
          <cell r="L68">
            <v>0.78232219999999997</v>
          </cell>
          <cell r="M68">
            <v>1.4504094000000001</v>
          </cell>
          <cell r="N68">
            <v>1.1364166</v>
          </cell>
          <cell r="O68">
            <v>1.0759231999999999</v>
          </cell>
          <cell r="P68">
            <v>0.82583380000000006</v>
          </cell>
          <cell r="Q68">
            <v>0.70225540000000009</v>
          </cell>
          <cell r="R68">
            <v>1.1653334000000002</v>
          </cell>
          <cell r="S68">
            <v>1.3903251999999999</v>
          </cell>
          <cell r="T68">
            <v>2.0970818000000002</v>
          </cell>
          <cell r="U68">
            <v>1.6883592000000001</v>
          </cell>
          <cell r="V68">
            <v>1.4619352000000001</v>
          </cell>
          <cell r="W68">
            <v>1.5498478</v>
          </cell>
          <cell r="X68">
            <v>1.5811771999999999</v>
          </cell>
          <cell r="Y68">
            <v>1.5682318</v>
          </cell>
          <cell r="Z68">
            <v>3.056</v>
          </cell>
          <cell r="AA68">
            <v>2.3259000000000003</v>
          </cell>
          <cell r="AB68">
            <v>2.0441822700000003</v>
          </cell>
          <cell r="AC68">
            <v>2.0585218499999991</v>
          </cell>
          <cell r="AD68">
            <v>2.2333007499999997</v>
          </cell>
          <cell r="AE68">
            <v>2.33822785</v>
          </cell>
        </row>
        <row r="69">
          <cell r="H69">
            <v>1.112582</v>
          </cell>
          <cell r="I69">
            <v>0.80331799999999998</v>
          </cell>
          <cell r="J69">
            <v>0.79209799999999997</v>
          </cell>
          <cell r="K69">
            <v>1.4170180000000003</v>
          </cell>
          <cell r="L69">
            <v>2.0118140000000002</v>
          </cell>
          <cell r="M69">
            <v>1.9682630600000002</v>
          </cell>
          <cell r="N69">
            <v>1.356931568</v>
          </cell>
          <cell r="O69">
            <v>1.6115660000000003</v>
          </cell>
          <cell r="P69">
            <v>2.0560044800000004</v>
          </cell>
          <cell r="Q69">
            <v>2.2904100000000001</v>
          </cell>
          <cell r="R69">
            <v>2.4596072599999999</v>
          </cell>
          <cell r="S69">
            <v>3.8090502600000002</v>
          </cell>
          <cell r="T69">
            <v>4.7729200000000009</v>
          </cell>
          <cell r="U69">
            <v>4.5525319999999994</v>
          </cell>
          <cell r="V69">
            <v>3.3850400000000009</v>
          </cell>
          <cell r="W69">
            <v>2.8653000000000004</v>
          </cell>
          <cell r="X69">
            <v>1.9470999999999998</v>
          </cell>
          <cell r="Y69">
            <v>3.2425000000000002</v>
          </cell>
          <cell r="Z69">
            <v>1.5354000000000001</v>
          </cell>
          <cell r="AA69">
            <v>1.9370000000000001</v>
          </cell>
          <cell r="AB69">
            <v>2.3703669220352253</v>
          </cell>
          <cell r="AC69">
            <v>1.9890497993605087</v>
          </cell>
          <cell r="AD69">
            <v>2.1600621794832904</v>
          </cell>
          <cell r="AE69">
            <v>2.2621435716444833</v>
          </cell>
        </row>
        <row r="70">
          <cell r="H70">
            <v>2.1597179999999998</v>
          </cell>
          <cell r="I70">
            <v>1.559382</v>
          </cell>
          <cell r="J70">
            <v>1.5376019999999999</v>
          </cell>
          <cell r="K70">
            <v>2.7506820000000007</v>
          </cell>
          <cell r="L70">
            <v>3.9052860000000007</v>
          </cell>
          <cell r="M70">
            <v>3.8207459400000001</v>
          </cell>
          <cell r="N70">
            <v>2.634043632</v>
          </cell>
          <cell r="O70">
            <v>3.1283340000000002</v>
          </cell>
          <cell r="P70">
            <v>3.991067520000001</v>
          </cell>
          <cell r="Q70">
            <v>4.446089999999999</v>
          </cell>
          <cell r="R70">
            <v>4.7745317399999996</v>
          </cell>
          <cell r="S70">
            <v>7.3940387400000001</v>
          </cell>
          <cell r="T70">
            <v>9.2650800000000011</v>
          </cell>
          <cell r="U70">
            <v>8.8372679999999981</v>
          </cell>
          <cell r="V70">
            <v>6.5709600000000021</v>
          </cell>
          <cell r="W70">
            <v>4.5552000000000001</v>
          </cell>
          <cell r="X70">
            <v>5.4093999999999998</v>
          </cell>
          <cell r="Y70">
            <v>5.1186000000000007</v>
          </cell>
          <cell r="Z70">
            <v>1.7812999999999999</v>
          </cell>
          <cell r="AA70">
            <v>2.95</v>
          </cell>
          <cell r="AB70">
            <v>2.2861592609503698</v>
          </cell>
          <cell r="AC70">
            <v>2.5053125556405771</v>
          </cell>
          <cell r="AD70">
            <v>2.4712945670254456</v>
          </cell>
          <cell r="AE70">
            <v>2.4438312461536253</v>
          </cell>
        </row>
        <row r="92">
          <cell r="H92">
            <v>0.41436087365353341</v>
          </cell>
          <cell r="I92">
            <v>0.17461665398690543</v>
          </cell>
          <cell r="J92">
            <v>0.26404705837256015</v>
          </cell>
          <cell r="K92">
            <v>0.26172287837157698</v>
          </cell>
          <cell r="L92">
            <v>0.20771095617481719</v>
          </cell>
          <cell r="M92">
            <v>0.24565572097347629</v>
          </cell>
          <cell r="N92">
            <v>0.38202445624855086</v>
          </cell>
          <cell r="O92">
            <v>0.43265115974822654</v>
          </cell>
          <cell r="P92">
            <v>0.44386785453557986</v>
          </cell>
          <cell r="Q92">
            <v>0.36903936363436263</v>
          </cell>
          <cell r="R92">
            <v>0.5218289358729048</v>
          </cell>
          <cell r="S92">
            <v>0.56649361241353691</v>
          </cell>
          <cell r="T92">
            <v>0.68866463942173628</v>
          </cell>
          <cell r="U92">
            <v>1.031127510001379</v>
          </cell>
          <cell r="V92">
            <v>0.57467876806917317</v>
          </cell>
          <cell r="W92">
            <v>0.49454508368745087</v>
          </cell>
          <cell r="X92">
            <v>0.57525981306941887</v>
          </cell>
          <cell r="Y92">
            <v>0.81019904321227521</v>
          </cell>
          <cell r="Z92">
            <v>0.6358950000000001</v>
          </cell>
          <cell r="AA92">
            <v>0.73733399999999993</v>
          </cell>
          <cell r="AB92">
            <v>0.6518964294875611</v>
          </cell>
          <cell r="AC92">
            <v>0.67716166468748484</v>
          </cell>
          <cell r="AD92">
            <v>0.61357820737900048</v>
          </cell>
          <cell r="AE92">
            <v>0.62155831420158214</v>
          </cell>
        </row>
        <row r="93">
          <cell r="H93">
            <v>0.18668655354200558</v>
          </cell>
          <cell r="I93">
            <v>7.8671958180852486E-2</v>
          </cell>
          <cell r="J93">
            <v>0.11896402009639327</v>
          </cell>
          <cell r="K93">
            <v>0.11791688176412496</v>
          </cell>
          <cell r="L93">
            <v>9.3582297477281418E-2</v>
          </cell>
          <cell r="M93">
            <v>0.11067796894540068</v>
          </cell>
          <cell r="N93">
            <v>0.17211767239740325</v>
          </cell>
          <cell r="O93">
            <v>0.19492707693942124</v>
          </cell>
          <cell r="P93">
            <v>0.19998065758645517</v>
          </cell>
          <cell r="Q93">
            <v>0.1662673560627739</v>
          </cell>
          <cell r="R93">
            <v>0.23510531947101979</v>
          </cell>
          <cell r="S93">
            <v>0.25522858655200176</v>
          </cell>
          <cell r="T93">
            <v>0.31027164062645235</v>
          </cell>
          <cell r="U93">
            <v>0.46456519749850622</v>
          </cell>
          <cell r="V93">
            <v>0.25891633459172925</v>
          </cell>
          <cell r="W93">
            <v>0.22281282600526162</v>
          </cell>
          <cell r="X93">
            <v>0.25917811917479627</v>
          </cell>
          <cell r="Y93">
            <v>0.3650278698533686</v>
          </cell>
          <cell r="Z93">
            <v>0.79894500000000002</v>
          </cell>
          <cell r="AA93">
            <v>0.92639399999999994</v>
          </cell>
          <cell r="AB93">
            <v>0.81904936012539731</v>
          </cell>
          <cell r="AC93">
            <v>0.85079286076119875</v>
          </cell>
          <cell r="AD93">
            <v>0.77090595286079544</v>
          </cell>
          <cell r="AE93">
            <v>0.78093224091993652</v>
          </cell>
        </row>
        <row r="94">
          <cell r="H94">
            <v>0.21905257280446114</v>
          </cell>
          <cell r="I94">
            <v>9.2311387832242131E-2</v>
          </cell>
          <cell r="J94">
            <v>0.13958892153104671</v>
          </cell>
          <cell r="K94">
            <v>0.1383602398642981</v>
          </cell>
          <cell r="L94">
            <v>0.10980674634790144</v>
          </cell>
          <cell r="M94">
            <v>0.12986631008112301</v>
          </cell>
          <cell r="N94">
            <v>0.20195787135404591</v>
          </cell>
          <cell r="O94">
            <v>0.22872176331235222</v>
          </cell>
          <cell r="P94">
            <v>0.234651487877965</v>
          </cell>
          <cell r="Q94">
            <v>0.19509328030286358</v>
          </cell>
          <cell r="R94">
            <v>0.27586574465607538</v>
          </cell>
          <cell r="S94">
            <v>0.29947780103446142</v>
          </cell>
          <cell r="T94">
            <v>0.36406371995181136</v>
          </cell>
          <cell r="U94">
            <v>0.54510729250011491</v>
          </cell>
          <cell r="V94">
            <v>0.30380489733909782</v>
          </cell>
          <cell r="W94">
            <v>0.2614420903072876</v>
          </cell>
          <cell r="X94">
            <v>0.30411206775578492</v>
          </cell>
          <cell r="Y94">
            <v>0.42831308693435627</v>
          </cell>
          <cell r="Z94">
            <v>0.19566</v>
          </cell>
          <cell r="AA94">
            <v>0.22687199999999996</v>
          </cell>
          <cell r="AB94">
            <v>0.20058351676540342</v>
          </cell>
          <cell r="AC94">
            <v>0.20835743528845685</v>
          </cell>
          <cell r="AD94">
            <v>0.188793294578154</v>
          </cell>
          <cell r="AE94">
            <v>0.19124871206202526</v>
          </cell>
        </row>
        <row r="95">
          <cell r="H95">
            <v>0.16229015911096059</v>
          </cell>
          <cell r="I95">
            <v>0.13689095496788101</v>
          </cell>
          <cell r="J95">
            <v>0.1464880483900218</v>
          </cell>
          <cell r="K95">
            <v>0.12630105877793252</v>
          </cell>
          <cell r="L95">
            <v>5.3578256036020636E-2</v>
          </cell>
          <cell r="M95">
            <v>0.14473409683356164</v>
          </cell>
          <cell r="N95">
            <v>0.20832311411164292</v>
          </cell>
          <cell r="O95">
            <v>0.18181528021117813</v>
          </cell>
          <cell r="P95">
            <v>0.25346254662129836</v>
          </cell>
          <cell r="Q95">
            <v>0.21457777154883126</v>
          </cell>
          <cell r="R95">
            <v>0.21891301030159141</v>
          </cell>
          <cell r="S95">
            <v>0.34506514866435284</v>
          </cell>
          <cell r="T95">
            <v>0.4237613147259075</v>
          </cell>
          <cell r="U95">
            <v>0.29486242203887825</v>
          </cell>
          <cell r="V95">
            <v>0.25132802067051191</v>
          </cell>
          <cell r="W95">
            <v>0.19929265632196788</v>
          </cell>
          <cell r="X95">
            <v>0.28278808334118855</v>
          </cell>
          <cell r="Y95">
            <v>0.28374874501219671</v>
          </cell>
          <cell r="Z95">
            <v>0.38990000000000008</v>
          </cell>
          <cell r="AA95">
            <v>0.61124000000000001</v>
          </cell>
          <cell r="AB95">
            <v>0.48311013099802608</v>
          </cell>
          <cell r="AC95">
            <v>0.44265568341819511</v>
          </cell>
          <cell r="AD95">
            <v>0.44279982054836869</v>
          </cell>
          <cell r="AE95">
            <v>0.46242683685728003</v>
          </cell>
        </row>
        <row r="96">
          <cell r="H96">
            <v>0.29974721869213228</v>
          </cell>
          <cell r="I96">
            <v>0.25283531201468296</v>
          </cell>
          <cell r="J96">
            <v>0.27056098359313285</v>
          </cell>
          <cell r="K96">
            <v>0.23327595027294512</v>
          </cell>
          <cell r="L96">
            <v>9.8958145812104853E-2</v>
          </cell>
          <cell r="M96">
            <v>0.26732146430465759</v>
          </cell>
          <cell r="N96">
            <v>0.38476931926324892</v>
          </cell>
          <cell r="O96">
            <v>0.33580979190346144</v>
          </cell>
          <cell r="P96">
            <v>0.46814109868740644</v>
          </cell>
          <cell r="Q96">
            <v>0.39632156729196283</v>
          </cell>
          <cell r="R96">
            <v>0.40432868100498676</v>
          </cell>
          <cell r="S96">
            <v>0.63732957775343879</v>
          </cell>
          <cell r="T96">
            <v>0.78268008469672801</v>
          </cell>
          <cell r="U96">
            <v>0.54460597849651282</v>
          </cell>
          <cell r="V96">
            <v>0.46419866483633754</v>
          </cell>
          <cell r="W96">
            <v>0.36809021425281468</v>
          </cell>
          <cell r="X96">
            <v>0.52230487618688526</v>
          </cell>
          <cell r="Y96">
            <v>0.52407920228013871</v>
          </cell>
          <cell r="Z96">
            <v>0.18102500000000002</v>
          </cell>
          <cell r="AA96">
            <v>0.28378999999999999</v>
          </cell>
          <cell r="AB96">
            <v>0.22430113224908352</v>
          </cell>
          <cell r="AC96">
            <v>0.20551871015844772</v>
          </cell>
          <cell r="AD96">
            <v>0.20558563096888544</v>
          </cell>
          <cell r="AE96">
            <v>0.21469817425516571</v>
          </cell>
        </row>
        <row r="97">
          <cell r="H97">
            <v>7.4936804673033069E-2</v>
          </cell>
          <cell r="I97">
            <v>6.3208828003670739E-2</v>
          </cell>
          <cell r="J97">
            <v>6.7640245898283213E-2</v>
          </cell>
          <cell r="K97">
            <v>5.831898756823628E-2</v>
          </cell>
          <cell r="L97">
            <v>2.4739536453026213E-2</v>
          </cell>
          <cell r="M97">
            <v>6.6830366076164396E-2</v>
          </cell>
          <cell r="N97">
            <v>9.619232981581223E-2</v>
          </cell>
          <cell r="O97">
            <v>8.395244797586536E-2</v>
          </cell>
          <cell r="P97">
            <v>0.11703527467185161</v>
          </cell>
          <cell r="Q97">
            <v>9.9080391822990707E-2</v>
          </cell>
          <cell r="R97">
            <v>0.10108217025124669</v>
          </cell>
          <cell r="S97">
            <v>0.1593323944383597</v>
          </cell>
          <cell r="T97">
            <v>0.195670021174182</v>
          </cell>
          <cell r="U97">
            <v>0.13615149462412821</v>
          </cell>
          <cell r="V97">
            <v>0.11604966620908438</v>
          </cell>
          <cell r="W97">
            <v>9.2022553563203671E-2</v>
          </cell>
          <cell r="X97">
            <v>0.13057621904672131</v>
          </cell>
          <cell r="Y97">
            <v>0.13101980057003468</v>
          </cell>
          <cell r="Z97">
            <v>0.6266250000000001</v>
          </cell>
          <cell r="AA97">
            <v>0.98234999999999995</v>
          </cell>
          <cell r="AB97">
            <v>0.77642699624682754</v>
          </cell>
          <cell r="AC97">
            <v>0.71141091977924209</v>
          </cell>
          <cell r="AD97">
            <v>0.71164256873844955</v>
          </cell>
          <cell r="AE97">
            <v>0.74318598780634293</v>
          </cell>
        </row>
        <row r="98">
          <cell r="H98">
            <v>0.14468181752387402</v>
          </cell>
          <cell r="I98">
            <v>0.12203840501376527</v>
          </cell>
          <cell r="J98">
            <v>0.13059422211856206</v>
          </cell>
          <cell r="K98">
            <v>0.11259750338088605</v>
          </cell>
          <cell r="L98">
            <v>4.7765061698848296E-2</v>
          </cell>
          <cell r="M98">
            <v>0.12903057278561647</v>
          </cell>
          <cell r="N98">
            <v>0.18572023680929586</v>
          </cell>
          <cell r="O98">
            <v>0.1620884799094951</v>
          </cell>
          <cell r="P98">
            <v>0.22596208001944354</v>
          </cell>
          <cell r="Q98">
            <v>0.19129626933621519</v>
          </cell>
          <cell r="R98">
            <v>0.19516113844217509</v>
          </cell>
          <cell r="S98">
            <v>0.30762587914384881</v>
          </cell>
          <cell r="T98">
            <v>0.37778357940318252</v>
          </cell>
          <cell r="U98">
            <v>0.26287010484048079</v>
          </cell>
          <cell r="V98">
            <v>0.2240591482840664</v>
          </cell>
          <cell r="W98">
            <v>0.17766957586201376</v>
          </cell>
          <cell r="X98">
            <v>0.25210582142520493</v>
          </cell>
          <cell r="Y98">
            <v>0.25296225213763002</v>
          </cell>
          <cell r="Z98">
            <v>0.19495000000000004</v>
          </cell>
          <cell r="AA98">
            <v>0.30562</v>
          </cell>
          <cell r="AB98">
            <v>0.24155506549901304</v>
          </cell>
          <cell r="AC98">
            <v>0.22132784170909756</v>
          </cell>
          <cell r="AD98">
            <v>0.22139991027418435</v>
          </cell>
          <cell r="AE98">
            <v>0.23121341842864002</v>
          </cell>
        </row>
        <row r="99">
          <cell r="H99">
            <v>0.18433800000000003</v>
          </cell>
          <cell r="I99">
            <v>0.206844</v>
          </cell>
          <cell r="J99">
            <v>0.137214</v>
          </cell>
          <cell r="K99">
            <v>0.61676999999999993</v>
          </cell>
          <cell r="L99">
            <v>0.68554199999999998</v>
          </cell>
          <cell r="M99">
            <v>0.40642800000000001</v>
          </cell>
          <cell r="N99">
            <v>0.53598599999999996</v>
          </cell>
          <cell r="O99">
            <v>1.033296</v>
          </cell>
          <cell r="P99">
            <v>0.77985599999999999</v>
          </cell>
          <cell r="Q99">
            <v>0.64818600000000004</v>
          </cell>
          <cell r="R99">
            <v>0.78117599999999998</v>
          </cell>
          <cell r="S99">
            <v>0.39857400000000004</v>
          </cell>
          <cell r="T99">
            <v>0.61709999999999998</v>
          </cell>
          <cell r="U99">
            <v>0.37732200000000005</v>
          </cell>
          <cell r="V99">
            <v>0.84011400000000014</v>
          </cell>
          <cell r="W99">
            <v>0.93320000000000003</v>
          </cell>
          <cell r="X99">
            <v>1.1757</v>
          </cell>
          <cell r="Y99">
            <v>0.60420000000000007</v>
          </cell>
          <cell r="Z99">
            <v>0.75339999999999996</v>
          </cell>
          <cell r="AA99">
            <v>1.5335999999999999</v>
          </cell>
          <cell r="AB99">
            <v>1.2076663465344608</v>
          </cell>
          <cell r="AC99">
            <v>0.88413198109065294</v>
          </cell>
          <cell r="AD99">
            <v>0.97240838928959727</v>
          </cell>
          <cell r="AE99">
            <v>1.0165069098294888</v>
          </cell>
        </row>
        <row r="100">
          <cell r="H100">
            <v>9.4962000000000019E-2</v>
          </cell>
          <cell r="I100">
            <v>0.106556</v>
          </cell>
          <cell r="J100">
            <v>7.0686000000000013E-2</v>
          </cell>
          <cell r="K100">
            <v>0.31773000000000001</v>
          </cell>
          <cell r="L100">
            <v>0.35315800000000003</v>
          </cell>
          <cell r="M100">
            <v>0.20937199999999997</v>
          </cell>
          <cell r="N100">
            <v>0.27611400000000003</v>
          </cell>
          <cell r="O100">
            <v>0.532304</v>
          </cell>
          <cell r="P100">
            <v>0.40174399999999999</v>
          </cell>
          <cell r="Q100">
            <v>0.33391400000000004</v>
          </cell>
          <cell r="R100">
            <v>0.402424</v>
          </cell>
          <cell r="S100">
            <v>0.20532599999999998</v>
          </cell>
          <cell r="T100">
            <v>0.31790000000000002</v>
          </cell>
          <cell r="U100">
            <v>0.19437800000000005</v>
          </cell>
          <cell r="V100">
            <v>0.43278600000000006</v>
          </cell>
          <cell r="W100">
            <v>0.53679999999999994</v>
          </cell>
          <cell r="X100">
            <v>0.58729999999999993</v>
          </cell>
          <cell r="Y100">
            <v>0.3029</v>
          </cell>
          <cell r="Z100">
            <v>0.19550000000000001</v>
          </cell>
          <cell r="AA100">
            <v>0.11359999999999999</v>
          </cell>
          <cell r="AB100">
            <v>0.23634605624237559</v>
          </cell>
          <cell r="AC100">
            <v>0.27313452288332429</v>
          </cell>
          <cell r="AD100">
            <v>0.28219361090513184</v>
          </cell>
          <cell r="AE100">
            <v>0.26393138211722167</v>
          </cell>
        </row>
        <row r="101">
          <cell r="H101">
            <v>0.51962010000000003</v>
          </cell>
          <cell r="I101">
            <v>0.2356029</v>
          </cell>
          <cell r="J101">
            <v>0.29530000000000001</v>
          </cell>
          <cell r="K101">
            <v>0.39574090000000001</v>
          </cell>
          <cell r="L101">
            <v>0.68245239999999996</v>
          </cell>
          <cell r="M101">
            <v>0.37956290000000004</v>
          </cell>
          <cell r="N101">
            <v>0.31980000000000003</v>
          </cell>
          <cell r="O101">
            <v>0.7399</v>
          </cell>
          <cell r="P101">
            <v>0.63590000000000002</v>
          </cell>
          <cell r="Q101">
            <v>0.7046</v>
          </cell>
          <cell r="R101">
            <v>0.49339999999999995</v>
          </cell>
          <cell r="S101">
            <v>1.1999000000000002</v>
          </cell>
          <cell r="T101">
            <v>1.5182</v>
          </cell>
          <cell r="U101">
            <v>1.0499000000000001</v>
          </cell>
          <cell r="V101">
            <v>1.0911</v>
          </cell>
          <cell r="W101">
            <v>0.79139999999999999</v>
          </cell>
          <cell r="X101">
            <v>0.41299999999999998</v>
          </cell>
          <cell r="Y101">
            <v>0.74629999999999996</v>
          </cell>
          <cell r="Z101">
            <v>0.95779999999999998</v>
          </cell>
          <cell r="AA101">
            <v>1.0682</v>
          </cell>
          <cell r="AB101">
            <v>0.76954163000000042</v>
          </cell>
          <cell r="AC101">
            <v>0.65636095000000005</v>
          </cell>
          <cell r="AD101">
            <v>0.53005643999999963</v>
          </cell>
          <cell r="AE101">
            <v>0.52549197000000003</v>
          </cell>
        </row>
        <row r="102">
          <cell r="H102">
            <v>0.21296593880742018</v>
          </cell>
          <cell r="I102">
            <v>0.17963572713639753</v>
          </cell>
          <cell r="J102">
            <v>0.19222955304466666</v>
          </cell>
          <cell r="K102">
            <v>0.16573909165141087</v>
          </cell>
          <cell r="L102">
            <v>7.0308290156854247E-2</v>
          </cell>
          <cell r="M102">
            <v>0.18992792279246576</v>
          </cell>
          <cell r="N102">
            <v>0.27337287618122147</v>
          </cell>
          <cell r="O102">
            <v>0.23858786048286421</v>
          </cell>
          <cell r="P102">
            <v>0.33260728493597691</v>
          </cell>
          <cell r="Q102">
            <v>0.28158057651454166</v>
          </cell>
          <cell r="R102">
            <v>0.28726951166620807</v>
          </cell>
          <cell r="S102">
            <v>0.45281318188111136</v>
          </cell>
          <cell r="T102">
            <v>0.55608255432891829</v>
          </cell>
          <cell r="U102">
            <v>0.38693444428509655</v>
          </cell>
          <cell r="V102">
            <v>0.32980624434603434</v>
          </cell>
          <cell r="W102">
            <v>7.7976356796648869E-2</v>
          </cell>
          <cell r="X102">
            <v>0.10613982502339432</v>
          </cell>
          <cell r="Y102">
            <v>0.10925090581588365</v>
          </cell>
          <cell r="Z102">
            <v>0.1041</v>
          </cell>
          <cell r="AA102">
            <v>0.14449999999999999</v>
          </cell>
          <cell r="AB102">
            <v>0.12252214500704957</v>
          </cell>
          <cell r="AC102">
            <v>0.11151282493501802</v>
          </cell>
          <cell r="AD102">
            <v>0.10818632947011167</v>
          </cell>
          <cell r="AE102">
            <v>0.10758392265257145</v>
          </cell>
        </row>
        <row r="103">
          <cell r="H103">
            <v>8.6178061192579855E-2</v>
          </cell>
          <cell r="I103">
            <v>7.2690772863602482E-2</v>
          </cell>
          <cell r="J103">
            <v>7.7786946955333336E-2</v>
          </cell>
          <cell r="K103">
            <v>6.7067408348589097E-2</v>
          </cell>
          <cell r="L103">
            <v>2.8450709843145752E-2</v>
          </cell>
          <cell r="M103">
            <v>7.6855577207534248E-2</v>
          </cell>
          <cell r="N103">
            <v>0.11062212381877858</v>
          </cell>
          <cell r="O103">
            <v>9.6546139517135726E-2</v>
          </cell>
          <cell r="P103">
            <v>0.13459171506402304</v>
          </cell>
          <cell r="Q103">
            <v>0.11394342348545834</v>
          </cell>
          <cell r="R103">
            <v>0.11624548833379195</v>
          </cell>
          <cell r="S103">
            <v>0.18323381811888867</v>
          </cell>
          <cell r="T103">
            <v>0.22502244567108176</v>
          </cell>
          <cell r="U103">
            <v>0.15657555571490342</v>
          </cell>
          <cell r="V103">
            <v>0.13345825565396569</v>
          </cell>
          <cell r="W103">
            <v>3.1553643203351134E-2</v>
          </cell>
          <cell r="X103">
            <v>4.2950174976605679E-2</v>
          </cell>
          <cell r="Y103">
            <v>4.4209094184116358E-2</v>
          </cell>
          <cell r="Z103">
            <v>0.1041</v>
          </cell>
          <cell r="AA103">
            <v>0.14449999999999999</v>
          </cell>
          <cell r="AB103">
            <v>0.12252214500704957</v>
          </cell>
          <cell r="AC103">
            <v>0.11151282493501802</v>
          </cell>
          <cell r="AD103">
            <v>0.10818632947011167</v>
          </cell>
          <cell r="AE103">
            <v>0.10758392265257145</v>
          </cell>
        </row>
        <row r="104">
          <cell r="H104">
            <v>8.6474074074074148E-2</v>
          </cell>
          <cell r="I104">
            <v>8.6474074074074037E-2</v>
          </cell>
          <cell r="J104">
            <v>8.6474074074074148E-2</v>
          </cell>
          <cell r="K104">
            <v>8.6474074074074148E-2</v>
          </cell>
          <cell r="L104">
            <v>8.6474074074073926E-2</v>
          </cell>
          <cell r="M104">
            <v>8.6474074074074148E-2</v>
          </cell>
          <cell r="N104">
            <v>8.6474074074074148E-2</v>
          </cell>
          <cell r="O104">
            <v>8.6474074074073926E-2</v>
          </cell>
          <cell r="P104">
            <v>8.6474074074074148E-2</v>
          </cell>
          <cell r="Q104">
            <v>8.6474074074074148E-2</v>
          </cell>
          <cell r="R104">
            <v>8.6474074074073926E-2</v>
          </cell>
          <cell r="S104">
            <v>8.6474074074074148E-2</v>
          </cell>
          <cell r="T104">
            <v>8.6474074074074148E-2</v>
          </cell>
          <cell r="U104">
            <v>8.6474074074073926E-2</v>
          </cell>
          <cell r="V104">
            <v>8.6474074074073926E-2</v>
          </cell>
          <cell r="W104">
            <v>8.647407407407437E-2</v>
          </cell>
          <cell r="X104">
            <v>8.6474074074073926E-2</v>
          </cell>
          <cell r="Y104">
            <v>8.647407407407437E-2</v>
          </cell>
          <cell r="Z104">
            <v>8.6474074074073926E-2</v>
          </cell>
          <cell r="AA104">
            <v>8.6474074074073926E-2</v>
          </cell>
          <cell r="AB104">
            <v>8.6474074074073926E-2</v>
          </cell>
          <cell r="AC104">
            <v>8.647407407407437E-2</v>
          </cell>
          <cell r="AD104">
            <v>8.6474074074073926E-2</v>
          </cell>
          <cell r="AE104">
            <v>8.647407407407437E-2</v>
          </cell>
        </row>
        <row r="105">
          <cell r="H105">
            <v>0.29699999999999999</v>
          </cell>
          <cell r="I105">
            <v>0.18059999999999998</v>
          </cell>
          <cell r="J105">
            <v>9.4500000000000001E-2</v>
          </cell>
          <cell r="K105">
            <v>0.46850000000000003</v>
          </cell>
          <cell r="L105">
            <v>0.1009</v>
          </cell>
          <cell r="M105">
            <v>0.13689999999999999</v>
          </cell>
          <cell r="N105">
            <v>0.37169999999999997</v>
          </cell>
          <cell r="O105">
            <v>0.29910000000000003</v>
          </cell>
          <cell r="P105">
            <v>0.4612</v>
          </cell>
          <cell r="Q105">
            <v>0.78410000000000002</v>
          </cell>
          <cell r="R105">
            <v>0.1585</v>
          </cell>
          <cell r="S105">
            <v>0.14169999999999999</v>
          </cell>
          <cell r="T105">
            <v>0.24959999999999999</v>
          </cell>
          <cell r="U105">
            <v>0.2296</v>
          </cell>
          <cell r="V105">
            <v>0.22839999999999999</v>
          </cell>
          <cell r="W105">
            <v>0.24010000000000001</v>
          </cell>
          <cell r="X105">
            <v>0.247</v>
          </cell>
          <cell r="Y105">
            <v>0.36219999999999997</v>
          </cell>
          <cell r="Z105">
            <v>0.39089999999999997</v>
          </cell>
          <cell r="AA105">
            <v>0.62470000000000003</v>
          </cell>
          <cell r="AB105">
            <v>0.54312269999999974</v>
          </cell>
          <cell r="AC105">
            <v>0.43204304999999998</v>
          </cell>
          <cell r="AD105">
            <v>0.39338529000000044</v>
          </cell>
          <cell r="AE105">
            <v>0.43886131999999956</v>
          </cell>
        </row>
        <row r="106">
          <cell r="H106">
            <v>9.4114999999999976E-2</v>
          </cell>
          <cell r="I106">
            <v>3.5979999999999998E-2</v>
          </cell>
          <cell r="J106">
            <v>4.9454999999999999E-2</v>
          </cell>
          <cell r="K106">
            <v>1.6729999999999998E-2</v>
          </cell>
          <cell r="L106">
            <v>8.9494999999999991E-2</v>
          </cell>
          <cell r="M106">
            <v>0.18592000000000003</v>
          </cell>
          <cell r="N106">
            <v>0.22197</v>
          </cell>
          <cell r="O106">
            <v>6.1249999999999999E-2</v>
          </cell>
          <cell r="P106">
            <v>0.23075499999999996</v>
          </cell>
          <cell r="Q106">
            <v>0.19785499999999995</v>
          </cell>
          <cell r="R106">
            <v>0.15771000000000002</v>
          </cell>
          <cell r="S106">
            <v>0.15168999999999996</v>
          </cell>
          <cell r="T106">
            <v>0.16621499999999997</v>
          </cell>
          <cell r="U106">
            <v>0.24384500000000001</v>
          </cell>
          <cell r="V106">
            <v>0.190085</v>
          </cell>
          <cell r="W106">
            <v>0.16197999999999999</v>
          </cell>
          <cell r="X106">
            <v>0.14038499999999998</v>
          </cell>
          <cell r="Y106">
            <v>0.31633</v>
          </cell>
          <cell r="Z106">
            <v>0.6502</v>
          </cell>
          <cell r="AA106">
            <v>0.64700000000000002</v>
          </cell>
          <cell r="AB106">
            <v>0.45748749999999927</v>
          </cell>
          <cell r="AC106">
            <v>0.5602725700000003</v>
          </cell>
          <cell r="AD106">
            <v>0.47068721000000047</v>
          </cell>
          <cell r="AE106">
            <v>0.54478340999999997</v>
          </cell>
        </row>
        <row r="107">
          <cell r="H107">
            <v>0.174785</v>
          </cell>
          <cell r="I107">
            <v>6.6820000000000004E-2</v>
          </cell>
          <cell r="J107">
            <v>9.184500000000001E-2</v>
          </cell>
          <cell r="K107">
            <v>3.107E-2</v>
          </cell>
          <cell r="L107">
            <v>0.16620499999999999</v>
          </cell>
          <cell r="M107">
            <v>0.34528000000000003</v>
          </cell>
          <cell r="N107">
            <v>0.41223000000000004</v>
          </cell>
          <cell r="O107">
            <v>0.11375</v>
          </cell>
          <cell r="P107">
            <v>0.42854499999999995</v>
          </cell>
          <cell r="Q107">
            <v>0.36744499999999997</v>
          </cell>
          <cell r="R107">
            <v>0.29289000000000004</v>
          </cell>
          <cell r="S107">
            <v>0.28170999999999996</v>
          </cell>
          <cell r="T107">
            <v>0.30868499999999999</v>
          </cell>
          <cell r="U107">
            <v>0.45285500000000001</v>
          </cell>
          <cell r="V107">
            <v>0.35301500000000002</v>
          </cell>
          <cell r="W107">
            <v>0.35450480000000001</v>
          </cell>
          <cell r="X107">
            <v>0.30724260000000003</v>
          </cell>
          <cell r="Y107">
            <v>0.6923108</v>
          </cell>
          <cell r="Z107">
            <v>0.6502</v>
          </cell>
          <cell r="AA107">
            <v>0.64700000000000002</v>
          </cell>
          <cell r="AB107">
            <v>0.45748749999999927</v>
          </cell>
          <cell r="AC107">
            <v>0.5602725700000003</v>
          </cell>
          <cell r="AD107">
            <v>0.47068721000000047</v>
          </cell>
          <cell r="AE107">
            <v>0.54478340999999997</v>
          </cell>
        </row>
        <row r="108">
          <cell r="H108">
            <v>0.16187400000000002</v>
          </cell>
          <cell r="I108">
            <v>0.40232200000000001</v>
          </cell>
          <cell r="J108">
            <v>0.21423400000000004</v>
          </cell>
          <cell r="K108">
            <v>0.16636200000000001</v>
          </cell>
          <cell r="L108">
            <v>0.14161000000000001</v>
          </cell>
          <cell r="M108">
            <v>0.21616506400000002</v>
          </cell>
          <cell r="N108">
            <v>0.43234400000000001</v>
          </cell>
          <cell r="O108">
            <v>0.29482056200000006</v>
          </cell>
          <cell r="P108">
            <v>0.20296021200000003</v>
          </cell>
          <cell r="Q108">
            <v>0.39565800000000001</v>
          </cell>
          <cell r="R108">
            <v>0.36665600000000004</v>
          </cell>
          <cell r="S108">
            <v>0.54201909199999998</v>
          </cell>
          <cell r="T108">
            <v>0.55654331400000001</v>
          </cell>
          <cell r="U108">
            <v>0.70082122600000007</v>
          </cell>
          <cell r="V108">
            <v>0.47504799999999997</v>
          </cell>
          <cell r="W108">
            <v>0.35580000000000001</v>
          </cell>
          <cell r="X108">
            <v>0.66449999999999998</v>
          </cell>
          <cell r="Y108">
            <v>1.038</v>
          </cell>
          <cell r="Z108">
            <v>0.46650000000000003</v>
          </cell>
          <cell r="AA108">
            <v>0.95889999999999997</v>
          </cell>
          <cell r="AB108">
            <v>0.46645769387703823</v>
          </cell>
          <cell r="AC108">
            <v>0.49047162329837557</v>
          </cell>
          <cell r="AD108">
            <v>0.51237945405876495</v>
          </cell>
          <cell r="AE108">
            <v>0.52849590625857834</v>
          </cell>
        </row>
        <row r="109">
          <cell r="H109">
            <v>0.31422600000000006</v>
          </cell>
          <cell r="I109">
            <v>1.1833</v>
          </cell>
          <cell r="J109">
            <v>0.63009999999999999</v>
          </cell>
          <cell r="K109">
            <v>0.48930000000000001</v>
          </cell>
          <cell r="L109">
            <v>0.41649999999999998</v>
          </cell>
          <cell r="M109">
            <v>0.63577960000000011</v>
          </cell>
          <cell r="N109">
            <v>1.2715999999999998</v>
          </cell>
          <cell r="O109">
            <v>0.86711930000000004</v>
          </cell>
          <cell r="P109">
            <v>0.59694180000000008</v>
          </cell>
          <cell r="Q109">
            <v>1.1637</v>
          </cell>
          <cell r="R109">
            <v>1.0784</v>
          </cell>
          <cell r="S109">
            <v>1.5941737999999999</v>
          </cell>
          <cell r="T109">
            <v>1.6368920999999999</v>
          </cell>
          <cell r="U109">
            <v>2.0612388999999998</v>
          </cell>
          <cell r="V109">
            <v>1.3971999999999998</v>
          </cell>
          <cell r="W109">
            <v>1.0427</v>
          </cell>
          <cell r="X109">
            <v>0.80215000000000003</v>
          </cell>
          <cell r="Y109">
            <v>0.2843</v>
          </cell>
          <cell r="Z109">
            <v>0.34749999999999998</v>
          </cell>
          <cell r="AA109">
            <v>0.2964</v>
          </cell>
          <cell r="AB109">
            <v>0.53927991626881955</v>
          </cell>
          <cell r="AC109">
            <v>0.4102555079683779</v>
          </cell>
          <cell r="AD109">
            <v>0.42249327104785911</v>
          </cell>
          <cell r="AE109">
            <v>0.42234898958167211</v>
          </cell>
        </row>
        <row r="131">
          <cell r="H131">
            <v>2.7637531750820971E-2</v>
          </cell>
          <cell r="I131">
            <v>6.7805425246072637E-2</v>
          </cell>
          <cell r="J131">
            <v>4.9110933933817151E-2</v>
          </cell>
          <cell r="K131">
            <v>3.8348970016221416E-2</v>
          </cell>
          <cell r="L131">
            <v>6.6037027419237657E-2</v>
          </cell>
          <cell r="M131">
            <v>2.9153301316679522E-2</v>
          </cell>
          <cell r="N131">
            <v>7.9577902207574089E-2</v>
          </cell>
          <cell r="O131">
            <v>0.19129011921134953</v>
          </cell>
          <cell r="P131">
            <v>0.14137077484240779</v>
          </cell>
          <cell r="Q131">
            <v>0.21059091834994842</v>
          </cell>
          <cell r="R131">
            <v>0.10413336917448265</v>
          </cell>
          <cell r="S131">
            <v>0.21539085530850052</v>
          </cell>
          <cell r="T131">
            <v>0.19139117051574009</v>
          </cell>
          <cell r="U131">
            <v>0.25454823575984653</v>
          </cell>
          <cell r="V131">
            <v>0.21195511095922112</v>
          </cell>
          <cell r="W131">
            <v>0.19125980382003235</v>
          </cell>
          <cell r="X131">
            <v>0.26220792463265175</v>
          </cell>
          <cell r="Y131">
            <v>0.21725019930928702</v>
          </cell>
          <cell r="Z131">
            <v>2.7993000000000001E-2</v>
          </cell>
          <cell r="AA131">
            <v>4.1474999999999998E-2</v>
          </cell>
          <cell r="AB131">
            <v>4.0846333382852616E-2</v>
          </cell>
          <cell r="AC131">
            <v>5.0886648139373152E-2</v>
          </cell>
          <cell r="AD131">
            <v>5.2535476840249826E-2</v>
          </cell>
          <cell r="AE131">
            <v>5.8530607733513491E-2</v>
          </cell>
        </row>
        <row r="132">
          <cell r="H132">
            <v>1.245184060327729E-2</v>
          </cell>
          <cell r="I132">
            <v>3.0549122650087968E-2</v>
          </cell>
          <cell r="J132">
            <v>2.2126488238364762E-2</v>
          </cell>
          <cell r="K132">
            <v>1.7277782482426805E-2</v>
          </cell>
          <cell r="L132">
            <v>2.9752386962492529E-2</v>
          </cell>
          <cell r="M132">
            <v>1.3134756906930521E-2</v>
          </cell>
          <cell r="N132">
            <v>3.585310594179475E-2</v>
          </cell>
          <cell r="O132">
            <v>8.6184037521038065E-2</v>
          </cell>
          <cell r="P132">
            <v>6.3693327254058227E-2</v>
          </cell>
          <cell r="Q132">
            <v>9.4879838454222556E-2</v>
          </cell>
          <cell r="R132">
            <v>4.6916350060977136E-2</v>
          </cell>
          <cell r="S132">
            <v>9.7042406749124469E-2</v>
          </cell>
          <cell r="T132">
            <v>8.6229565274614936E-2</v>
          </cell>
          <cell r="U132">
            <v>0.11468441126016633</v>
          </cell>
          <cell r="V132">
            <v>9.5494463127510462E-2</v>
          </cell>
          <cell r="W132">
            <v>8.6170379194964994E-2</v>
          </cell>
          <cell r="X132">
            <v>0.11813541498129401</v>
          </cell>
          <cell r="Y132">
            <v>9.78801174149391E-2</v>
          </cell>
          <cell r="Z132">
            <v>8.2645999999999997E-2</v>
          </cell>
          <cell r="AA132">
            <v>0.12245</v>
          </cell>
          <cell r="AB132">
            <v>0.12059393665413629</v>
          </cell>
          <cell r="AC132">
            <v>0.15023677069719693</v>
          </cell>
          <cell r="AD132">
            <v>0.15510474114740425</v>
          </cell>
          <cell r="AE132">
            <v>0.17280465140370652</v>
          </cell>
        </row>
        <row r="133">
          <cell r="H133">
            <v>1.461062764590175E-2</v>
          </cell>
          <cell r="I133">
            <v>3.5845452103839388E-2</v>
          </cell>
          <cell r="J133">
            <v>2.5962577827818099E-2</v>
          </cell>
          <cell r="K133">
            <v>2.0273247501351788E-2</v>
          </cell>
          <cell r="L133">
            <v>3.4910585618269804E-2</v>
          </cell>
          <cell r="M133">
            <v>1.5411941776389961E-2</v>
          </cell>
          <cell r="N133">
            <v>4.2068991850631177E-2</v>
          </cell>
          <cell r="O133">
            <v>0.10112584326761248</v>
          </cell>
          <cell r="P133">
            <v>7.4735897903533979E-2</v>
          </cell>
          <cell r="Q133">
            <v>0.11132924319582904</v>
          </cell>
          <cell r="R133">
            <v>5.5050280764540223E-2</v>
          </cell>
          <cell r="S133">
            <v>0.11386673794237505</v>
          </cell>
          <cell r="T133">
            <v>0.10117926420964501</v>
          </cell>
          <cell r="U133">
            <v>0.13456735297998723</v>
          </cell>
          <cell r="V133">
            <v>0.11205042591326843</v>
          </cell>
          <cell r="W133">
            <v>0.10110981698500271</v>
          </cell>
          <cell r="X133">
            <v>0.13861666038605433</v>
          </cell>
          <cell r="Y133">
            <v>0.11484968327577393</v>
          </cell>
          <cell r="Z133">
            <v>2.2661000000000001E-2</v>
          </cell>
          <cell r="AA133">
            <v>3.3575000000000001E-2</v>
          </cell>
          <cell r="AB133">
            <v>3.3066079405166406E-2</v>
          </cell>
          <cell r="AC133">
            <v>4.1193953255683029E-2</v>
          </cell>
          <cell r="AD133">
            <v>4.2528719346868915E-2</v>
          </cell>
          <cell r="AE133">
            <v>4.7381920546177597E-2</v>
          </cell>
        </row>
        <row r="134">
          <cell r="H134">
            <v>4.7323598598832305E-2</v>
          </cell>
          <cell r="I134">
            <v>6.3539377139690933E-2</v>
          </cell>
          <cell r="J134">
            <v>7.4493301011168897E-2</v>
          </cell>
          <cell r="K134">
            <v>5.6242276796304551E-2</v>
          </cell>
          <cell r="L134">
            <v>4.7356692024425905E-2</v>
          </cell>
          <cell r="M134">
            <v>0.13958806915375851</v>
          </cell>
          <cell r="N134">
            <v>9.9958692005435654E-2</v>
          </cell>
          <cell r="O134">
            <v>0.13430966777158107</v>
          </cell>
          <cell r="P134">
            <v>6.0114207590754469E-2</v>
          </cell>
          <cell r="Q134">
            <v>5.8310615895903861E-2</v>
          </cell>
          <cell r="R134">
            <v>7.3368124540986873E-2</v>
          </cell>
          <cell r="S134">
            <v>0.10579968162270412</v>
          </cell>
          <cell r="T134">
            <v>0.13090104493544141</v>
          </cell>
          <cell r="U134">
            <v>0.18562102415444087</v>
          </cell>
          <cell r="V134">
            <v>6.9612020736114513E-2</v>
          </cell>
          <cell r="W134">
            <v>8.6866670950193486E-2</v>
          </cell>
          <cell r="X134">
            <v>0.15042390425477303</v>
          </cell>
          <cell r="Y134">
            <v>6.9917599237908579E-2</v>
          </cell>
          <cell r="Z134">
            <v>6.0696E-2</v>
          </cell>
          <cell r="AA134">
            <v>0.20314799999999997</v>
          </cell>
          <cell r="AB134">
            <v>0.13470040401937183</v>
          </cell>
          <cell r="AC134">
            <v>0.11643600922484103</v>
          </cell>
          <cell r="AD134">
            <v>0.11439186666203939</v>
          </cell>
          <cell r="AE134">
            <v>0.11940706859733403</v>
          </cell>
        </row>
        <row r="135">
          <cell r="H135">
            <v>8.7405897783390932E-2</v>
          </cell>
          <cell r="I135">
            <v>0.11735617045042701</v>
          </cell>
          <cell r="J135">
            <v>0.13758788525203705</v>
          </cell>
          <cell r="K135">
            <v>0.10387854775026077</v>
          </cell>
          <cell r="L135">
            <v>8.746702078883388E-2</v>
          </cell>
          <cell r="M135">
            <v>0.25781683695828184</v>
          </cell>
          <cell r="N135">
            <v>0.18462203794037227</v>
          </cell>
          <cell r="O135">
            <v>0.24806771759013438</v>
          </cell>
          <cell r="P135">
            <v>0.11102993938708366</v>
          </cell>
          <cell r="Q135">
            <v>0.10769873559044393</v>
          </cell>
          <cell r="R135">
            <v>0.1355097030669774</v>
          </cell>
          <cell r="S135">
            <v>0.19541024840104954</v>
          </cell>
          <cell r="T135">
            <v>0.24177204802951249</v>
          </cell>
          <cell r="U135">
            <v>0.34283893752939848</v>
          </cell>
          <cell r="V135">
            <v>0.12857224194920477</v>
          </cell>
          <cell r="W135">
            <v>0.16044129327991158</v>
          </cell>
          <cell r="X135">
            <v>0.27783044376924665</v>
          </cell>
          <cell r="Y135">
            <v>0.12913664034838468</v>
          </cell>
          <cell r="Z135">
            <v>3.0348E-2</v>
          </cell>
          <cell r="AA135">
            <v>0.10157399999999998</v>
          </cell>
          <cell r="AB135">
            <v>6.7350202009685917E-2</v>
          </cell>
          <cell r="AC135">
            <v>5.8218004612420514E-2</v>
          </cell>
          <cell r="AD135">
            <v>5.7195933331019695E-2</v>
          </cell>
          <cell r="AE135">
            <v>5.9703534298667017E-2</v>
          </cell>
        </row>
        <row r="136">
          <cell r="H136">
            <v>2.1851474445847733E-2</v>
          </cell>
          <cell r="I136">
            <v>2.9339042612606753E-2</v>
          </cell>
          <cell r="J136">
            <v>3.4396971313009263E-2</v>
          </cell>
          <cell r="K136">
            <v>2.5969636937565193E-2</v>
          </cell>
          <cell r="L136">
            <v>2.186675519720847E-2</v>
          </cell>
          <cell r="M136">
            <v>6.4454209239570459E-2</v>
          </cell>
          <cell r="N136">
            <v>4.6155509485093067E-2</v>
          </cell>
          <cell r="O136">
            <v>6.2016929397533595E-2</v>
          </cell>
          <cell r="P136">
            <v>2.7757484846770916E-2</v>
          </cell>
          <cell r="Q136">
            <v>2.6924683897610983E-2</v>
          </cell>
          <cell r="R136">
            <v>3.3877425766744351E-2</v>
          </cell>
          <cell r="S136">
            <v>4.8852562100262384E-2</v>
          </cell>
          <cell r="T136">
            <v>6.0443012007378123E-2</v>
          </cell>
          <cell r="U136">
            <v>8.570973438234962E-2</v>
          </cell>
          <cell r="V136">
            <v>3.2143060487301194E-2</v>
          </cell>
          <cell r="W136">
            <v>4.0110323319977895E-2</v>
          </cell>
          <cell r="X136">
            <v>6.9457610942311662E-2</v>
          </cell>
          <cell r="Y136">
            <v>3.228416008709617E-2</v>
          </cell>
          <cell r="Z136">
            <v>0.18546000000000001</v>
          </cell>
          <cell r="AA136">
            <v>0.62073</v>
          </cell>
          <cell r="AB136">
            <v>0.41158456783696956</v>
          </cell>
          <cell r="AC136">
            <v>0.35577669485368096</v>
          </cell>
          <cell r="AD136">
            <v>0.34953070368956485</v>
          </cell>
          <cell r="AE136">
            <v>0.36485493182518736</v>
          </cell>
        </row>
        <row r="137">
          <cell r="H137">
            <v>4.2189029171929009E-2</v>
          </cell>
          <cell r="I137">
            <v>5.6645409797275316E-2</v>
          </cell>
          <cell r="J137">
            <v>6.6410842423784755E-2</v>
          </cell>
          <cell r="K137">
            <v>5.0140038515869477E-2</v>
          </cell>
          <cell r="L137">
            <v>4.2218531989531759E-2</v>
          </cell>
          <cell r="M137">
            <v>0.12444288464838921</v>
          </cell>
          <cell r="N137">
            <v>8.9113260569099004E-2</v>
          </cell>
          <cell r="O137">
            <v>0.11973718524075097</v>
          </cell>
          <cell r="P137">
            <v>5.3591868175390939E-2</v>
          </cell>
          <cell r="Q137">
            <v>5.1983964616041198E-2</v>
          </cell>
          <cell r="R137">
            <v>6.5407746625291335E-2</v>
          </cell>
          <cell r="S137">
            <v>9.432050787598395E-2</v>
          </cell>
          <cell r="T137">
            <v>0.11669839502766798</v>
          </cell>
          <cell r="U137">
            <v>0.16548130393381105</v>
          </cell>
          <cell r="V137">
            <v>6.2059176827379478E-2</v>
          </cell>
          <cell r="W137">
            <v>7.7441712449917086E-2</v>
          </cell>
          <cell r="X137">
            <v>0.13410304103366871</v>
          </cell>
          <cell r="Y137">
            <v>6.2331600326610628E-2</v>
          </cell>
          <cell r="Z137">
            <v>6.0696E-2</v>
          </cell>
          <cell r="AA137">
            <v>0.20314799999999997</v>
          </cell>
          <cell r="AB137">
            <v>0.13470040401937183</v>
          </cell>
          <cell r="AC137">
            <v>0.11643600922484103</v>
          </cell>
          <cell r="AD137">
            <v>0.11439186666203939</v>
          </cell>
          <cell r="AE137">
            <v>0.11940706859733403</v>
          </cell>
        </row>
        <row r="138">
          <cell r="H138">
            <v>8.3687999999999999E-2</v>
          </cell>
          <cell r="I138">
            <v>7.8474000000000002E-2</v>
          </cell>
          <cell r="J138">
            <v>0.23700600000000002</v>
          </cell>
          <cell r="K138">
            <v>0.23515800000000001</v>
          </cell>
          <cell r="L138">
            <v>0.27984000000000003</v>
          </cell>
          <cell r="M138">
            <v>0.176814</v>
          </cell>
          <cell r="N138">
            <v>8.4347999999999992E-2</v>
          </cell>
          <cell r="O138">
            <v>0.40854000000000001</v>
          </cell>
          <cell r="P138">
            <v>0.225324</v>
          </cell>
          <cell r="Q138">
            <v>5.4120000000000001E-2</v>
          </cell>
          <cell r="R138">
            <v>0.40906799999999999</v>
          </cell>
          <cell r="S138">
            <v>0.27079799999999998</v>
          </cell>
          <cell r="T138">
            <v>0.207372</v>
          </cell>
          <cell r="U138">
            <v>0.19912200000000002</v>
          </cell>
          <cell r="V138">
            <v>0.15206400000000003</v>
          </cell>
          <cell r="W138">
            <v>0.27260000000000001</v>
          </cell>
          <cell r="X138">
            <v>0.189</v>
          </cell>
          <cell r="Y138">
            <v>0.1072</v>
          </cell>
          <cell r="Z138">
            <v>0.44969999999999999</v>
          </cell>
          <cell r="AA138">
            <v>0.112</v>
          </cell>
          <cell r="AB138">
            <v>0.4401652614761517</v>
          </cell>
          <cell r="AC138">
            <v>0.21984801303614007</v>
          </cell>
          <cell r="AD138">
            <v>0.15364627260124672</v>
          </cell>
          <cell r="AE138">
            <v>0.15855763042086438</v>
          </cell>
        </row>
        <row r="139">
          <cell r="H139">
            <v>4.3112000000000004E-2</v>
          </cell>
          <cell r="I139">
            <v>4.0426000000000004E-2</v>
          </cell>
          <cell r="J139">
            <v>0.12209400000000002</v>
          </cell>
          <cell r="K139">
            <v>0.12114200000000001</v>
          </cell>
          <cell r="L139">
            <v>0.14416000000000001</v>
          </cell>
          <cell r="M139">
            <v>9.1086E-2</v>
          </cell>
          <cell r="N139">
            <v>4.3452000000000005E-2</v>
          </cell>
          <cell r="O139">
            <v>0.21046000000000001</v>
          </cell>
          <cell r="P139">
            <v>0.11607600000000001</v>
          </cell>
          <cell r="Q139">
            <v>2.7880000000000002E-2</v>
          </cell>
          <cell r="R139">
            <v>0.210732</v>
          </cell>
          <cell r="S139">
            <v>0.13950200000000001</v>
          </cell>
          <cell r="T139">
            <v>0.10682800000000001</v>
          </cell>
          <cell r="U139">
            <v>0.102578</v>
          </cell>
          <cell r="V139">
            <v>7.8336000000000017E-2</v>
          </cell>
          <cell r="W139">
            <v>0.14680000000000001</v>
          </cell>
          <cell r="X139">
            <v>0.24359999999999998</v>
          </cell>
          <cell r="Y139">
            <v>0.1031</v>
          </cell>
          <cell r="Z139">
            <v>0.1915</v>
          </cell>
          <cell r="AA139">
            <v>0.29419999999999996</v>
          </cell>
          <cell r="AB139">
            <v>0.35744725178671727</v>
          </cell>
          <cell r="AC139">
            <v>0.22417923952580085</v>
          </cell>
          <cell r="AD139">
            <v>0.17356368464901417</v>
          </cell>
          <cell r="AE139">
            <v>0.17526384939785247</v>
          </cell>
        </row>
        <row r="140">
          <cell r="H140">
            <v>0.1671</v>
          </cell>
          <cell r="I140">
            <v>7.1599999999999997E-2</v>
          </cell>
          <cell r="J140">
            <v>0.26939999999999997</v>
          </cell>
          <cell r="K140">
            <v>4.3299999999999998E-2</v>
          </cell>
          <cell r="L140">
            <v>4.5899999999999996E-2</v>
          </cell>
          <cell r="M140">
            <v>9.9299999999999999E-2</v>
          </cell>
          <cell r="N140">
            <v>0.22140000000000001</v>
          </cell>
          <cell r="O140">
            <v>0.3105</v>
          </cell>
          <cell r="P140">
            <v>0.33019999999999999</v>
          </cell>
          <cell r="Q140">
            <v>0.38160000000000005</v>
          </cell>
          <cell r="R140">
            <v>0.1825</v>
          </cell>
          <cell r="S140">
            <v>0.3387</v>
          </cell>
          <cell r="T140">
            <v>0.48710000000000003</v>
          </cell>
          <cell r="U140">
            <v>0.3115</v>
          </cell>
          <cell r="V140">
            <v>0.2233</v>
          </cell>
          <cell r="W140">
            <v>0.1108</v>
          </cell>
          <cell r="X140">
            <v>0.22839999999999999</v>
          </cell>
          <cell r="Y140">
            <v>0.25869999999999999</v>
          </cell>
          <cell r="Z140">
            <v>7.1999999999999995E-2</v>
          </cell>
          <cell r="AA140">
            <v>0.26689999999999997</v>
          </cell>
          <cell r="AB140">
            <v>0.13994319</v>
          </cell>
          <cell r="AC140">
            <v>0.13183231000000001</v>
          </cell>
          <cell r="AD140">
            <v>0.11379148000000006</v>
          </cell>
          <cell r="AE140">
            <v>0.11830017999999998</v>
          </cell>
        </row>
        <row r="141">
          <cell r="H141">
            <v>6.2100589823534016E-2</v>
          </cell>
          <cell r="I141">
            <v>8.3379812909919804E-2</v>
          </cell>
          <cell r="J141">
            <v>9.7754145239702855E-2</v>
          </cell>
          <cell r="K141">
            <v>7.3804162521046185E-2</v>
          </cell>
          <cell r="L141">
            <v>6.2144016809424593E-2</v>
          </cell>
          <cell r="M141">
            <v>0.18317502648648007</v>
          </cell>
          <cell r="N141">
            <v>0.13117121088250666</v>
          </cell>
          <cell r="O141">
            <v>0.17624842223693205</v>
          </cell>
          <cell r="P141">
            <v>7.8885119870244436E-2</v>
          </cell>
          <cell r="Q141">
            <v>7.6518349139207631E-2</v>
          </cell>
          <cell r="R141">
            <v>9.6277627719423012E-2</v>
          </cell>
          <cell r="S141">
            <v>0.13883607389219457</v>
          </cell>
          <cell r="T141">
            <v>0.17177544269020198</v>
          </cell>
          <cell r="U141">
            <v>0.24358196386028133</v>
          </cell>
          <cell r="V141">
            <v>9.1348664820841821E-2</v>
          </cell>
          <cell r="W141">
            <v>3.3659473654209432E-2</v>
          </cell>
          <cell r="X141">
            <v>5.7814844658594489E-2</v>
          </cell>
          <cell r="Y141">
            <v>2.6639964131567617E-2</v>
          </cell>
          <cell r="Z141">
            <v>4.7600000000000003E-2</v>
          </cell>
          <cell r="AA141">
            <v>2.12E-2</v>
          </cell>
          <cell r="AB141">
            <v>3.7391982114600208E-2</v>
          </cell>
          <cell r="AC141">
            <v>3.8556202084216395E-2</v>
          </cell>
          <cell r="AD141">
            <v>3.9254739655337212E-2</v>
          </cell>
          <cell r="AE141">
            <v>3.9612886681477867E-2</v>
          </cell>
        </row>
        <row r="142">
          <cell r="H142">
            <v>2.5129410176465982E-2</v>
          </cell>
          <cell r="I142">
            <v>3.3740187090080198E-2</v>
          </cell>
          <cell r="J142">
            <v>3.9556854760297154E-2</v>
          </cell>
          <cell r="K142">
            <v>2.9865337478953799E-2</v>
          </cell>
          <cell r="L142">
            <v>2.5146983190575397E-2</v>
          </cell>
          <cell r="M142">
            <v>7.4122973513519944E-2</v>
          </cell>
          <cell r="N142">
            <v>5.3079289117493357E-2</v>
          </cell>
          <cell r="O142">
            <v>7.1320077763067966E-2</v>
          </cell>
          <cell r="P142">
            <v>3.1921380129755567E-2</v>
          </cell>
          <cell r="Q142">
            <v>3.0963650860792346E-2</v>
          </cell>
          <cell r="R142">
            <v>3.8959372280576977E-2</v>
          </cell>
          <cell r="S142">
            <v>5.6180926107805416E-2</v>
          </cell>
          <cell r="T142">
            <v>6.9510057309798035E-2</v>
          </cell>
          <cell r="U142">
            <v>9.8567036139718664E-2</v>
          </cell>
          <cell r="V142">
            <v>3.6964835179158176E-2</v>
          </cell>
          <cell r="W142">
            <v>1.3620526345790574E-2</v>
          </cell>
          <cell r="X142">
            <v>2.3395155341405505E-2</v>
          </cell>
          <cell r="Y142">
            <v>1.0780035868432387E-2</v>
          </cell>
          <cell r="Z142">
            <v>4.7600000000000003E-2</v>
          </cell>
          <cell r="AA142">
            <v>2.12E-2</v>
          </cell>
          <cell r="AB142">
            <v>3.7391982114600208E-2</v>
          </cell>
          <cell r="AC142">
            <v>3.8556202084216395E-2</v>
          </cell>
          <cell r="AD142">
            <v>3.9254739655337212E-2</v>
          </cell>
          <cell r="AE142">
            <v>3.9612886681477867E-2</v>
          </cell>
        </row>
        <row r="143">
          <cell r="H143">
            <v>1.8200000000000001E-2</v>
          </cell>
          <cell r="I143">
            <v>2.7699999999999999E-2</v>
          </cell>
          <cell r="J143">
            <v>1.0199999999999999E-2</v>
          </cell>
          <cell r="K143">
            <v>7.4000000000000003E-3</v>
          </cell>
          <cell r="L143">
            <v>3.2199999999999999E-2</v>
          </cell>
          <cell r="M143">
            <v>1.3099999999999999E-2</v>
          </cell>
          <cell r="N143">
            <v>7.7200000000000005E-2</v>
          </cell>
          <cell r="O143">
            <v>4.1299999999999996E-2</v>
          </cell>
          <cell r="P143">
            <v>4.8000000000000001E-2</v>
          </cell>
          <cell r="Q143">
            <v>4.5499999999999999E-2</v>
          </cell>
          <cell r="R143">
            <v>5.1299999999999998E-2</v>
          </cell>
          <cell r="S143">
            <v>5.0299999999999997E-2</v>
          </cell>
          <cell r="T143">
            <v>2.52E-2</v>
          </cell>
          <cell r="U143">
            <v>3.0499999999999999E-2</v>
          </cell>
          <cell r="V143">
            <v>2.5999999999999999E-2</v>
          </cell>
          <cell r="W143">
            <v>6.9501599999999997E-2</v>
          </cell>
          <cell r="X143">
            <v>0.11937869999999999</v>
          </cell>
          <cell r="Y143">
            <v>5.5007399999999998E-2</v>
          </cell>
          <cell r="Z143">
            <v>0.3372</v>
          </cell>
          <cell r="AA143">
            <v>1.1285999999999998</v>
          </cell>
          <cell r="AB143">
            <v>0.74833557788539917</v>
          </cell>
          <cell r="AC143">
            <v>0.64686671791578354</v>
          </cell>
          <cell r="AD143">
            <v>0.63551037034466329</v>
          </cell>
          <cell r="AE143">
            <v>0.66337260331852244</v>
          </cell>
        </row>
        <row r="144">
          <cell r="H144">
            <v>1.6199999999999999E-2</v>
          </cell>
          <cell r="I144">
            <v>7.2800000000000004E-2</v>
          </cell>
          <cell r="J144">
            <v>0.23139999999999999</v>
          </cell>
          <cell r="K144">
            <v>6.2899999999999998E-2</v>
          </cell>
          <cell r="L144">
            <v>8.0299999999999996E-2</v>
          </cell>
          <cell r="M144">
            <v>0.1036</v>
          </cell>
          <cell r="N144">
            <v>0.13750000000000001</v>
          </cell>
          <cell r="O144">
            <v>0.12790000000000001</v>
          </cell>
          <cell r="P144">
            <v>0.24299999999999999</v>
          </cell>
          <cell r="Q144">
            <v>0.21619999999999998</v>
          </cell>
          <cell r="R144">
            <v>0.15919999999999998</v>
          </cell>
          <cell r="S144">
            <v>0.2424</v>
          </cell>
          <cell r="T144">
            <v>0.153</v>
          </cell>
          <cell r="U144">
            <v>0.15630000000000002</v>
          </cell>
          <cell r="V144">
            <v>0.32839999999999997</v>
          </cell>
          <cell r="W144">
            <v>0.2853</v>
          </cell>
          <cell r="X144">
            <v>8.43E-2</v>
          </cell>
          <cell r="Y144">
            <v>0.13190000000000002</v>
          </cell>
          <cell r="Z144">
            <v>0.14849999999999999</v>
          </cell>
          <cell r="AA144">
            <v>0.33030000000000004</v>
          </cell>
          <cell r="AB144">
            <v>0.26767490999999999</v>
          </cell>
          <cell r="AC144">
            <v>0.22668945999999998</v>
          </cell>
          <cell r="AD144">
            <v>0.21574797999999998</v>
          </cell>
          <cell r="AE144">
            <v>0.248752</v>
          </cell>
        </row>
        <row r="145">
          <cell r="H145">
            <v>5.5926000000000003E-2</v>
          </cell>
          <cell r="I145">
            <v>7.7945400000000012E-2</v>
          </cell>
          <cell r="J145">
            <v>3.9616200000000004E-2</v>
          </cell>
          <cell r="K145">
            <v>3.7861200000000005E-2</v>
          </cell>
          <cell r="L145">
            <v>4.8601800000000001E-2</v>
          </cell>
          <cell r="M145">
            <v>4.8461400000000002E-2</v>
          </cell>
          <cell r="N145">
            <v>0.1010412</v>
          </cell>
          <cell r="O145">
            <v>5.0918399999999996E-2</v>
          </cell>
          <cell r="P145">
            <v>5.8921200000000007E-2</v>
          </cell>
          <cell r="Q145">
            <v>8.45442E-2</v>
          </cell>
          <cell r="R145">
            <v>9.3974400000000013E-2</v>
          </cell>
          <cell r="S145">
            <v>5.9202000000000005E-2</v>
          </cell>
          <cell r="T145">
            <v>7.4201400000000001E-2</v>
          </cell>
          <cell r="U145">
            <v>0.1071486</v>
          </cell>
          <cell r="V145">
            <v>0.11398140000000001</v>
          </cell>
          <cell r="W145">
            <v>9.4021200000000013E-2</v>
          </cell>
          <cell r="X145">
            <v>5.4498600000000001E-2</v>
          </cell>
          <cell r="Y145">
            <v>5.9061600000000006E-2</v>
          </cell>
          <cell r="Z145">
            <v>0.3604</v>
          </cell>
          <cell r="AA145">
            <v>0.33529999999999999</v>
          </cell>
          <cell r="AB145">
            <v>0.18800158000000008</v>
          </cell>
          <cell r="AC145">
            <v>0.1901061300000001</v>
          </cell>
          <cell r="AD145">
            <v>0.24725164000000002</v>
          </cell>
          <cell r="AE145">
            <v>0.28489977000000005</v>
          </cell>
        </row>
        <row r="146">
          <cell r="H146">
            <v>0.18307400000000001</v>
          </cell>
          <cell r="I146">
            <v>0.25515460000000001</v>
          </cell>
          <cell r="J146">
            <v>0.12968380000000002</v>
          </cell>
          <cell r="K146">
            <v>0.12393880000000002</v>
          </cell>
          <cell r="L146">
            <v>0.1590982</v>
          </cell>
          <cell r="M146">
            <v>0.15863859999999999</v>
          </cell>
          <cell r="N146">
            <v>0.33075880000000002</v>
          </cell>
          <cell r="O146">
            <v>0.16668160000000001</v>
          </cell>
          <cell r="P146">
            <v>0.19287880000000002</v>
          </cell>
          <cell r="Q146">
            <v>0.2767558</v>
          </cell>
          <cell r="R146">
            <v>0.3076256</v>
          </cell>
          <cell r="S146">
            <v>0.193798</v>
          </cell>
          <cell r="T146">
            <v>0.24289860000000002</v>
          </cell>
          <cell r="U146">
            <v>0.35075139999999999</v>
          </cell>
          <cell r="V146">
            <v>0.37311860000000002</v>
          </cell>
          <cell r="W146">
            <v>0.30777879999999996</v>
          </cell>
          <cell r="X146">
            <v>0.17840139999999999</v>
          </cell>
          <cell r="Y146">
            <v>0.19333839999999999</v>
          </cell>
          <cell r="Z146">
            <v>0.3604</v>
          </cell>
          <cell r="AA146">
            <v>0.33529999999999999</v>
          </cell>
          <cell r="AB146">
            <v>0.18800158000000008</v>
          </cell>
          <cell r="AC146">
            <v>0.1901061300000001</v>
          </cell>
          <cell r="AD146">
            <v>0.24725164000000002</v>
          </cell>
          <cell r="AE146">
            <v>0.28489977000000005</v>
          </cell>
        </row>
        <row r="147">
          <cell r="H147">
            <v>0.13889000000000001</v>
          </cell>
          <cell r="I147">
            <v>8.6394000000000026E-2</v>
          </cell>
          <cell r="J147">
            <v>8.9862000000000011E-2</v>
          </cell>
          <cell r="K147">
            <v>0.10047000000000002</v>
          </cell>
          <cell r="L147">
            <v>9.1595999999999997E-2</v>
          </cell>
          <cell r="M147">
            <v>5.3102692600000008E-2</v>
          </cell>
          <cell r="N147">
            <v>7.5077616799999997E-2</v>
          </cell>
          <cell r="O147">
            <v>0.14943000000000001</v>
          </cell>
          <cell r="P147">
            <v>0.19896800000000001</v>
          </cell>
          <cell r="Q147">
            <v>0.17751400000000001</v>
          </cell>
          <cell r="R147">
            <v>0.29961847200000008</v>
          </cell>
          <cell r="S147">
            <v>0.32215000000000005</v>
          </cell>
          <cell r="T147">
            <v>0.23167600000000005</v>
          </cell>
          <cell r="U147">
            <v>0.13569400000000001</v>
          </cell>
          <cell r="V147">
            <v>0.19543199999999999</v>
          </cell>
          <cell r="W147">
            <v>7.3900000000000007E-2</v>
          </cell>
          <cell r="X147">
            <v>0.19789999999999999</v>
          </cell>
          <cell r="Y147">
            <v>0.19040000000000001</v>
          </cell>
          <cell r="Z147">
            <v>0.27250000000000002</v>
          </cell>
          <cell r="AA147">
            <v>0.30969999999999998</v>
          </cell>
          <cell r="AB147">
            <v>0.14437921709174992</v>
          </cell>
          <cell r="AC147">
            <v>0.12593667786924057</v>
          </cell>
          <cell r="AD147">
            <v>0.11274781687252457</v>
          </cell>
          <cell r="AE147">
            <v>0.11357810546743598</v>
          </cell>
        </row>
        <row r="148">
          <cell r="H148">
            <v>0.26961000000000002</v>
          </cell>
          <cell r="I148">
            <v>0.16770600000000002</v>
          </cell>
          <cell r="J148">
            <v>0.17443800000000001</v>
          </cell>
          <cell r="K148">
            <v>0.19503000000000001</v>
          </cell>
          <cell r="L148">
            <v>0.17780399999999999</v>
          </cell>
          <cell r="M148">
            <v>0.10308169740000001</v>
          </cell>
          <cell r="N148">
            <v>0.14573890320000002</v>
          </cell>
          <cell r="O148">
            <v>0.29006999999999999</v>
          </cell>
          <cell r="P148">
            <v>0.38623200000000002</v>
          </cell>
          <cell r="Q148">
            <v>0.344586</v>
          </cell>
          <cell r="R148">
            <v>0.58161232800000007</v>
          </cell>
          <cell r="S148">
            <v>0.62535000000000007</v>
          </cell>
          <cell r="T148">
            <v>0.44972400000000012</v>
          </cell>
          <cell r="U148">
            <v>0.26340600000000003</v>
          </cell>
          <cell r="V148">
            <v>0.37936799999999998</v>
          </cell>
          <cell r="W148">
            <v>0.15509999999999999</v>
          </cell>
          <cell r="X148">
            <v>0.2155</v>
          </cell>
          <cell r="Y148">
            <v>0.21199999999999999</v>
          </cell>
          <cell r="Z148">
            <v>0.20980000000000001</v>
          </cell>
          <cell r="AA148">
            <v>0.19269999999999998</v>
          </cell>
          <cell r="AB148">
            <v>0.28119913349861531</v>
          </cell>
          <cell r="AC148">
            <v>0.25254892801661488</v>
          </cell>
          <cell r="AD148">
            <v>0.26806078039084402</v>
          </cell>
          <cell r="AE148">
            <v>0.28886737875496393</v>
          </cell>
        </row>
        <row r="168">
          <cell r="G168" t="str">
            <v>Western MT portion of state</v>
          </cell>
        </row>
        <row r="169">
          <cell r="H169">
            <v>5.8452515664333813</v>
          </cell>
          <cell r="I169">
            <v>2.3942560490388454</v>
          </cell>
          <cell r="J169">
            <v>3.2535508684892789</v>
          </cell>
          <cell r="K169">
            <v>3.8808061249763441</v>
          </cell>
          <cell r="L169">
            <v>2.6785158945721284</v>
          </cell>
          <cell r="M169">
            <v>2.1289433230787926</v>
          </cell>
          <cell r="N169">
            <v>1.9047034050448099</v>
          </cell>
          <cell r="O169">
            <v>2.9945048391710078</v>
          </cell>
          <cell r="P169">
            <v>3.7348996623363648</v>
          </cell>
          <cell r="Q169">
            <v>4.3096744291447084</v>
          </cell>
          <cell r="R169">
            <v>4.6932151602156393</v>
          </cell>
          <cell r="S169">
            <v>6.7040926655271003</v>
          </cell>
          <cell r="T169">
            <v>8.0155996509731651</v>
          </cell>
          <cell r="U169">
            <v>8.5121404979223296</v>
          </cell>
          <cell r="V169">
            <v>5.7106188925677364</v>
          </cell>
          <cell r="W169">
            <v>3.9531865469773946</v>
          </cell>
          <cell r="X169">
            <v>3.613957014984337</v>
          </cell>
          <cell r="Y169">
            <v>4.2577960031375479</v>
          </cell>
          <cell r="Z169">
            <v>2.9053730099999999</v>
          </cell>
          <cell r="AA169">
            <v>5.76397475</v>
          </cell>
          <cell r="AB169">
            <v>4.1477159651255757</v>
          </cell>
          <cell r="AC169">
            <v>4.3042855770003277</v>
          </cell>
          <cell r="AD169">
            <v>3.9757692712668407</v>
          </cell>
          <cell r="AE169">
            <v>3.9080659306945158</v>
          </cell>
        </row>
        <row r="170">
          <cell r="H170">
            <v>2.6335253613638385</v>
          </cell>
          <cell r="I170">
            <v>1.0787104635412517</v>
          </cell>
          <cell r="J170">
            <v>1.4658579924699486</v>
          </cell>
          <cell r="K170">
            <v>1.7484621896089618</v>
          </cell>
          <cell r="L170">
            <v>1.2067811725468609</v>
          </cell>
          <cell r="M170">
            <v>0.95917620833130801</v>
          </cell>
          <cell r="N170">
            <v>0.85814693620145599</v>
          </cell>
          <cell r="O170">
            <v>1.3491471408980753</v>
          </cell>
          <cell r="P170">
            <v>1.6827253491356049</v>
          </cell>
          <cell r="Q170">
            <v>1.9416849350932321</v>
          </cell>
          <cell r="R170">
            <v>2.1144857514330568</v>
          </cell>
          <cell r="S170">
            <v>3.0204684706789751</v>
          </cell>
          <cell r="T170">
            <v>3.6113561114457378</v>
          </cell>
          <cell r="U170">
            <v>3.8350681105841429</v>
          </cell>
          <cell r="V170">
            <v>2.5728678247182866</v>
          </cell>
          <cell r="W170">
            <v>1.7810725357744892</v>
          </cell>
          <cell r="X170">
            <v>1.628235730433635</v>
          </cell>
          <cell r="Y170">
            <v>1.9183115782676574</v>
          </cell>
          <cell r="Z170">
            <v>2.52049922</v>
          </cell>
          <cell r="AA170">
            <v>4.3866505</v>
          </cell>
          <cell r="AB170">
            <v>3.3467175863389964</v>
          </cell>
          <cell r="AC170">
            <v>3.4921085643107492</v>
          </cell>
          <cell r="AD170">
            <v>3.2325006595168051</v>
          </cell>
          <cell r="AE170">
            <v>3.2055077433563333</v>
          </cell>
        </row>
        <row r="171">
          <cell r="H171">
            <v>3.0901020722027819</v>
          </cell>
          <cell r="I171">
            <v>1.2657274874199036</v>
          </cell>
          <cell r="J171">
            <v>1.7199951390407733</v>
          </cell>
          <cell r="K171">
            <v>2.0515946854146958</v>
          </cell>
          <cell r="L171">
            <v>1.4160019328810107</v>
          </cell>
          <cell r="M171">
            <v>1.1254694685898994</v>
          </cell>
          <cell r="N171">
            <v>1.0069246587537342</v>
          </cell>
          <cell r="O171">
            <v>1.5830500199309174</v>
          </cell>
          <cell r="P171">
            <v>1.9744609885280306</v>
          </cell>
          <cell r="Q171">
            <v>2.2783166357620592</v>
          </cell>
          <cell r="R171">
            <v>2.4810760883513034</v>
          </cell>
          <cell r="S171">
            <v>3.5441298637939256</v>
          </cell>
          <cell r="T171">
            <v>4.2374602375810966</v>
          </cell>
          <cell r="U171">
            <v>4.4999573914935276</v>
          </cell>
          <cell r="V171">
            <v>3.0189282827139783</v>
          </cell>
          <cell r="W171">
            <v>2.0898587172481164</v>
          </cell>
          <cell r="X171">
            <v>1.9105244545820284</v>
          </cell>
          <cell r="Y171">
            <v>2.2508910185947957</v>
          </cell>
          <cell r="Z171">
            <v>0.65600877000000002</v>
          </cell>
          <cell r="AA171">
            <v>1.1345497499999999</v>
          </cell>
          <cell r="AB171">
            <v>0.87002001760199665</v>
          </cell>
          <cell r="AC171">
            <v>0.90846325570362163</v>
          </cell>
          <cell r="AD171">
            <v>0.8416976698075469</v>
          </cell>
          <cell r="AE171">
            <v>0.83495356000334453</v>
          </cell>
        </row>
        <row r="172">
          <cell r="H172">
            <v>1.9601639052244866</v>
          </cell>
          <cell r="I172">
            <v>1.8139548177464644</v>
          </cell>
          <cell r="J172">
            <v>1.5990745699068862</v>
          </cell>
          <cell r="K172">
            <v>1.2830229881440107</v>
          </cell>
          <cell r="L172">
            <v>0.979871173680254</v>
          </cell>
          <cell r="M172">
            <v>1.241660719000097</v>
          </cell>
          <cell r="N172">
            <v>1.8848305823635303</v>
          </cell>
          <cell r="O172">
            <v>2.4988567954738619</v>
          </cell>
          <cell r="P172">
            <v>2.288456066580165</v>
          </cell>
          <cell r="Q172">
            <v>1.2544054066975698</v>
          </cell>
          <cell r="R172">
            <v>1.5651299718837426</v>
          </cell>
          <cell r="S172">
            <v>2.1687149616138099</v>
          </cell>
          <cell r="T172">
            <v>2.726992850636329</v>
          </cell>
          <cell r="U172">
            <v>2.3639545922978495</v>
          </cell>
          <cell r="V172">
            <v>2.12134434059036</v>
          </cell>
          <cell r="W172">
            <v>1.7332075021200439</v>
          </cell>
          <cell r="X172">
            <v>1.6498023915828299</v>
          </cell>
          <cell r="Y172">
            <v>1.7728331175696301</v>
          </cell>
          <cell r="Z172">
            <v>3.0494837200000005</v>
          </cell>
          <cell r="AA172">
            <v>3.9300753599999996</v>
          </cell>
          <cell r="AB172">
            <v>3.2949268651724135</v>
          </cell>
          <cell r="AC172">
            <v>3.0804508752407767</v>
          </cell>
          <cell r="AD172">
            <v>2.9901146137661283</v>
          </cell>
          <cell r="AE172">
            <v>3.1209850609635708</v>
          </cell>
        </row>
        <row r="173">
          <cell r="H173">
            <v>3.620390059325949</v>
          </cell>
          <cell r="I173">
            <v>3.3503443118873304</v>
          </cell>
          <cell r="J173">
            <v>2.9534640759282804</v>
          </cell>
          <cell r="K173">
            <v>2.3697220726198811</v>
          </cell>
          <cell r="L173">
            <v>1.8098057244890269</v>
          </cell>
          <cell r="M173">
            <v>2.2933266509713843</v>
          </cell>
          <cell r="N173">
            <v>3.4812506677195292</v>
          </cell>
          <cell r="O173">
            <v>4.6153468482405211</v>
          </cell>
          <cell r="P173">
            <v>4.2267402091062101</v>
          </cell>
          <cell r="Q173">
            <v>2.3168658767096826</v>
          </cell>
          <cell r="R173">
            <v>2.8907689691960035</v>
          </cell>
          <cell r="S173">
            <v>4.0055803841765441</v>
          </cell>
          <cell r="T173">
            <v>5.0367103393662491</v>
          </cell>
          <cell r="U173">
            <v>4.366184727635269</v>
          </cell>
          <cell r="V173">
            <v>3.9180876367586932</v>
          </cell>
          <cell r="W173">
            <v>3.2012053658879802</v>
          </cell>
          <cell r="X173">
            <v>3.0471575169907066</v>
          </cell>
          <cell r="Y173">
            <v>3.2743932171110264</v>
          </cell>
          <cell r="Z173">
            <v>1.21717136</v>
          </cell>
          <cell r="AA173">
            <v>1.5786711799999997</v>
          </cell>
          <cell r="AB173">
            <v>1.3199722007364803</v>
          </cell>
          <cell r="AC173">
            <v>1.2300279538780112</v>
          </cell>
          <cell r="AD173">
            <v>1.196371930895225</v>
          </cell>
          <cell r="AE173">
            <v>1.248350009064233</v>
          </cell>
        </row>
        <row r="174">
          <cell r="H174">
            <v>0.90509751483148726</v>
          </cell>
          <cell r="I174">
            <v>0.8375860779718326</v>
          </cell>
          <cell r="J174">
            <v>0.7383660189820701</v>
          </cell>
          <cell r="K174">
            <v>0.59243051815497028</v>
          </cell>
          <cell r="L174">
            <v>0.45245143112225672</v>
          </cell>
          <cell r="M174">
            <v>0.57333166274284608</v>
          </cell>
          <cell r="N174">
            <v>0.87031266692988229</v>
          </cell>
          <cell r="O174">
            <v>1.1538367120601303</v>
          </cell>
          <cell r="P174">
            <v>1.0566850522765525</v>
          </cell>
          <cell r="Q174">
            <v>0.57921646917742065</v>
          </cell>
          <cell r="R174">
            <v>0.72269224229900086</v>
          </cell>
          <cell r="S174">
            <v>1.001395096044136</v>
          </cell>
          <cell r="T174">
            <v>1.2591775848415623</v>
          </cell>
          <cell r="U174">
            <v>1.0915461819088172</v>
          </cell>
          <cell r="V174">
            <v>0.9795219091896733</v>
          </cell>
          <cell r="W174">
            <v>0.80030134147199505</v>
          </cell>
          <cell r="X174">
            <v>0.76178937924767665</v>
          </cell>
          <cell r="Y174">
            <v>0.81859830427775659</v>
          </cell>
          <cell r="Z174">
            <v>4.4185782000000007</v>
          </cell>
          <cell r="AA174">
            <v>5.8084251000000009</v>
          </cell>
          <cell r="AB174">
            <v>4.8341193729503171</v>
          </cell>
          <cell r="AC174">
            <v>4.4973948910402894</v>
          </cell>
          <cell r="AD174">
            <v>4.3749492047650769</v>
          </cell>
          <cell r="AE174">
            <v>4.5648201170153557</v>
          </cell>
        </row>
        <row r="175">
          <cell r="H175">
            <v>1.7474878206180771</v>
          </cell>
          <cell r="I175">
            <v>1.6171422923943721</v>
          </cell>
          <cell r="J175">
            <v>1.4255763651827631</v>
          </cell>
          <cell r="K175">
            <v>1.1438161060811387</v>
          </cell>
          <cell r="L175">
            <v>0.87355600070846262</v>
          </cell>
          <cell r="M175">
            <v>1.1069416072856728</v>
          </cell>
          <cell r="N175">
            <v>1.6803280979870585</v>
          </cell>
          <cell r="O175">
            <v>2.2277329992254882</v>
          </cell>
          <cell r="P175">
            <v>2.0401605670370717</v>
          </cell>
          <cell r="Q175">
            <v>1.1183035074153274</v>
          </cell>
          <cell r="R175">
            <v>1.3953147266212531</v>
          </cell>
          <cell r="S175">
            <v>1.9334112681655102</v>
          </cell>
          <cell r="T175">
            <v>2.4311164901558593</v>
          </cell>
          <cell r="U175">
            <v>2.1074675681580644</v>
          </cell>
          <cell r="V175">
            <v>1.8911803184612741</v>
          </cell>
          <cell r="W175">
            <v>1.5451559905199812</v>
          </cell>
          <cell r="X175">
            <v>1.4708002621787872</v>
          </cell>
          <cell r="Y175">
            <v>1.580482261041587</v>
          </cell>
          <cell r="Z175">
            <v>1.38987072</v>
          </cell>
          <cell r="AA175">
            <v>1.8173303599999999</v>
          </cell>
          <cell r="AB175">
            <v>1.5136049433773811</v>
          </cell>
          <cell r="AC175">
            <v>1.4027949732052674</v>
          </cell>
          <cell r="AD175">
            <v>1.3671049082637361</v>
          </cell>
          <cell r="AE175">
            <v>1.4256651163527188</v>
          </cell>
        </row>
        <row r="176">
          <cell r="H176">
            <v>2.3326221600000001</v>
          </cell>
          <cell r="I176">
            <v>2.1343561800000002</v>
          </cell>
          <cell r="J176">
            <v>2.7849274200000003</v>
          </cell>
          <cell r="K176">
            <v>3.7213380599999999</v>
          </cell>
          <cell r="L176">
            <v>3.8396688000000001</v>
          </cell>
          <cell r="M176">
            <v>4.5304399799999997</v>
          </cell>
          <cell r="N176">
            <v>3.8655843599999997</v>
          </cell>
          <cell r="O176">
            <v>3.7622019600000001</v>
          </cell>
          <cell r="P176">
            <v>4.9317826799999995</v>
          </cell>
          <cell r="Q176">
            <v>3.5256144000000003</v>
          </cell>
          <cell r="R176">
            <v>4.1166087600000001</v>
          </cell>
          <cell r="S176">
            <v>3.6865428600000003</v>
          </cell>
          <cell r="T176">
            <v>4.4936060400000004</v>
          </cell>
          <cell r="U176">
            <v>4.0552175400000001</v>
          </cell>
          <cell r="V176">
            <v>4.7025844800000005</v>
          </cell>
          <cell r="W176">
            <v>5.7826820000000012</v>
          </cell>
          <cell r="X176">
            <v>6.4745300000000006</v>
          </cell>
          <cell r="Y176">
            <v>4.3306040000000001</v>
          </cell>
          <cell r="Z176">
            <v>5.0644289999999996</v>
          </cell>
          <cell r="AA176">
            <v>4.8802399999999997</v>
          </cell>
          <cell r="AB176">
            <v>5.314560624425317</v>
          </cell>
          <cell r="AC176">
            <v>5.8392883922912757</v>
          </cell>
          <cell r="AD176">
            <v>5.5907307068579604</v>
          </cell>
          <cell r="AE176">
            <v>5.3970025110934667</v>
          </cell>
        </row>
        <row r="177">
          <cell r="H177">
            <v>1.2016538399999999</v>
          </cell>
          <cell r="I177">
            <v>1.0995168200000001</v>
          </cell>
          <cell r="J177">
            <v>1.4346595800000002</v>
          </cell>
          <cell r="K177">
            <v>1.91705294</v>
          </cell>
          <cell r="L177">
            <v>1.9780112000000001</v>
          </cell>
          <cell r="M177">
            <v>2.3338630200000003</v>
          </cell>
          <cell r="N177">
            <v>1.99136164</v>
          </cell>
          <cell r="O177">
            <v>1.93810404</v>
          </cell>
          <cell r="P177">
            <v>2.5406153199999997</v>
          </cell>
          <cell r="Q177">
            <v>1.8162256000000001</v>
          </cell>
          <cell r="R177">
            <v>2.12067724</v>
          </cell>
          <cell r="S177">
            <v>1.8991281399999997</v>
          </cell>
          <cell r="T177">
            <v>2.3148879600000005</v>
          </cell>
          <cell r="U177">
            <v>2.0890514600000003</v>
          </cell>
          <cell r="V177">
            <v>2.4225435200000001</v>
          </cell>
          <cell r="W177">
            <v>2.7598760000000002</v>
          </cell>
          <cell r="X177">
            <v>3.2231519999999998</v>
          </cell>
          <cell r="Y177">
            <v>1.711967</v>
          </cell>
          <cell r="Z177">
            <v>2.2422549999999997</v>
          </cell>
          <cell r="AA177">
            <v>1.9980939999999998</v>
          </cell>
          <cell r="AB177">
            <v>2.2146394799898173</v>
          </cell>
          <cell r="AC177">
            <v>2.4529568455976025</v>
          </cell>
          <cell r="AD177">
            <v>2.3252751304701671</v>
          </cell>
          <cell r="AE177">
            <v>2.2545756506342292</v>
          </cell>
        </row>
        <row r="178">
          <cell r="H178">
            <v>7.7681670999999994</v>
          </cell>
          <cell r="I178">
            <v>6.1909778999999991</v>
          </cell>
          <cell r="J178">
            <v>6.2494579999999997</v>
          </cell>
          <cell r="K178">
            <v>6.6152219000000008</v>
          </cell>
          <cell r="L178">
            <v>5.5810154000000001</v>
          </cell>
          <cell r="M178">
            <v>5.2429889000000003</v>
          </cell>
          <cell r="N178">
            <v>4.4018980000000001</v>
          </cell>
          <cell r="O178">
            <v>6.0446849999999994</v>
          </cell>
          <cell r="P178">
            <v>9.751614</v>
          </cell>
          <cell r="Q178">
            <v>11.116424999999998</v>
          </cell>
          <cell r="R178">
            <v>11.370925</v>
          </cell>
          <cell r="S178">
            <v>11.869458999999999</v>
          </cell>
          <cell r="T178">
            <v>10.888947</v>
          </cell>
          <cell r="U178">
            <v>9.4940550000000012</v>
          </cell>
          <cell r="V178">
            <v>10.433181000000001</v>
          </cell>
          <cell r="W178">
            <v>5.9005559999999999</v>
          </cell>
          <cell r="X178">
            <v>6.8123880000000003</v>
          </cell>
          <cell r="Y178">
            <v>6.1123589999999997</v>
          </cell>
          <cell r="Z178">
            <v>9.229140000000001</v>
          </cell>
          <cell r="AA178">
            <v>8.458632999999999</v>
          </cell>
          <cell r="AB178">
            <v>8.0452519383000087</v>
          </cell>
          <cell r="AC178">
            <v>7.6519041966999959</v>
          </cell>
          <cell r="AD178">
            <v>7.4193123636000031</v>
          </cell>
          <cell r="AE178">
            <v>7.7886886725999984</v>
          </cell>
        </row>
        <row r="179">
          <cell r="H179">
            <v>0.94562667569891845</v>
          </cell>
          <cell r="I179">
            <v>0.87797440847584418</v>
          </cell>
          <cell r="J179">
            <v>0.76896588931383225</v>
          </cell>
          <cell r="K179">
            <v>0.63948110135578418</v>
          </cell>
          <cell r="L179">
            <v>0.43394926096228958</v>
          </cell>
          <cell r="M179">
            <v>0.70856563684818685</v>
          </cell>
          <cell r="N179">
            <v>0.99833300111063006</v>
          </cell>
          <cell r="O179">
            <v>1.2788148464054281</v>
          </cell>
          <cell r="P179">
            <v>1.1413744588863326</v>
          </cell>
          <cell r="Q179">
            <v>0.71823731071012475</v>
          </cell>
          <cell r="R179">
            <v>0.84101134433644587</v>
          </cell>
          <cell r="S179">
            <v>1.2251082266483837</v>
          </cell>
          <cell r="T179">
            <v>1.5651012636603874</v>
          </cell>
          <cell r="U179">
            <v>1.2759510039866273</v>
          </cell>
          <cell r="V179">
            <v>1.107505460703968</v>
          </cell>
          <cell r="W179">
            <v>0.63798485303363595</v>
          </cell>
          <cell r="X179">
            <v>0.62624539967892912</v>
          </cell>
          <cell r="Y179">
            <v>0.67166554183832972</v>
          </cell>
          <cell r="Z179">
            <v>0.492732</v>
          </cell>
          <cell r="AA179">
            <v>0.49918399999999996</v>
          </cell>
          <cell r="AB179">
            <v>0.51242220696340901</v>
          </cell>
          <cell r="AC179">
            <v>0.56820095103565071</v>
          </cell>
          <cell r="AD179">
            <v>0.49314781500982674</v>
          </cell>
          <cell r="AE179">
            <v>0.5050087559041242</v>
          </cell>
        </row>
        <row r="180">
          <cell r="H180">
            <v>0.38265402430108175</v>
          </cell>
          <cell r="I180">
            <v>0.35527809152415585</v>
          </cell>
          <cell r="J180">
            <v>0.31116708068616789</v>
          </cell>
          <cell r="K180">
            <v>0.25877021364421587</v>
          </cell>
          <cell r="L180">
            <v>0.17560040903771046</v>
          </cell>
          <cell r="M180">
            <v>0.28672572315181322</v>
          </cell>
          <cell r="N180">
            <v>0.4039819838893699</v>
          </cell>
          <cell r="O180">
            <v>0.51748079859457219</v>
          </cell>
          <cell r="P180">
            <v>0.46186464611366751</v>
          </cell>
          <cell r="Q180">
            <v>0.29063942928987535</v>
          </cell>
          <cell r="R180">
            <v>0.34032074566355414</v>
          </cell>
          <cell r="S180">
            <v>0.49574806335161636</v>
          </cell>
          <cell r="T180">
            <v>0.63332847133961268</v>
          </cell>
          <cell r="U180">
            <v>0.51632192601337268</v>
          </cell>
          <cell r="V180">
            <v>0.44815933429603194</v>
          </cell>
          <cell r="W180">
            <v>0.25816474696636388</v>
          </cell>
          <cell r="X180">
            <v>0.25341430032107087</v>
          </cell>
          <cell r="Y180">
            <v>0.27179385816167018</v>
          </cell>
          <cell r="Z180">
            <v>0.492732</v>
          </cell>
          <cell r="AA180">
            <v>0.49918399999999996</v>
          </cell>
          <cell r="AB180">
            <v>0.51242220696340901</v>
          </cell>
          <cell r="AC180">
            <v>0.56820095103565071</v>
          </cell>
          <cell r="AD180">
            <v>0.49314781500982674</v>
          </cell>
          <cell r="AE180">
            <v>0.5050087559041242</v>
          </cell>
        </row>
        <row r="181">
          <cell r="H181">
            <v>0.40274807407407415</v>
          </cell>
          <cell r="I181">
            <v>0.37036307407407404</v>
          </cell>
          <cell r="J181">
            <v>0.48768807407407411</v>
          </cell>
          <cell r="K181">
            <v>0.46379207407407413</v>
          </cell>
          <cell r="L181">
            <v>0.53812807407407393</v>
          </cell>
          <cell r="M181">
            <v>0.42164107407407414</v>
          </cell>
          <cell r="N181">
            <v>0.43037807407407414</v>
          </cell>
          <cell r="O181">
            <v>0.50291507407407388</v>
          </cell>
          <cell r="P181">
            <v>0.48163407407407416</v>
          </cell>
          <cell r="Q181">
            <v>0.45580907407407417</v>
          </cell>
          <cell r="R181">
            <v>0.6205150740740738</v>
          </cell>
          <cell r="S181">
            <v>0.56234507407407419</v>
          </cell>
          <cell r="T181">
            <v>0.58473807407407419</v>
          </cell>
          <cell r="U181">
            <v>0.5404590740740739</v>
          </cell>
          <cell r="V181">
            <v>0.42069407407407394</v>
          </cell>
          <cell r="W181">
            <v>1.2428048860740741</v>
          </cell>
          <cell r="X181">
            <v>1.1604115330740739</v>
          </cell>
          <cell r="Y181">
            <v>1.2477731920740742</v>
          </cell>
          <cell r="Z181">
            <v>8.7690780740740752</v>
          </cell>
          <cell r="AA181">
            <v>11.037976074074074</v>
          </cell>
          <cell r="AB181">
            <v>9.3237041313177169</v>
          </cell>
          <cell r="AC181">
            <v>8.7162296123734357</v>
          </cell>
          <cell r="AD181">
            <v>8.4335868012343536</v>
          </cell>
          <cell r="AE181">
            <v>8.7947699601225242</v>
          </cell>
        </row>
        <row r="182">
          <cell r="H182">
            <v>1.2680339999999999</v>
          </cell>
          <cell r="I182">
            <v>3.2701959999999999</v>
          </cell>
          <cell r="J182">
            <v>2.1934979999999999</v>
          </cell>
          <cell r="K182">
            <v>2.1689530000000001</v>
          </cell>
          <cell r="L182">
            <v>1.452771</v>
          </cell>
          <cell r="M182">
            <v>0.90405199999999997</v>
          </cell>
          <cell r="N182">
            <v>1.359175</v>
          </cell>
          <cell r="O182">
            <v>1.5139029999999998</v>
          </cell>
          <cell r="P182">
            <v>2.30301</v>
          </cell>
          <cell r="Q182">
            <v>2.7516340000000001</v>
          </cell>
          <cell r="R182">
            <v>4.7814439999999996</v>
          </cell>
          <cell r="S182">
            <v>4.4062680000000007</v>
          </cell>
          <cell r="T182">
            <v>3.36571</v>
          </cell>
          <cell r="U182">
            <v>3.4345909999999997</v>
          </cell>
          <cell r="V182">
            <v>2.0285880000000001</v>
          </cell>
          <cell r="W182">
            <v>0.95992100000000002</v>
          </cell>
          <cell r="X182">
            <v>1.6628509999999999</v>
          </cell>
          <cell r="Y182">
            <v>1.8797829999999998</v>
          </cell>
          <cell r="Z182">
            <v>2.3661449999999999</v>
          </cell>
          <cell r="AA182">
            <v>3.0826709999999999</v>
          </cell>
          <cell r="AB182">
            <v>3.0169681880581578</v>
          </cell>
          <cell r="AC182">
            <v>2.5401827085011996</v>
          </cell>
          <cell r="AD182">
            <v>2.2922556070064219</v>
          </cell>
          <cell r="AE182">
            <v>2.6029925645564869</v>
          </cell>
        </row>
        <row r="183">
          <cell r="H183">
            <v>0.75905672000000002</v>
          </cell>
          <cell r="I183">
            <v>0.75352307799999996</v>
          </cell>
          <cell r="J183">
            <v>1.0492427340000001</v>
          </cell>
          <cell r="K183">
            <v>0.82287268399999991</v>
          </cell>
          <cell r="L183">
            <v>0.67738382599999991</v>
          </cell>
          <cell r="M183">
            <v>1.2262085980000001</v>
          </cell>
          <cell r="N183">
            <v>0.94672238399999986</v>
          </cell>
          <cell r="O183">
            <v>0.94664478799999996</v>
          </cell>
          <cell r="P183">
            <v>0.89970378400000006</v>
          </cell>
          <cell r="Q183">
            <v>0.77038129399999988</v>
          </cell>
          <cell r="R183">
            <v>1.1871685080000001</v>
          </cell>
          <cell r="S183">
            <v>1.3819149399999999</v>
          </cell>
          <cell r="T183">
            <v>2.1635749979999996</v>
          </cell>
          <cell r="U183">
            <v>1.9397220020000001</v>
          </cell>
          <cell r="V183">
            <v>1.5831111979999999</v>
          </cell>
          <cell r="W183">
            <v>1.026218284</v>
          </cell>
          <cell r="X183">
            <v>1.045345602</v>
          </cell>
          <cell r="Y183">
            <v>1.134643912</v>
          </cell>
          <cell r="Z183">
            <v>7.6951280000000004</v>
          </cell>
          <cell r="AA183">
            <v>4.5313210000000002</v>
          </cell>
          <cell r="AB183">
            <v>4.4960725606</v>
          </cell>
          <cell r="AC183">
            <v>4.5696217040999993</v>
          </cell>
          <cell r="AD183">
            <v>4.8413475147999998</v>
          </cell>
          <cell r="AE183">
            <v>5.1556288689000001</v>
          </cell>
        </row>
        <row r="184">
          <cell r="H184">
            <v>1.5868732800000001</v>
          </cell>
          <cell r="I184">
            <v>1.5850439220000003</v>
          </cell>
          <cell r="J184">
            <v>2.1840582660000001</v>
          </cell>
          <cell r="K184">
            <v>1.6983533159999999</v>
          </cell>
          <cell r="L184">
            <v>1.4102051739999999</v>
          </cell>
          <cell r="M184">
            <v>2.5247384019999997</v>
          </cell>
          <cell r="N184">
            <v>1.9978036160000001</v>
          </cell>
          <cell r="O184">
            <v>1.9580872119999999</v>
          </cell>
          <cell r="P184">
            <v>1.839522216</v>
          </cell>
          <cell r="Q184">
            <v>1.601259706</v>
          </cell>
          <cell r="R184">
            <v>2.454743492</v>
          </cell>
          <cell r="S184">
            <v>2.82329506</v>
          </cell>
          <cell r="T184">
            <v>4.3995720020000002</v>
          </cell>
          <cell r="U184">
            <v>3.9502809980000002</v>
          </cell>
          <cell r="V184">
            <v>3.2548358020000001</v>
          </cell>
          <cell r="W184">
            <v>3.1835925159999996</v>
          </cell>
          <cell r="X184">
            <v>3.2696349979999999</v>
          </cell>
          <cell r="Y184">
            <v>3.3710648879999998</v>
          </cell>
          <cell r="Z184">
            <v>7.6951280000000004</v>
          </cell>
          <cell r="AA184">
            <v>4.5313210000000002</v>
          </cell>
          <cell r="AB184">
            <v>4.4960725606</v>
          </cell>
          <cell r="AC184">
            <v>4.5696217040999993</v>
          </cell>
          <cell r="AD184">
            <v>4.8413475147999998</v>
          </cell>
          <cell r="AE184">
            <v>5.1556288689000001</v>
          </cell>
        </row>
        <row r="185">
          <cell r="H185">
            <v>2.0197172999999999</v>
          </cell>
          <cell r="I185">
            <v>2.4033025800000001</v>
          </cell>
          <cell r="J185">
            <v>1.6100873399999998</v>
          </cell>
          <cell r="K185">
            <v>2.2882799</v>
          </cell>
          <cell r="L185">
            <v>2.8939977200000002</v>
          </cell>
          <cell r="M185">
            <v>2.6208346827820002</v>
          </cell>
          <cell r="N185">
            <v>2.808180909576</v>
          </cell>
          <cell r="O185">
            <v>2.4410076620000001</v>
          </cell>
          <cell r="P185">
            <v>3.4118360120000002</v>
          </cell>
          <cell r="Q185">
            <v>4.6980795400000002</v>
          </cell>
          <cell r="R185">
            <v>5.0203619890400004</v>
          </cell>
          <cell r="S185">
            <v>6.1223928520000008</v>
          </cell>
          <cell r="T185">
            <v>6.8415446340000008</v>
          </cell>
          <cell r="U185">
            <v>6.7605348059999999</v>
          </cell>
          <cell r="V185">
            <v>5.2803142400000009</v>
          </cell>
          <cell r="W185">
            <v>4.7062230000000014</v>
          </cell>
          <cell r="X185">
            <v>4.0795029999999999</v>
          </cell>
          <cell r="Y185">
            <v>5.6370279999999999</v>
          </cell>
          <cell r="Z185">
            <v>3.2726250000000001</v>
          </cell>
          <cell r="AA185">
            <v>4.1234289999999998</v>
          </cell>
          <cell r="AB185">
            <v>4.1990751697822688</v>
          </cell>
          <cell r="AC185">
            <v>3.9559845486033547</v>
          </cell>
          <cell r="AD185">
            <v>4.2245626971251937</v>
          </cell>
          <cell r="AE185">
            <v>4.3471217789162413</v>
          </cell>
        </row>
        <row r="186">
          <cell r="H186">
            <v>3.9206276999999998</v>
          </cell>
          <cell r="I186">
            <v>5.0675564199999998</v>
          </cell>
          <cell r="J186">
            <v>3.3396976600000001</v>
          </cell>
          <cell r="K186">
            <v>4.6083171000000016</v>
          </cell>
          <cell r="L186">
            <v>5.7593702800000006</v>
          </cell>
          <cell r="M186">
            <v>5.3036676835180003</v>
          </cell>
          <cell r="N186">
            <v>5.8835187068239998</v>
          </cell>
          <cell r="O186">
            <v>5.0332471999999999</v>
          </cell>
          <cell r="P186">
            <v>6.8259360000000013</v>
          </cell>
          <cell r="Q186">
            <v>9.5154594599999989</v>
          </cell>
          <cell r="R186">
            <v>10.112064566960001</v>
          </cell>
          <cell r="S186">
            <v>12.42666404</v>
          </cell>
          <cell r="T186">
            <v>13.837188780000002</v>
          </cell>
          <cell r="U186">
            <v>13.824212319999997</v>
          </cell>
          <cell r="V186">
            <v>10.725069760000002</v>
          </cell>
          <cell r="W186">
            <v>7.2359570000000009</v>
          </cell>
          <cell r="X186">
            <v>9.5127849999999992</v>
          </cell>
          <cell r="Y186">
            <v>8.7675900000000002</v>
          </cell>
          <cell r="Z186">
            <v>3.607186</v>
          </cell>
          <cell r="AA186">
            <v>4.0182390000000003</v>
          </cell>
          <cell r="AB186">
            <v>4.2711939641417151</v>
          </cell>
          <cell r="AC186">
            <v>4.5946027044206739</v>
          </cell>
          <cell r="AD186">
            <v>4.429112704129059</v>
          </cell>
          <cell r="AE186">
            <v>4.328169119778071</v>
          </cell>
        </row>
        <row r="207">
          <cell r="G207" t="str">
            <v>High</v>
          </cell>
          <cell r="H207">
            <v>42.389799174074071</v>
          </cell>
          <cell r="I207">
            <v>36.465809974074077</v>
          </cell>
          <cell r="J207">
            <v>35.569335074074075</v>
          </cell>
          <cell r="K207">
            <v>38.272286974074078</v>
          </cell>
          <cell r="L207">
            <v>34.157084474074075</v>
          </cell>
          <cell r="M207">
            <v>35.53257534037408</v>
          </cell>
          <cell r="N207">
            <v>36.773434690474069</v>
          </cell>
          <cell r="O207">
            <v>42.359566936074067</v>
          </cell>
          <cell r="P207">
            <v>51.593021086074074</v>
          </cell>
          <cell r="Q207">
            <v>51.05823207407407</v>
          </cell>
          <cell r="R207">
            <v>58.828523630074066</v>
          </cell>
          <cell r="S207">
            <v>69.276658966074081</v>
          </cell>
          <cell r="T207">
            <v>78.406612488074074</v>
          </cell>
          <cell r="U207">
            <v>74.656716200074086</v>
          </cell>
          <cell r="V207">
            <v>62.619136074074078</v>
          </cell>
          <cell r="W207">
            <v>48.797968286074081</v>
          </cell>
          <cell r="X207">
            <v>52.20252758307408</v>
          </cell>
          <cell r="Y207">
            <v>51.00957789207407</v>
          </cell>
          <cell r="Z207">
            <v>67.083563074074078</v>
          </cell>
          <cell r="AA207">
            <v>72.079969074074057</v>
          </cell>
          <cell r="AB207">
            <v>65.729459982444979</v>
          </cell>
          <cell r="AC207">
            <v>64.942320409137878</v>
          </cell>
          <cell r="AD207">
            <v>63.362334928324181</v>
          </cell>
          <cell r="AE207">
            <v>65.142943044759335</v>
          </cell>
        </row>
      </sheetData>
      <sheetData sheetId="9">
        <row r="21">
          <cell r="AB21">
            <v>943682.68088198837</v>
          </cell>
          <cell r="AC21">
            <v>830208.88036835718</v>
          </cell>
          <cell r="AD21">
            <v>753930.23870589386</v>
          </cell>
          <cell r="AE21">
            <v>871080.35247744701</v>
          </cell>
        </row>
        <row r="22">
          <cell r="AB22">
            <v>565159.94287564873</v>
          </cell>
          <cell r="AC22">
            <v>558970.60872925993</v>
          </cell>
          <cell r="AD22">
            <v>572259.98185306403</v>
          </cell>
          <cell r="AE22">
            <v>556708.83725918015</v>
          </cell>
        </row>
        <row r="23">
          <cell r="AB23">
            <v>648754.53580453689</v>
          </cell>
          <cell r="AC23">
            <v>643800.41382252518</v>
          </cell>
          <cell r="AD23">
            <v>507081.04742742633</v>
          </cell>
          <cell r="AE23">
            <v>592950.14079819003</v>
          </cell>
        </row>
        <row r="24">
          <cell r="AB24">
            <v>286936.01310143375</v>
          </cell>
          <cell r="AC24">
            <v>288736.67150064075</v>
          </cell>
          <cell r="AD24">
            <v>274702.99513519771</v>
          </cell>
          <cell r="AE24">
            <v>302553.93400074064</v>
          </cell>
        </row>
        <row r="25">
          <cell r="AB25">
            <v>937394.72117731895</v>
          </cell>
          <cell r="AC25">
            <v>912080.37477960833</v>
          </cell>
          <cell r="AD25">
            <v>794727.87315070676</v>
          </cell>
          <cell r="AE25">
            <v>915980.80462188413</v>
          </cell>
        </row>
        <row r="26">
          <cell r="AB26">
            <v>2058089.550569477</v>
          </cell>
          <cell r="AC26">
            <v>1844519.6631027595</v>
          </cell>
          <cell r="AD26">
            <v>1808370.9297799692</v>
          </cell>
          <cell r="AE26">
            <v>1928192.5544098606</v>
          </cell>
        </row>
        <row r="27">
          <cell r="AB27">
            <v>1554881.3979650601</v>
          </cell>
          <cell r="AC27">
            <v>1634169.8108176619</v>
          </cell>
          <cell r="AD27">
            <v>1759674.7863607961</v>
          </cell>
          <cell r="AE27">
            <v>2076094.7759013497</v>
          </cell>
        </row>
        <row r="28">
          <cell r="AB28">
            <v>63433.426931604743</v>
          </cell>
          <cell r="AC28">
            <v>66425.748379317301</v>
          </cell>
          <cell r="AD28">
            <v>79151.326502888085</v>
          </cell>
          <cell r="AE28">
            <v>85845.446431490171</v>
          </cell>
        </row>
        <row r="29">
          <cell r="AB29">
            <v>190153.07686218477</v>
          </cell>
          <cell r="AC29">
            <v>187038.28744679055</v>
          </cell>
          <cell r="AD29">
            <v>191274.05068698598</v>
          </cell>
          <cell r="AE29">
            <v>191883.99555047645</v>
          </cell>
        </row>
        <row r="30">
          <cell r="AB30">
            <v>3238398.687584531</v>
          </cell>
          <cell r="AC30">
            <v>3213218.0296330545</v>
          </cell>
          <cell r="AD30">
            <v>3135340.9792414741</v>
          </cell>
          <cell r="AE30">
            <v>3367867.7846948942</v>
          </cell>
        </row>
        <row r="31">
          <cell r="AB31">
            <v>3921798.3362258212</v>
          </cell>
          <cell r="AC31">
            <v>3926905.9078965583</v>
          </cell>
          <cell r="AD31">
            <v>3966158.185490815</v>
          </cell>
          <cell r="AE31">
            <v>4341994.2565287473</v>
          </cell>
        </row>
        <row r="32">
          <cell r="AB32">
            <v>31549091.228681069</v>
          </cell>
          <cell r="AC32">
            <v>31194730.502038229</v>
          </cell>
          <cell r="AD32">
            <v>31505102.105258308</v>
          </cell>
          <cell r="AE32">
            <v>33927719.7277923</v>
          </cell>
        </row>
      </sheetData>
      <sheetData sheetId="10">
        <row r="21">
          <cell r="AB21">
            <v>943682.68088198837</v>
          </cell>
          <cell r="AC21">
            <v>830208.88036835718</v>
          </cell>
          <cell r="AD21">
            <v>753930.23870589386</v>
          </cell>
          <cell r="AE21">
            <v>871080.35247744701</v>
          </cell>
        </row>
        <row r="22">
          <cell r="AB22">
            <v>565159.94287564873</v>
          </cell>
          <cell r="AC22">
            <v>558970.60872925993</v>
          </cell>
          <cell r="AD22">
            <v>572259.98185306403</v>
          </cell>
          <cell r="AE22">
            <v>556708.83725918015</v>
          </cell>
        </row>
        <row r="23">
          <cell r="AB23">
            <v>648754.53580453689</v>
          </cell>
          <cell r="AC23">
            <v>643800.41382252518</v>
          </cell>
          <cell r="AD23">
            <v>507081.04742742633</v>
          </cell>
          <cell r="AE23">
            <v>592950.14079819003</v>
          </cell>
        </row>
        <row r="24">
          <cell r="AB24">
            <v>286936.01310143375</v>
          </cell>
          <cell r="AC24">
            <v>288736.67150064075</v>
          </cell>
          <cell r="AD24">
            <v>274702.99513519771</v>
          </cell>
          <cell r="AE24">
            <v>302553.93400074064</v>
          </cell>
        </row>
        <row r="25">
          <cell r="AB25">
            <v>937394.72117731895</v>
          </cell>
          <cell r="AC25">
            <v>912080.37477960833</v>
          </cell>
          <cell r="AD25">
            <v>794727.87315070676</v>
          </cell>
          <cell r="AE25">
            <v>915980.80462188413</v>
          </cell>
        </row>
        <row r="26">
          <cell r="AB26">
            <v>2058089.550569477</v>
          </cell>
          <cell r="AC26">
            <v>1844519.6631027595</v>
          </cell>
          <cell r="AD26">
            <v>1808370.9297799692</v>
          </cell>
          <cell r="AE26">
            <v>1928192.5544098606</v>
          </cell>
        </row>
        <row r="27">
          <cell r="AB27">
            <v>1554881.3979650601</v>
          </cell>
          <cell r="AC27">
            <v>1634169.8108176619</v>
          </cell>
          <cell r="AD27">
            <v>1759674.7863607961</v>
          </cell>
          <cell r="AE27">
            <v>2076094.7759013497</v>
          </cell>
        </row>
        <row r="28">
          <cell r="AB28">
            <v>63433.426931604743</v>
          </cell>
          <cell r="AC28">
            <v>66425.748379317301</v>
          </cell>
          <cell r="AD28">
            <v>79151.326502888085</v>
          </cell>
          <cell r="AE28">
            <v>85845.446431490171</v>
          </cell>
        </row>
        <row r="29">
          <cell r="AB29">
            <v>190153.07686218477</v>
          </cell>
          <cell r="AC29">
            <v>187038.28744679055</v>
          </cell>
          <cell r="AD29">
            <v>191274.05068698598</v>
          </cell>
          <cell r="AE29">
            <v>191883.99555047645</v>
          </cell>
        </row>
        <row r="30">
          <cell r="AB30">
            <v>3238398.687584531</v>
          </cell>
          <cell r="AC30">
            <v>3213218.0296330545</v>
          </cell>
          <cell r="AD30">
            <v>3135340.9792414741</v>
          </cell>
          <cell r="AE30">
            <v>3367867.7846948942</v>
          </cell>
        </row>
        <row r="31">
          <cell r="AB31">
            <v>3921798.3362258212</v>
          </cell>
          <cell r="AC31">
            <v>3926905.9078965583</v>
          </cell>
          <cell r="AD31">
            <v>3966158.185490815</v>
          </cell>
          <cell r="AE31">
            <v>4341994.2565287473</v>
          </cell>
        </row>
        <row r="32">
          <cell r="AB32">
            <v>31549091.228681069</v>
          </cell>
          <cell r="AC32">
            <v>31194730.502038229</v>
          </cell>
          <cell r="AD32">
            <v>31505102.105258308</v>
          </cell>
          <cell r="AE32">
            <v>33927719.7277923</v>
          </cell>
        </row>
        <row r="34">
          <cell r="R34">
            <v>2241.6830724899996</v>
          </cell>
          <cell r="S34">
            <v>2163.8976968000002</v>
          </cell>
          <cell r="T34">
            <v>2301.1241944899998</v>
          </cell>
          <cell r="U34">
            <v>2076.5717068700001</v>
          </cell>
          <cell r="V34">
            <v>1996.0602896399998</v>
          </cell>
          <cell r="W34">
            <v>2250.2497511900001</v>
          </cell>
          <cell r="X34">
            <v>2163.1746260100003</v>
          </cell>
          <cell r="Y34">
            <v>2140.9822397200001</v>
          </cell>
          <cell r="Z34">
            <v>2292.7090752799995</v>
          </cell>
          <cell r="AA34">
            <v>2500.0165227299999</v>
          </cell>
          <cell r="AB34">
            <v>2481.8948666900001</v>
          </cell>
          <cell r="AC34">
            <v>2045.6792533299999</v>
          </cell>
          <cell r="AD34">
            <v>2094.8695493</v>
          </cell>
          <cell r="AE34">
            <v>1953.9369025999999</v>
          </cell>
        </row>
        <row r="35">
          <cell r="R35">
            <v>256.05469590000001</v>
          </cell>
          <cell r="S35">
            <v>253.2667701</v>
          </cell>
          <cell r="T35">
            <v>300.73964699999999</v>
          </cell>
          <cell r="U35">
            <v>328.24825880000003</v>
          </cell>
          <cell r="V35">
            <v>306.030933</v>
          </cell>
          <cell r="W35">
            <v>712.26009299999998</v>
          </cell>
          <cell r="X35">
            <v>203.55615209999999</v>
          </cell>
          <cell r="Y35">
            <v>366.60731587999999</v>
          </cell>
          <cell r="Z35">
            <v>507.35561760000002</v>
          </cell>
          <cell r="AA35">
            <v>485.31207719999998</v>
          </cell>
          <cell r="AB35">
            <v>378.14491860999999</v>
          </cell>
          <cell r="AC35">
            <v>411.35808100000003</v>
          </cell>
          <cell r="AD35">
            <v>0.71504779399999996</v>
          </cell>
          <cell r="AE35">
            <v>11.82402203</v>
          </cell>
        </row>
        <row r="36">
          <cell r="R36">
            <v>8899.5570035499986</v>
          </cell>
          <cell r="S36">
            <v>8817.6527938600011</v>
          </cell>
          <cell r="T36">
            <v>9245.813338269998</v>
          </cell>
          <cell r="U36">
            <v>9011.5451928240018</v>
          </cell>
          <cell r="V36">
            <v>9024.3629158299973</v>
          </cell>
          <cell r="W36">
            <v>8728.339281479999</v>
          </cell>
          <cell r="X36">
            <v>9126.2937245939993</v>
          </cell>
          <cell r="Y36">
            <v>8944.5317642250011</v>
          </cell>
          <cell r="Z36">
            <v>8800.5436373460016</v>
          </cell>
          <cell r="AA36">
            <v>8714.2793057930012</v>
          </cell>
          <cell r="AB36">
            <v>8450.0425825519997</v>
          </cell>
          <cell r="AC36">
            <v>8358.6997653549988</v>
          </cell>
          <cell r="AD36">
            <v>8113.2350019459991</v>
          </cell>
          <cell r="AE36">
            <v>7787.2052215100011</v>
          </cell>
        </row>
        <row r="37">
          <cell r="R37">
            <v>7661.6714371359994</v>
          </cell>
          <cell r="S37">
            <v>7776.286964425999</v>
          </cell>
          <cell r="T37">
            <v>7610.5201791749996</v>
          </cell>
          <cell r="U37">
            <v>7263.6624161199998</v>
          </cell>
          <cell r="V37">
            <v>7044.5252494289998</v>
          </cell>
          <cell r="W37">
            <v>6466.0726085319993</v>
          </cell>
          <cell r="X37">
            <v>6855.5085877819974</v>
          </cell>
          <cell r="Y37">
            <v>6963.2062946820006</v>
          </cell>
          <cell r="Z37">
            <v>7246.9256291289994</v>
          </cell>
          <cell r="AA37">
            <v>6912.3675650869991</v>
          </cell>
          <cell r="AB37">
            <v>7691.2867780759989</v>
          </cell>
          <cell r="AC37">
            <v>7979.0961733929998</v>
          </cell>
          <cell r="AD37">
            <v>6385.7180026869992</v>
          </cell>
          <cell r="AE37">
            <v>7075.2106742209999</v>
          </cell>
        </row>
        <row r="38">
          <cell r="R38">
            <v>4086.4875090620003</v>
          </cell>
          <cell r="S38">
            <v>4240.3955410879998</v>
          </cell>
          <cell r="T38">
            <v>4356.9694699659995</v>
          </cell>
          <cell r="U38">
            <v>4400.4775716160002</v>
          </cell>
          <cell r="V38">
            <v>4080.6638443390002</v>
          </cell>
          <cell r="W38">
            <v>3924.871003623</v>
          </cell>
          <cell r="X38">
            <v>4080.422248201</v>
          </cell>
          <cell r="Y38">
            <v>4088.9620284799998</v>
          </cell>
          <cell r="Z38">
            <v>4163.5420287199995</v>
          </cell>
          <cell r="AA38">
            <v>4512.5430191099995</v>
          </cell>
          <cell r="AB38">
            <v>4114.052655085</v>
          </cell>
          <cell r="AC38">
            <v>4448.8855489999996</v>
          </cell>
          <cell r="AD38">
            <v>4409.0903840000001</v>
          </cell>
          <cell r="AE38">
            <v>4408.891697</v>
          </cell>
        </row>
        <row r="39">
          <cell r="R39">
            <v>26505.950918524995</v>
          </cell>
          <cell r="S39">
            <v>27057.599951766999</v>
          </cell>
          <cell r="T39">
            <v>27768.108498663994</v>
          </cell>
          <cell r="U39">
            <v>28144.485808357993</v>
          </cell>
          <cell r="V39">
            <v>26713.211992282002</v>
          </cell>
          <cell r="W39">
            <v>26647.198376786</v>
          </cell>
          <cell r="X39">
            <v>26558.064847981997</v>
          </cell>
          <cell r="Y39">
            <v>26862.425029590002</v>
          </cell>
          <cell r="Z39">
            <v>28236.490102593994</v>
          </cell>
          <cell r="AA39">
            <v>29004.628378201</v>
          </cell>
          <cell r="AB39">
            <v>30663.798993526001</v>
          </cell>
          <cell r="AC39">
            <v>30112.770027643008</v>
          </cell>
          <cell r="AD39">
            <v>29742.328145847001</v>
          </cell>
          <cell r="AE39">
            <v>30186.76773027801</v>
          </cell>
        </row>
        <row r="40">
          <cell r="R40">
            <v>3879.7012499000002</v>
          </cell>
          <cell r="S40">
            <v>3811.8713759000002</v>
          </cell>
          <cell r="T40">
            <v>3687.7944449499996</v>
          </cell>
          <cell r="U40">
            <v>4052.86802012</v>
          </cell>
          <cell r="V40">
            <v>3732.9431664399999</v>
          </cell>
          <cell r="W40">
            <v>3838.0874855900001</v>
          </cell>
          <cell r="X40">
            <v>3896.3264584699996</v>
          </cell>
          <cell r="Y40">
            <v>4023.3897939200001</v>
          </cell>
          <cell r="Z40">
            <v>4441.6666339499998</v>
          </cell>
          <cell r="AA40">
            <v>4460.4758901999994</v>
          </cell>
          <cell r="AB40">
            <v>4050.5395106700003</v>
          </cell>
          <cell r="AC40">
            <v>3608.3347951999999</v>
          </cell>
          <cell r="AD40">
            <v>2971.5261042699999</v>
          </cell>
          <cell r="AE40">
            <v>3218.6991336999999</v>
          </cell>
        </row>
        <row r="41">
          <cell r="R41">
            <v>1816.3775173840002</v>
          </cell>
          <cell r="S41">
            <v>1729.1725085159999</v>
          </cell>
          <cell r="T41">
            <v>1809.3160340530001</v>
          </cell>
          <cell r="U41">
            <v>2002.7971589010001</v>
          </cell>
          <cell r="V41">
            <v>1569.27393001</v>
          </cell>
          <cell r="W41">
            <v>1822.5725142000001</v>
          </cell>
          <cell r="X41">
            <v>1313.8137009700001</v>
          </cell>
          <cell r="Y41">
            <v>1811.0114443580001</v>
          </cell>
          <cell r="Z41">
            <v>1966.132555659</v>
          </cell>
          <cell r="AA41">
            <v>1843.8253456399998</v>
          </cell>
          <cell r="AB41">
            <v>1715.36095056</v>
          </cell>
          <cell r="AC41">
            <v>1500.40197229</v>
          </cell>
          <cell r="AD41">
            <v>1188.2826425000001</v>
          </cell>
          <cell r="AE41">
            <v>1479.3628395000001</v>
          </cell>
        </row>
        <row r="42">
          <cell r="R42">
            <v>5746.479911376</v>
          </cell>
          <cell r="S42">
            <v>5566.126728625999</v>
          </cell>
          <cell r="T42">
            <v>5531.0785744169998</v>
          </cell>
          <cell r="U42">
            <v>5509.7806142379995</v>
          </cell>
          <cell r="V42">
            <v>5673.9444785799997</v>
          </cell>
          <cell r="W42">
            <v>5348.2846288990004</v>
          </cell>
          <cell r="X42">
            <v>5709.1822707800002</v>
          </cell>
          <cell r="Y42">
            <v>5327.3116683639983</v>
          </cell>
          <cell r="Z42">
            <v>5951.8128832550001</v>
          </cell>
          <cell r="AA42">
            <v>6332.950077589001</v>
          </cell>
          <cell r="AB42">
            <v>5853.6235859630006</v>
          </cell>
          <cell r="AC42">
            <v>4927.4810865630006</v>
          </cell>
          <cell r="AD42">
            <v>3630.7389282130007</v>
          </cell>
          <cell r="AE42">
            <v>3869.402575519</v>
          </cell>
        </row>
        <row r="43">
          <cell r="R43">
            <v>3542.670451942</v>
          </cell>
          <cell r="S43">
            <v>3695.7599722179998</v>
          </cell>
          <cell r="T43">
            <v>3595.7598673529997</v>
          </cell>
          <cell r="U43">
            <v>3703.5822214660002</v>
          </cell>
          <cell r="V43">
            <v>3891.4965771289999</v>
          </cell>
          <cell r="W43">
            <v>3776.8268019760003</v>
          </cell>
          <cell r="X43">
            <v>3572.9034326199999</v>
          </cell>
          <cell r="Y43">
            <v>3426.6527044069999</v>
          </cell>
          <cell r="Z43">
            <v>3694.4458117259996</v>
          </cell>
          <cell r="AA43">
            <v>3759.6007925679996</v>
          </cell>
          <cell r="AB43">
            <v>3996.2397316549996</v>
          </cell>
          <cell r="AC43">
            <v>4240.3662453959996</v>
          </cell>
          <cell r="AD43">
            <v>4298.4174826000008</v>
          </cell>
          <cell r="AE43">
            <v>4308.9514624540006</v>
          </cell>
        </row>
        <row r="44">
          <cell r="R44">
            <v>6722.875926398</v>
          </cell>
          <cell r="S44">
            <v>6549.6763158989997</v>
          </cell>
          <cell r="T44">
            <v>9735.1093495830009</v>
          </cell>
          <cell r="U44">
            <v>10917.79018881</v>
          </cell>
          <cell r="V44">
            <v>10471.642102559999</v>
          </cell>
          <cell r="W44">
            <v>9700.2649560009995</v>
          </cell>
          <cell r="X44">
            <v>9166.7088366469998</v>
          </cell>
          <cell r="Y44">
            <v>10082.399690292999</v>
          </cell>
          <cell r="Z44">
            <v>10930.476474950001</v>
          </cell>
          <cell r="AA44">
            <v>11077.385120202998</v>
          </cell>
          <cell r="AB44">
            <v>12644.081003894002</v>
          </cell>
          <cell r="AC44">
            <v>12620.560673337999</v>
          </cell>
          <cell r="AD44">
            <v>10752.502854922999</v>
          </cell>
          <cell r="AE44">
            <v>12228.901004306003</v>
          </cell>
        </row>
        <row r="45">
          <cell r="R45">
            <v>987.87010710000004</v>
          </cell>
          <cell r="S45">
            <v>1056.3657720000001</v>
          </cell>
          <cell r="T45">
            <v>1077.3572095</v>
          </cell>
          <cell r="U45">
            <v>1157.7823619999999</v>
          </cell>
          <cell r="V45">
            <v>865.11798090000002</v>
          </cell>
          <cell r="W45">
            <v>810.12230950000003</v>
          </cell>
          <cell r="X45">
            <v>561.35247136999999</v>
          </cell>
          <cell r="Y45">
            <v>530.68944077000003</v>
          </cell>
          <cell r="Z45">
            <v>562.70049167000002</v>
          </cell>
          <cell r="AA45">
            <v>522.48133399999995</v>
          </cell>
          <cell r="AB45">
            <v>728.54446539999992</v>
          </cell>
          <cell r="AC45">
            <v>648.91529459800006</v>
          </cell>
          <cell r="AD45">
            <v>674.46126260000005</v>
          </cell>
          <cell r="AE45">
            <v>807.73480789999996</v>
          </cell>
        </row>
        <row r="46">
          <cell r="R46">
            <v>8028.1012373619997</v>
          </cell>
          <cell r="S46">
            <v>8070.8592808919984</v>
          </cell>
          <cell r="T46">
            <v>8108.7047170469987</v>
          </cell>
          <cell r="U46">
            <v>8459.6545123170017</v>
          </cell>
          <cell r="V46">
            <v>8153.1399437289983</v>
          </cell>
          <cell r="W46">
            <v>8067.6336821470004</v>
          </cell>
          <cell r="X46">
            <v>7874.9026928249996</v>
          </cell>
          <cell r="Y46">
            <v>8092.7712354900013</v>
          </cell>
          <cell r="Z46">
            <v>8903.6919559619982</v>
          </cell>
          <cell r="AA46">
            <v>9583.8892045320008</v>
          </cell>
          <cell r="AB46">
            <v>10360.924623815999</v>
          </cell>
          <cell r="AC46">
            <v>10390.091238621</v>
          </cell>
          <cell r="AD46">
            <v>8070.4875509460007</v>
          </cell>
          <cell r="AE46">
            <v>8686.678736459</v>
          </cell>
        </row>
        <row r="47">
          <cell r="R47">
            <v>41792.478669936005</v>
          </cell>
          <cell r="S47">
            <v>46010.360973889998</v>
          </cell>
          <cell r="T47">
            <v>44345.152375557009</v>
          </cell>
          <cell r="U47">
            <v>39409.983743543999</v>
          </cell>
          <cell r="V47">
            <v>38522.503463543995</v>
          </cell>
          <cell r="W47">
            <v>36928.813054537</v>
          </cell>
          <cell r="X47">
            <v>31917.853005771005</v>
          </cell>
          <cell r="Y47">
            <v>30913.049653784004</v>
          </cell>
          <cell r="Z47">
            <v>36563.309115559001</v>
          </cell>
          <cell r="AA47">
            <v>36231.182085049993</v>
          </cell>
          <cell r="AB47">
            <v>41925.344552873998</v>
          </cell>
          <cell r="AC47">
            <v>40010.464847378003</v>
          </cell>
          <cell r="AD47">
            <v>34259.478258410003</v>
          </cell>
          <cell r="AE47">
            <v>33961.319954475999</v>
          </cell>
        </row>
        <row r="48">
          <cell r="R48">
            <v>18481.578407179994</v>
          </cell>
          <cell r="S48">
            <v>21586.36417348</v>
          </cell>
          <cell r="T48">
            <v>21592.211247160001</v>
          </cell>
          <cell r="U48">
            <v>17487.501183939999</v>
          </cell>
          <cell r="V48">
            <v>19724.441197800003</v>
          </cell>
          <cell r="W48">
            <v>24393.497758800004</v>
          </cell>
          <cell r="X48">
            <v>22613.35078796</v>
          </cell>
          <cell r="Y48">
            <v>22396.87912998</v>
          </cell>
          <cell r="Z48">
            <v>23725.38254327</v>
          </cell>
          <cell r="AA48">
            <v>22484.80126941</v>
          </cell>
          <cell r="AB48">
            <v>22984.535535661998</v>
          </cell>
          <cell r="AC48">
            <v>23356.263114869998</v>
          </cell>
          <cell r="AD48">
            <v>21977.079059080002</v>
          </cell>
          <cell r="AE48">
            <v>22840.553454469999</v>
          </cell>
        </row>
        <row r="49">
          <cell r="R49">
            <v>749.90207379999993</v>
          </cell>
          <cell r="S49">
            <v>935.18946029999995</v>
          </cell>
          <cell r="T49">
            <v>917.65450629999998</v>
          </cell>
          <cell r="U49">
            <v>688.46132488000001</v>
          </cell>
          <cell r="V49">
            <v>819.13943889999996</v>
          </cell>
          <cell r="W49">
            <v>819.53012970000009</v>
          </cell>
          <cell r="X49">
            <v>287.03224672000005</v>
          </cell>
          <cell r="Y49">
            <v>244.79613380000001</v>
          </cell>
          <cell r="Z49">
            <v>275.05236581000003</v>
          </cell>
          <cell r="AA49">
            <v>316.49096226999995</v>
          </cell>
          <cell r="AB49">
            <v>282.88455316299996</v>
          </cell>
          <cell r="AC49">
            <v>239.51335706</v>
          </cell>
          <cell r="AD49">
            <v>245.71880753400001</v>
          </cell>
          <cell r="AE49">
            <v>308.6148187</v>
          </cell>
        </row>
        <row r="50">
          <cell r="R50">
            <v>40.069969979999996</v>
          </cell>
          <cell r="S50">
            <v>49.290437079999997</v>
          </cell>
          <cell r="T50">
            <v>44.181923900000001</v>
          </cell>
          <cell r="U50">
            <v>31.744433829999998</v>
          </cell>
          <cell r="V50">
            <v>54.459537689999998</v>
          </cell>
          <cell r="W50">
            <v>52.790640359999998</v>
          </cell>
          <cell r="X50">
            <v>43.922344730000006</v>
          </cell>
          <cell r="Y50">
            <v>39.602347330000001</v>
          </cell>
          <cell r="Z50">
            <v>40.60147078</v>
          </cell>
          <cell r="AA50">
            <v>38.540427280000003</v>
          </cell>
          <cell r="AB50">
            <v>36.793157460000003</v>
          </cell>
          <cell r="AC50">
            <v>28.552671589999999</v>
          </cell>
          <cell r="AD50">
            <v>33.155464689999995</v>
          </cell>
          <cell r="AE50">
            <v>33.495301169999998</v>
          </cell>
        </row>
        <row r="51">
          <cell r="R51">
            <v>6917.5240422659999</v>
          </cell>
          <cell r="S51">
            <v>7154.4176529240003</v>
          </cell>
          <cell r="T51">
            <v>6954.8331545249976</v>
          </cell>
          <cell r="U51">
            <v>7466.3359534339979</v>
          </cell>
          <cell r="V51">
            <v>6631.2142074649992</v>
          </cell>
          <cell r="W51">
            <v>6846.4082258890021</v>
          </cell>
          <cell r="X51">
            <v>7440.8036104329985</v>
          </cell>
          <cell r="Y51">
            <v>7458.7309479640007</v>
          </cell>
          <cell r="Z51">
            <v>8233.4972310660014</v>
          </cell>
          <cell r="AA51">
            <v>9313.2930892950026</v>
          </cell>
          <cell r="AB51">
            <v>9743.0205369740015</v>
          </cell>
          <cell r="AC51">
            <v>9752.3034524309987</v>
          </cell>
          <cell r="AD51">
            <v>8962.0381981580013</v>
          </cell>
          <cell r="AE51">
            <v>9637.3531107639992</v>
          </cell>
        </row>
        <row r="52">
          <cell r="R52">
            <v>4004.0712452110001</v>
          </cell>
          <cell r="S52">
            <v>4139.9692471550006</v>
          </cell>
          <cell r="T52">
            <v>4212.7945610890001</v>
          </cell>
          <cell r="U52">
            <v>4270.1149149959992</v>
          </cell>
          <cell r="V52">
            <v>4021.7182798519993</v>
          </cell>
          <cell r="W52">
            <v>4150.6466018599995</v>
          </cell>
          <cell r="X52">
            <v>4351.1031298949993</v>
          </cell>
          <cell r="Y52">
            <v>4871.9967591999994</v>
          </cell>
          <cell r="Z52">
            <v>5226.982737368</v>
          </cell>
          <cell r="AA52">
            <v>5449.5668509220013</v>
          </cell>
          <cell r="AB52">
            <v>5596.5540052040005</v>
          </cell>
          <cell r="AC52">
            <v>4880.9543222960001</v>
          </cell>
          <cell r="AD52">
            <v>3866.1307475399994</v>
          </cell>
          <cell r="AE52">
            <v>4116.998073406</v>
          </cell>
        </row>
        <row r="53">
          <cell r="R53">
            <v>33164.658018429996</v>
          </cell>
          <cell r="S53">
            <v>33170.663591147008</v>
          </cell>
          <cell r="T53">
            <v>30528.007657471997</v>
          </cell>
          <cell r="U53">
            <v>32426.967795426008</v>
          </cell>
          <cell r="V53">
            <v>30920.321995161001</v>
          </cell>
          <cell r="W53">
            <v>30918.806798735004</v>
          </cell>
          <cell r="X53">
            <v>31688.631427576969</v>
          </cell>
          <cell r="Y53">
            <v>33667.820920850994</v>
          </cell>
          <cell r="Z53">
            <v>36171.043930711028</v>
          </cell>
          <cell r="AA53">
            <v>38514.50851054598</v>
          </cell>
          <cell r="AB53">
            <v>38765.897106021977</v>
          </cell>
          <cell r="AC53">
            <v>36751.652896097214</v>
          </cell>
          <cell r="AD53">
            <v>29684.407380997109</v>
          </cell>
          <cell r="AE53">
            <v>31122.570124542992</v>
          </cell>
        </row>
        <row r="55">
          <cell r="K55">
            <v>1990</v>
          </cell>
          <cell r="L55">
            <v>1991</v>
          </cell>
          <cell r="M55">
            <v>1992</v>
          </cell>
          <cell r="N55">
            <v>1993</v>
          </cell>
          <cell r="O55">
            <v>1994</v>
          </cell>
          <cell r="P55">
            <v>1995</v>
          </cell>
          <cell r="Q55">
            <v>1996</v>
          </cell>
          <cell r="R55">
            <v>1997</v>
          </cell>
          <cell r="S55">
            <v>1998</v>
          </cell>
          <cell r="T55">
            <v>1999</v>
          </cell>
          <cell r="U55">
            <v>2000</v>
          </cell>
          <cell r="V55">
            <v>2001</v>
          </cell>
          <cell r="W55">
            <v>2002</v>
          </cell>
          <cell r="X55">
            <v>2003</v>
          </cell>
          <cell r="Y55">
            <v>2004</v>
          </cell>
          <cell r="Z55">
            <v>2005</v>
          </cell>
          <cell r="AA55">
            <v>2006</v>
          </cell>
          <cell r="AB55">
            <v>2007</v>
          </cell>
          <cell r="AC55">
            <v>2008</v>
          </cell>
          <cell r="AD55">
            <v>2009</v>
          </cell>
          <cell r="AE55">
            <v>2010</v>
          </cell>
        </row>
        <row r="56">
          <cell r="K56">
            <v>52.55</v>
          </cell>
          <cell r="L56">
            <v>55.366999999999997</v>
          </cell>
          <cell r="M56">
            <v>57.883000000000003</v>
          </cell>
          <cell r="N56">
            <v>61.042000000000002</v>
          </cell>
          <cell r="O56">
            <v>62.982999999999997</v>
          </cell>
          <cell r="P56">
            <v>63.107999999999997</v>
          </cell>
          <cell r="Q56">
            <v>66.042000000000002</v>
          </cell>
          <cell r="R56">
            <v>68.266999999999996</v>
          </cell>
          <cell r="S56">
            <v>69.266999999999996</v>
          </cell>
          <cell r="T56">
            <v>68.957999999999998</v>
          </cell>
          <cell r="U56">
            <v>70.3</v>
          </cell>
          <cell r="V56">
            <v>69</v>
          </cell>
          <cell r="W56">
            <v>65.433000000000007</v>
          </cell>
          <cell r="X56">
            <v>62.392000000000003</v>
          </cell>
          <cell r="Y56">
            <v>62.25</v>
          </cell>
          <cell r="Z56">
            <v>63.55</v>
          </cell>
          <cell r="AA56">
            <v>66.091999999999999</v>
          </cell>
          <cell r="AB56">
            <v>66.242000000000004</v>
          </cell>
          <cell r="AC56">
            <v>62.957999999999998</v>
          </cell>
          <cell r="AD56">
            <v>54.8</v>
          </cell>
          <cell r="AE56">
            <v>53.2</v>
          </cell>
        </row>
        <row r="57">
          <cell r="K57">
            <v>19.5</v>
          </cell>
          <cell r="L57">
            <v>19.132999999999999</v>
          </cell>
          <cell r="M57">
            <v>20</v>
          </cell>
          <cell r="N57">
            <v>20.399999999999999</v>
          </cell>
          <cell r="O57">
            <v>20.707999999999998</v>
          </cell>
          <cell r="P57">
            <v>21.308</v>
          </cell>
          <cell r="Q57">
            <v>22.007999999999999</v>
          </cell>
          <cell r="R57">
            <v>22.207999999999998</v>
          </cell>
          <cell r="S57">
            <v>22.183</v>
          </cell>
          <cell r="T57">
            <v>22.6</v>
          </cell>
          <cell r="U57">
            <v>22.55</v>
          </cell>
          <cell r="V57">
            <v>21.382999999999999</v>
          </cell>
          <cell r="W57">
            <v>20.016999999999999</v>
          </cell>
          <cell r="X57">
            <v>18.975000000000001</v>
          </cell>
          <cell r="Y57">
            <v>19.167000000000002</v>
          </cell>
          <cell r="Z57">
            <v>19.574999999999999</v>
          </cell>
          <cell r="AA57">
            <v>20.2</v>
          </cell>
          <cell r="AB57">
            <v>20.442</v>
          </cell>
          <cell r="AC57">
            <v>19.917000000000002</v>
          </cell>
          <cell r="AD57">
            <v>17.417000000000002</v>
          </cell>
          <cell r="AE57">
            <v>16.542000000000002</v>
          </cell>
        </row>
        <row r="58">
          <cell r="K58">
            <v>204.15700000000001</v>
          </cell>
          <cell r="L58">
            <v>196.375</v>
          </cell>
          <cell r="M58">
            <v>193.01</v>
          </cell>
          <cell r="N58">
            <v>194.80099999999999</v>
          </cell>
          <cell r="O58">
            <v>202.876</v>
          </cell>
          <cell r="P58">
            <v>210.71700000000001</v>
          </cell>
          <cell r="Q58">
            <v>217.52500000000001</v>
          </cell>
          <cell r="R58">
            <v>226.88200000000001</v>
          </cell>
          <cell r="S58">
            <v>228.47300000000001</v>
          </cell>
          <cell r="T58">
            <v>224.44900000000001</v>
          </cell>
          <cell r="U58">
            <v>225.08199999999999</v>
          </cell>
          <cell r="V58">
            <v>215.715</v>
          </cell>
          <cell r="W58">
            <v>201.59100000000001</v>
          </cell>
          <cell r="X58">
            <v>194.80799999999999</v>
          </cell>
          <cell r="Y58">
            <v>199.892</v>
          </cell>
          <cell r="Z58">
            <v>203.98400000000001</v>
          </cell>
          <cell r="AA58">
            <v>207.45</v>
          </cell>
          <cell r="AB58">
            <v>204.02500000000001</v>
          </cell>
          <cell r="AC58">
            <v>195.083</v>
          </cell>
          <cell r="AD58">
            <v>167.04900000000001</v>
          </cell>
          <cell r="AE58">
            <v>163.9</v>
          </cell>
        </row>
        <row r="59">
          <cell r="K59">
            <v>335.97500000000002</v>
          </cell>
          <cell r="L59">
            <v>328.6</v>
          </cell>
          <cell r="M59">
            <v>325.17500000000001</v>
          </cell>
          <cell r="N59">
            <v>317.25</v>
          </cell>
          <cell r="O59">
            <v>311.733</v>
          </cell>
          <cell r="P59">
            <v>311.30799999999999</v>
          </cell>
          <cell r="Q59">
            <v>324.84199999999998</v>
          </cell>
          <cell r="R59">
            <v>350.40800000000002</v>
          </cell>
          <cell r="S59">
            <v>360.625</v>
          </cell>
          <cell r="T59">
            <v>343.56700000000001</v>
          </cell>
          <cell r="U59">
            <v>331.88299999999998</v>
          </cell>
          <cell r="V59">
            <v>316.05</v>
          </cell>
          <cell r="W59">
            <v>284.94200000000001</v>
          </cell>
          <cell r="X59">
            <v>267.19200000000001</v>
          </cell>
          <cell r="Y59">
            <v>263.72500000000002</v>
          </cell>
          <cell r="Z59">
            <v>272.58300000000003</v>
          </cell>
          <cell r="AA59">
            <v>285.82499999999999</v>
          </cell>
          <cell r="AB59">
            <v>293.21699999999998</v>
          </cell>
          <cell r="AC59">
            <v>291.04199999999997</v>
          </cell>
          <cell r="AD59">
            <v>265.483</v>
          </cell>
          <cell r="AE59">
            <v>258.11700000000002</v>
          </cell>
        </row>
        <row r="60">
          <cell r="K60">
            <v>612.18200000000002</v>
          </cell>
          <cell r="L60">
            <v>599.47500000000002</v>
          </cell>
          <cell r="M60">
            <v>596.06799999999998</v>
          </cell>
          <cell r="N60">
            <v>593.49299999999994</v>
          </cell>
          <cell r="O60">
            <v>598.29999999999995</v>
          </cell>
          <cell r="P60">
            <v>606.44100000000003</v>
          </cell>
          <cell r="Q60">
            <v>630.41699999999992</v>
          </cell>
          <cell r="R60">
            <v>667.76499999999999</v>
          </cell>
          <cell r="S60">
            <v>680.548</v>
          </cell>
          <cell r="T60">
            <v>659.57400000000007</v>
          </cell>
          <cell r="U60">
            <v>649.81500000000005</v>
          </cell>
          <cell r="V60">
            <v>622.14800000000002</v>
          </cell>
          <cell r="W60">
            <v>571.98299999999995</v>
          </cell>
          <cell r="X60">
            <v>543.36699999999996</v>
          </cell>
          <cell r="Y60">
            <v>545.03399999999999</v>
          </cell>
          <cell r="Z60">
            <v>559.69200000000001</v>
          </cell>
          <cell r="AA60">
            <v>579.56700000000001</v>
          </cell>
          <cell r="AB60">
            <v>583.92599999999993</v>
          </cell>
          <cell r="AC60">
            <v>569</v>
          </cell>
          <cell r="AD60">
            <v>504.74900000000002</v>
          </cell>
          <cell r="AE60">
            <v>491.75900000000001</v>
          </cell>
        </row>
        <row r="63">
          <cell r="R63">
            <v>5561</v>
          </cell>
          <cell r="S63">
            <v>5511</v>
          </cell>
          <cell r="T63">
            <v>5838</v>
          </cell>
          <cell r="U63">
            <v>5356</v>
          </cell>
          <cell r="V63">
            <v>5261</v>
          </cell>
          <cell r="W63">
            <v>5442</v>
          </cell>
          <cell r="X63">
            <v>5246</v>
          </cell>
          <cell r="Y63">
            <v>5046</v>
          </cell>
          <cell r="Z63">
            <v>5210</v>
          </cell>
          <cell r="AA63">
            <v>5741</v>
          </cell>
          <cell r="AB63">
            <v>5611</v>
          </cell>
          <cell r="AC63">
            <v>4441</v>
          </cell>
          <cell r="AD63">
            <v>4359</v>
          </cell>
          <cell r="AE63">
            <v>4070</v>
          </cell>
        </row>
        <row r="64">
          <cell r="R64">
            <v>471</v>
          </cell>
          <cell r="S64">
            <v>472</v>
          </cell>
          <cell r="T64">
            <v>532</v>
          </cell>
          <cell r="U64">
            <v>572</v>
          </cell>
          <cell r="V64">
            <v>511</v>
          </cell>
          <cell r="W64">
            <v>1141</v>
          </cell>
          <cell r="X64">
            <v>311</v>
          </cell>
          <cell r="Y64">
            <v>528</v>
          </cell>
          <cell r="Z64">
            <v>686</v>
          </cell>
          <cell r="AA64">
            <v>622</v>
          </cell>
          <cell r="AB64">
            <v>494</v>
          </cell>
          <cell r="AC64">
            <v>528</v>
          </cell>
          <cell r="AD64">
            <v>1</v>
          </cell>
          <cell r="AE64">
            <v>21</v>
          </cell>
        </row>
        <row r="65">
          <cell r="R65">
            <v>20517</v>
          </cell>
          <cell r="S65">
            <v>20752</v>
          </cell>
          <cell r="T65">
            <v>19820</v>
          </cell>
          <cell r="U65">
            <v>18901</v>
          </cell>
          <cell r="V65">
            <v>18107</v>
          </cell>
          <cell r="W65">
            <v>15947</v>
          </cell>
          <cell r="X65">
            <v>16534</v>
          </cell>
          <cell r="Y65">
            <v>15968</v>
          </cell>
          <cell r="Z65">
            <v>14992</v>
          </cell>
          <cell r="AA65">
            <v>14275</v>
          </cell>
          <cell r="AB65">
            <v>13733</v>
          </cell>
          <cell r="AC65">
            <v>14005</v>
          </cell>
          <cell r="AD65">
            <v>13118</v>
          </cell>
          <cell r="AE65">
            <v>11896</v>
          </cell>
        </row>
        <row r="66">
          <cell r="R66">
            <v>16784</v>
          </cell>
          <cell r="S66">
            <v>16968</v>
          </cell>
          <cell r="T66">
            <v>16248</v>
          </cell>
          <cell r="U66">
            <v>15603</v>
          </cell>
          <cell r="V66">
            <v>14433</v>
          </cell>
          <cell r="W66">
            <v>12367</v>
          </cell>
          <cell r="X66">
            <v>11875</v>
          </cell>
          <cell r="Y66">
            <v>11897</v>
          </cell>
          <cell r="Z66">
            <v>12704</v>
          </cell>
          <cell r="AA66">
            <v>13455</v>
          </cell>
          <cell r="AB66">
            <v>14273</v>
          </cell>
          <cell r="AC66">
            <v>14356</v>
          </cell>
          <cell r="AD66">
            <v>12445</v>
          </cell>
          <cell r="AE66">
            <v>12051</v>
          </cell>
        </row>
        <row r="67">
          <cell r="R67">
            <v>14657</v>
          </cell>
          <cell r="S67">
            <v>14498</v>
          </cell>
          <cell r="T67">
            <v>14353</v>
          </cell>
          <cell r="U67">
            <v>13734</v>
          </cell>
          <cell r="V67">
            <v>13209</v>
          </cell>
          <cell r="W67">
            <v>12665</v>
          </cell>
          <cell r="X67">
            <v>12555</v>
          </cell>
          <cell r="Y67">
            <v>12330</v>
          </cell>
          <cell r="Z67">
            <v>11864</v>
          </cell>
          <cell r="AA67">
            <v>12741</v>
          </cell>
          <cell r="AB67">
            <v>11430</v>
          </cell>
          <cell r="AC67">
            <v>12221</v>
          </cell>
          <cell r="AD67">
            <v>12099</v>
          </cell>
          <cell r="AE67">
            <v>11904</v>
          </cell>
        </row>
        <row r="68">
          <cell r="R68">
            <v>64864</v>
          </cell>
          <cell r="S68">
            <v>63666</v>
          </cell>
          <cell r="T68">
            <v>64446</v>
          </cell>
          <cell r="U68">
            <v>64955</v>
          </cell>
          <cell r="V68">
            <v>62868</v>
          </cell>
          <cell r="W68">
            <v>60760</v>
          </cell>
          <cell r="X68">
            <v>60488</v>
          </cell>
          <cell r="Y68">
            <v>59934</v>
          </cell>
          <cell r="Z68">
            <v>58992</v>
          </cell>
          <cell r="AA68">
            <v>59320</v>
          </cell>
          <cell r="AB68">
            <v>62434</v>
          </cell>
          <cell r="AC68">
            <v>62832</v>
          </cell>
          <cell r="AD68">
            <v>62266</v>
          </cell>
          <cell r="AE68">
            <v>62860</v>
          </cell>
        </row>
        <row r="69">
          <cell r="R69">
            <v>26496</v>
          </cell>
          <cell r="S69">
            <v>25874</v>
          </cell>
          <cell r="T69">
            <v>24842</v>
          </cell>
          <cell r="U69">
            <v>25486</v>
          </cell>
          <cell r="V69">
            <v>22660</v>
          </cell>
          <cell r="W69">
            <v>22153</v>
          </cell>
          <cell r="X69">
            <v>22029</v>
          </cell>
          <cell r="Y69">
            <v>22790</v>
          </cell>
          <cell r="Z69">
            <v>23420</v>
          </cell>
          <cell r="AA69">
            <v>23046</v>
          </cell>
          <cell r="AB69">
            <v>21291</v>
          </cell>
          <cell r="AC69">
            <v>19378</v>
          </cell>
          <cell r="AD69">
            <v>15880</v>
          </cell>
          <cell r="AE69">
            <v>15041</v>
          </cell>
        </row>
        <row r="70">
          <cell r="R70">
            <v>12252</v>
          </cell>
          <cell r="S70">
            <v>11657</v>
          </cell>
          <cell r="T70">
            <v>12130</v>
          </cell>
          <cell r="U70">
            <v>12879</v>
          </cell>
          <cell r="V70">
            <v>9662</v>
          </cell>
          <cell r="W70">
            <v>10770</v>
          </cell>
          <cell r="X70">
            <v>7440</v>
          </cell>
          <cell r="Y70">
            <v>10362</v>
          </cell>
          <cell r="Z70">
            <v>10507</v>
          </cell>
          <cell r="AA70">
            <v>9746</v>
          </cell>
          <cell r="AB70">
            <v>9142</v>
          </cell>
          <cell r="AC70">
            <v>8120</v>
          </cell>
          <cell r="AD70">
            <v>6428</v>
          </cell>
          <cell r="AE70">
            <v>6879</v>
          </cell>
        </row>
        <row r="71">
          <cell r="R71">
            <v>38812</v>
          </cell>
          <cell r="S71">
            <v>37565</v>
          </cell>
          <cell r="T71">
            <v>37205</v>
          </cell>
          <cell r="U71">
            <v>34589</v>
          </cell>
          <cell r="V71">
            <v>34285</v>
          </cell>
          <cell r="W71">
            <v>31009</v>
          </cell>
          <cell r="X71">
            <v>32445</v>
          </cell>
          <cell r="Y71">
            <v>30309</v>
          </cell>
          <cell r="Z71">
            <v>31736</v>
          </cell>
          <cell r="AA71">
            <v>33173</v>
          </cell>
          <cell r="AB71">
            <v>31198</v>
          </cell>
          <cell r="AC71">
            <v>26786</v>
          </cell>
          <cell r="AD71">
            <v>19729</v>
          </cell>
          <cell r="AE71">
            <v>18380</v>
          </cell>
        </row>
        <row r="72">
          <cell r="R72">
            <v>11310</v>
          </cell>
          <cell r="S72">
            <v>11351</v>
          </cell>
          <cell r="T72">
            <v>10908</v>
          </cell>
          <cell r="U72">
            <v>11080</v>
          </cell>
          <cell r="V72">
            <v>11527</v>
          </cell>
          <cell r="W72">
            <v>10644</v>
          </cell>
          <cell r="X72">
            <v>10047</v>
          </cell>
          <cell r="Y72">
            <v>9659</v>
          </cell>
          <cell r="Z72">
            <v>9617</v>
          </cell>
          <cell r="AA72">
            <v>9655</v>
          </cell>
          <cell r="AB72">
            <v>10137</v>
          </cell>
          <cell r="AC72">
            <v>10393</v>
          </cell>
          <cell r="AD72">
            <v>10385</v>
          </cell>
          <cell r="AE72">
            <v>10513</v>
          </cell>
        </row>
        <row r="73">
          <cell r="R73">
            <v>55429</v>
          </cell>
          <cell r="S73">
            <v>57601</v>
          </cell>
          <cell r="T73">
            <v>69099</v>
          </cell>
          <cell r="U73">
            <v>73302</v>
          </cell>
          <cell r="V73">
            <v>75464</v>
          </cell>
          <cell r="W73">
            <v>63198</v>
          </cell>
          <cell r="X73">
            <v>53968</v>
          </cell>
          <cell r="Y73">
            <v>53006</v>
          </cell>
          <cell r="Z73">
            <v>54157</v>
          </cell>
          <cell r="AA73">
            <v>56045</v>
          </cell>
          <cell r="AB73">
            <v>53965</v>
          </cell>
          <cell r="AC73">
            <v>50956</v>
          </cell>
          <cell r="AD73">
            <v>45309</v>
          </cell>
          <cell r="AE73">
            <v>44491</v>
          </cell>
        </row>
        <row r="74">
          <cell r="R74">
            <v>1969</v>
          </cell>
          <cell r="S74">
            <v>1920</v>
          </cell>
          <cell r="T74">
            <v>1820</v>
          </cell>
          <cell r="U74">
            <v>1906</v>
          </cell>
          <cell r="V74">
            <v>1506</v>
          </cell>
          <cell r="W74">
            <v>1223</v>
          </cell>
          <cell r="X74">
            <v>844</v>
          </cell>
          <cell r="Y74">
            <v>782</v>
          </cell>
          <cell r="Z74">
            <v>765</v>
          </cell>
          <cell r="AA74">
            <v>714</v>
          </cell>
          <cell r="AB74">
            <v>898</v>
          </cell>
          <cell r="AC74">
            <v>895</v>
          </cell>
          <cell r="AD74">
            <v>1130</v>
          </cell>
          <cell r="AE74">
            <v>1160</v>
          </cell>
        </row>
        <row r="75">
          <cell r="R75">
            <v>41716</v>
          </cell>
          <cell r="S75">
            <v>42787</v>
          </cell>
          <cell r="T75">
            <v>41996</v>
          </cell>
          <cell r="U75">
            <v>42475</v>
          </cell>
          <cell r="V75">
            <v>40521</v>
          </cell>
          <cell r="W75">
            <v>37406</v>
          </cell>
          <cell r="X75">
            <v>36377</v>
          </cell>
          <cell r="Y75">
            <v>38029</v>
          </cell>
          <cell r="Z75">
            <v>40003</v>
          </cell>
          <cell r="AA75">
            <v>41483</v>
          </cell>
          <cell r="AB75">
            <v>43588</v>
          </cell>
          <cell r="AC75">
            <v>44269</v>
          </cell>
          <cell r="AD75">
            <v>37338</v>
          </cell>
          <cell r="AE75">
            <v>36808</v>
          </cell>
        </row>
        <row r="76">
          <cell r="R76">
            <v>136196</v>
          </cell>
          <cell r="S76">
            <v>145117</v>
          </cell>
          <cell r="T76">
            <v>133689</v>
          </cell>
          <cell r="U76">
            <v>120895</v>
          </cell>
          <cell r="V76">
            <v>116259</v>
          </cell>
          <cell r="W76">
            <v>103705</v>
          </cell>
          <cell r="X76">
            <v>94377</v>
          </cell>
          <cell r="Y76">
            <v>92283</v>
          </cell>
          <cell r="Z76">
            <v>99083</v>
          </cell>
          <cell r="AA76">
            <v>109159</v>
          </cell>
          <cell r="AB76">
            <v>114018</v>
          </cell>
          <cell r="AC76">
            <v>113610</v>
          </cell>
          <cell r="AD76">
            <v>104792</v>
          </cell>
          <cell r="AE76">
            <v>102399</v>
          </cell>
        </row>
        <row r="77">
          <cell r="R77">
            <v>4522</v>
          </cell>
          <cell r="S77">
            <v>4417</v>
          </cell>
          <cell r="T77">
            <v>4358</v>
          </cell>
          <cell r="U77">
            <v>4131</v>
          </cell>
          <cell r="V77">
            <v>4143</v>
          </cell>
          <cell r="W77">
            <v>4491</v>
          </cell>
          <cell r="X77">
            <v>4541</v>
          </cell>
          <cell r="Y77">
            <v>3992</v>
          </cell>
          <cell r="Z77">
            <v>3894</v>
          </cell>
          <cell r="AA77">
            <v>3842</v>
          </cell>
          <cell r="AB77">
            <v>3986</v>
          </cell>
          <cell r="AC77">
            <v>4010</v>
          </cell>
          <cell r="AD77">
            <v>3788</v>
          </cell>
          <cell r="AE77">
            <v>3799</v>
          </cell>
        </row>
        <row r="78">
          <cell r="R78">
            <v>7719</v>
          </cell>
          <cell r="S78">
            <v>8266</v>
          </cell>
          <cell r="T78">
            <v>8083</v>
          </cell>
          <cell r="U78">
            <v>6149</v>
          </cell>
          <cell r="V78">
            <v>7395</v>
          </cell>
          <cell r="W78">
            <v>7256</v>
          </cell>
          <cell r="X78">
            <v>3020</v>
          </cell>
          <cell r="Y78">
            <v>2667</v>
          </cell>
          <cell r="Z78">
            <v>3108</v>
          </cell>
          <cell r="AA78">
            <v>3455</v>
          </cell>
          <cell r="AB78">
            <v>3252</v>
          </cell>
          <cell r="AC78">
            <v>2718</v>
          </cell>
          <cell r="AD78">
            <v>2714</v>
          </cell>
          <cell r="AE78">
            <v>3162</v>
          </cell>
        </row>
        <row r="79">
          <cell r="R79">
            <v>415</v>
          </cell>
          <cell r="S79">
            <v>438</v>
          </cell>
          <cell r="T79">
            <v>392</v>
          </cell>
          <cell r="U79">
            <v>289</v>
          </cell>
          <cell r="V79">
            <v>493</v>
          </cell>
          <cell r="W79">
            <v>465</v>
          </cell>
          <cell r="X79">
            <v>484</v>
          </cell>
          <cell r="Y79">
            <v>457</v>
          </cell>
          <cell r="Z79">
            <v>477</v>
          </cell>
          <cell r="AA79">
            <v>441</v>
          </cell>
          <cell r="AB79">
            <v>439</v>
          </cell>
          <cell r="AC79">
            <v>321</v>
          </cell>
          <cell r="AD79">
            <v>363</v>
          </cell>
          <cell r="AE79">
            <v>338</v>
          </cell>
        </row>
        <row r="80">
          <cell r="R80">
            <v>10704</v>
          </cell>
          <cell r="S80">
            <v>11187</v>
          </cell>
          <cell r="T80">
            <v>10829</v>
          </cell>
          <cell r="U80">
            <v>11239</v>
          </cell>
          <cell r="V80">
            <v>10120</v>
          </cell>
          <cell r="W80">
            <v>9916</v>
          </cell>
          <cell r="X80">
            <v>10325</v>
          </cell>
          <cell r="Y80">
            <v>10128</v>
          </cell>
          <cell r="Z80">
            <v>10274</v>
          </cell>
          <cell r="AA80">
            <v>11333</v>
          </cell>
          <cell r="AB80">
            <v>11574</v>
          </cell>
          <cell r="AC80">
            <v>12133</v>
          </cell>
          <cell r="AD80">
            <v>11425</v>
          </cell>
          <cell r="AE80">
            <v>11543</v>
          </cell>
        </row>
        <row r="81">
          <cell r="R81">
            <v>15915</v>
          </cell>
          <cell r="S81">
            <v>16513</v>
          </cell>
          <cell r="T81">
            <v>16722</v>
          </cell>
          <cell r="U81">
            <v>17285</v>
          </cell>
          <cell r="V81">
            <v>16260</v>
          </cell>
          <cell r="W81">
            <v>15733</v>
          </cell>
          <cell r="X81">
            <v>16244</v>
          </cell>
          <cell r="Y81">
            <v>18165</v>
          </cell>
          <cell r="Z81">
            <v>18418</v>
          </cell>
          <cell r="AA81">
            <v>19210</v>
          </cell>
          <cell r="AB81">
            <v>19936</v>
          </cell>
          <cell r="AC81">
            <v>18985</v>
          </cell>
          <cell r="AD81">
            <v>16540</v>
          </cell>
          <cell r="AE81">
            <v>15951</v>
          </cell>
        </row>
        <row r="82">
          <cell r="R82">
            <v>179937</v>
          </cell>
          <cell r="S82">
            <v>182930</v>
          </cell>
          <cell r="T82">
            <v>165785</v>
          </cell>
          <cell r="U82">
            <v>166299</v>
          </cell>
          <cell r="V82">
            <v>158635</v>
          </cell>
          <cell r="W82">
            <v>148754</v>
          </cell>
          <cell r="X82">
            <v>144987</v>
          </cell>
          <cell r="Y82">
            <v>147412</v>
          </cell>
          <cell r="Z82">
            <v>150939</v>
          </cell>
          <cell r="AA82">
            <v>153451</v>
          </cell>
          <cell r="AB82">
            <v>153455</v>
          </cell>
          <cell r="AC82">
            <v>148403</v>
          </cell>
          <cell r="AD82">
            <v>125607</v>
          </cell>
          <cell r="AE82">
            <v>119972</v>
          </cell>
        </row>
        <row r="83">
          <cell r="R83">
            <v>666246</v>
          </cell>
          <cell r="S83">
            <v>679490</v>
          </cell>
          <cell r="T83">
            <v>659095</v>
          </cell>
          <cell r="U83">
            <v>647125</v>
          </cell>
          <cell r="V83">
            <v>623319</v>
          </cell>
          <cell r="W83">
            <v>575045</v>
          </cell>
          <cell r="X83">
            <v>544137</v>
          </cell>
          <cell r="Y83">
            <v>545744</v>
          </cell>
          <cell r="Z83">
            <v>560846</v>
          </cell>
          <cell r="AA83">
            <v>580907</v>
          </cell>
          <cell r="AB83">
            <v>584854</v>
          </cell>
          <cell r="AC83">
            <v>569360</v>
          </cell>
          <cell r="AD83">
            <v>505716</v>
          </cell>
          <cell r="AE83">
            <v>493238</v>
          </cell>
        </row>
        <row r="84">
          <cell r="R84">
            <v>0.99772524765448922</v>
          </cell>
          <cell r="S84">
            <v>0.99844537049554183</v>
          </cell>
          <cell r="T84">
            <v>0.99927377367816184</v>
          </cell>
          <cell r="U84">
            <v>0.99586036025638069</v>
          </cell>
          <cell r="V84">
            <v>1.0018821888039502</v>
          </cell>
          <cell r="W84">
            <v>1.0053533059548974</v>
          </cell>
          <cell r="X84">
            <v>1.0014170901066866</v>
          </cell>
          <cell r="Y84">
            <v>1.0013026710260278</v>
          </cell>
          <cell r="Z84">
            <v>1.0020618483022805</v>
          </cell>
          <cell r="AA84">
            <v>1.002312070908109</v>
          </cell>
          <cell r="AB84">
            <v>1.0015892424725052</v>
          </cell>
          <cell r="AC84">
            <v>1.0006326889279438</v>
          </cell>
          <cell r="AD84">
            <v>1.0019158036964908</v>
          </cell>
          <cell r="AE84">
            <v>1.0030075707816226</v>
          </cell>
        </row>
      </sheetData>
      <sheetData sheetId="11">
        <row r="21">
          <cell r="AB21">
            <v>943682.68088198837</v>
          </cell>
          <cell r="AC21">
            <v>830208.88036835718</v>
          </cell>
          <cell r="AD21">
            <v>753930.23870589386</v>
          </cell>
          <cell r="AE21">
            <v>871080.35247744701</v>
          </cell>
        </row>
        <row r="22">
          <cell r="AB22">
            <v>565159.94287564873</v>
          </cell>
          <cell r="AC22">
            <v>558970.60872925993</v>
          </cell>
          <cell r="AD22">
            <v>572259.98185306403</v>
          </cell>
          <cell r="AE22">
            <v>556708.83725918015</v>
          </cell>
        </row>
        <row r="23">
          <cell r="AB23">
            <v>648754.53580453689</v>
          </cell>
          <cell r="AC23">
            <v>643800.41382252518</v>
          </cell>
          <cell r="AD23">
            <v>507081.04742742633</v>
          </cell>
          <cell r="AE23">
            <v>592950.14079819003</v>
          </cell>
        </row>
        <row r="24">
          <cell r="AB24">
            <v>286936.01310143375</v>
          </cell>
          <cell r="AC24">
            <v>288736.67150064075</v>
          </cell>
          <cell r="AD24">
            <v>274702.99513519771</v>
          </cell>
          <cell r="AE24">
            <v>302553.93400074064</v>
          </cell>
        </row>
        <row r="25">
          <cell r="AB25">
            <v>937394.72117731895</v>
          </cell>
          <cell r="AC25">
            <v>912080.37477960833</v>
          </cell>
          <cell r="AD25">
            <v>794727.87315070676</v>
          </cell>
          <cell r="AE25">
            <v>915980.80462188413</v>
          </cell>
        </row>
        <row r="26">
          <cell r="AB26">
            <v>2058089.550569477</v>
          </cell>
          <cell r="AC26">
            <v>1844519.6631027595</v>
          </cell>
          <cell r="AD26">
            <v>1808370.9297799692</v>
          </cell>
          <cell r="AE26">
            <v>1928192.5544098606</v>
          </cell>
        </row>
        <row r="27">
          <cell r="AB27">
            <v>1554881.3979650601</v>
          </cell>
          <cell r="AC27">
            <v>1634169.8108176619</v>
          </cell>
          <cell r="AD27">
            <v>1759674.7863607961</v>
          </cell>
          <cell r="AE27">
            <v>2076094.7759013497</v>
          </cell>
        </row>
        <row r="28">
          <cell r="AB28">
            <v>63433.426931604743</v>
          </cell>
          <cell r="AC28">
            <v>66425.748379317301</v>
          </cell>
          <cell r="AD28">
            <v>79151.326502888085</v>
          </cell>
          <cell r="AE28">
            <v>85845.446431490171</v>
          </cell>
        </row>
        <row r="29">
          <cell r="AB29">
            <v>190153.07686218477</v>
          </cell>
          <cell r="AC29">
            <v>187038.28744679055</v>
          </cell>
          <cell r="AD29">
            <v>191274.05068698598</v>
          </cell>
          <cell r="AE29">
            <v>191883.99555047645</v>
          </cell>
        </row>
        <row r="30">
          <cell r="AB30">
            <v>3238398.687584531</v>
          </cell>
          <cell r="AC30">
            <v>3213218.0296330545</v>
          </cell>
          <cell r="AD30">
            <v>3135340.9792414741</v>
          </cell>
          <cell r="AE30">
            <v>3367867.7846948942</v>
          </cell>
        </row>
        <row r="31">
          <cell r="AB31">
            <v>3921798.3362258212</v>
          </cell>
          <cell r="AC31">
            <v>3926905.9078965583</v>
          </cell>
          <cell r="AD31">
            <v>3966158.185490815</v>
          </cell>
          <cell r="AE31">
            <v>4341994.2565287473</v>
          </cell>
        </row>
        <row r="32">
          <cell r="AB32">
            <v>31549091.228681069</v>
          </cell>
          <cell r="AC32">
            <v>31194730.502038229</v>
          </cell>
          <cell r="AD32">
            <v>31505102.105258308</v>
          </cell>
          <cell r="AE32">
            <v>33927719.7277923</v>
          </cell>
        </row>
      </sheetData>
      <sheetData sheetId="12">
        <row r="21">
          <cell r="H21">
            <v>25.562876348592489</v>
          </cell>
          <cell r="I21">
            <v>25.698333253680506</v>
          </cell>
          <cell r="J21">
            <v>13.848576325371898</v>
          </cell>
          <cell r="K21">
            <v>28.066991307719697</v>
          </cell>
          <cell r="L21">
            <v>16.117144199118059</v>
          </cell>
          <cell r="M21">
            <v>37.124640142297991</v>
          </cell>
          <cell r="N21">
            <v>24.163570975730682</v>
          </cell>
          <cell r="O21">
            <v>20.725655611245173</v>
          </cell>
          <cell r="P21">
            <v>16.890770559431886</v>
          </cell>
          <cell r="Q21">
            <v>14.204568678363051</v>
          </cell>
          <cell r="R21">
            <v>15.240536736838072</v>
          </cell>
          <cell r="S21">
            <v>43.601175474442854</v>
          </cell>
          <cell r="T21">
            <v>51.34627945462649</v>
          </cell>
          <cell r="U21">
            <v>52.753693876351583</v>
          </cell>
          <cell r="V21">
            <v>49.688014634735822</v>
          </cell>
          <cell r="W21">
            <v>47.389006316911576</v>
          </cell>
          <cell r="X21">
            <v>39.719600078948531</v>
          </cell>
          <cell r="Y21">
            <v>42.946811008193642</v>
          </cell>
          <cell r="Z21">
            <v>42.912847331836325</v>
          </cell>
          <cell r="AA21">
            <v>45.360843253028662</v>
          </cell>
          <cell r="AB21">
            <v>43.780346509804978</v>
          </cell>
          <cell r="AC21">
            <v>37.521853433522573</v>
          </cell>
          <cell r="AD21">
            <v>21.874406648760488</v>
          </cell>
          <cell r="AE21">
            <v>28.568841979826072</v>
          </cell>
        </row>
        <row r="22">
          <cell r="G22">
            <v>148.09067407337858</v>
          </cell>
          <cell r="H22">
            <v>147.57241187782651</v>
          </cell>
          <cell r="I22">
            <v>148.35520903287315</v>
          </cell>
          <cell r="J22">
            <v>165.79860767185517</v>
          </cell>
          <cell r="K22">
            <v>173.03383335582868</v>
          </cell>
          <cell r="L22">
            <v>144.04017279599154</v>
          </cell>
          <cell r="M22">
            <v>167.02077778073459</v>
          </cell>
          <cell r="N22">
            <v>156.95175264438686</v>
          </cell>
          <cell r="O22">
            <v>159.76203940526821</v>
          </cell>
          <cell r="P22">
            <v>160.37081910472003</v>
          </cell>
          <cell r="Q22">
            <v>134.84041862377427</v>
          </cell>
          <cell r="R22">
            <v>144.66695632902375</v>
          </cell>
          <cell r="S22">
            <v>123.14160260115491</v>
          </cell>
          <cell r="T22">
            <v>145.02256658050578</v>
          </cell>
          <cell r="U22">
            <v>148.98487297542223</v>
          </cell>
          <cell r="V22">
            <v>140.3064744760587</v>
          </cell>
          <cell r="W22">
            <v>145.5638815883764</v>
          </cell>
          <cell r="X22">
            <v>115.86372571929033</v>
          </cell>
          <cell r="Y22">
            <v>125.98853086440919</v>
          </cell>
          <cell r="Z22">
            <v>141.5697676064546</v>
          </cell>
          <cell r="AA22">
            <v>139.73676861475923</v>
          </cell>
          <cell r="AB22">
            <v>137.37429289745472</v>
          </cell>
          <cell r="AC22">
            <v>118.55546948593621</v>
          </cell>
          <cell r="AD22">
            <v>121.9097195623316</v>
          </cell>
          <cell r="AE22">
            <v>123.60453687075486</v>
          </cell>
        </row>
        <row r="23">
          <cell r="G23">
            <v>285.87082646496032</v>
          </cell>
          <cell r="H23">
            <v>284.87051536995608</v>
          </cell>
          <cell r="I23">
            <v>286.38156346652335</v>
          </cell>
          <cell r="J23">
            <v>292.12065892251803</v>
          </cell>
          <cell r="K23">
            <v>295.25657380571096</v>
          </cell>
          <cell r="L23">
            <v>273.72255952617945</v>
          </cell>
          <cell r="M23">
            <v>296.99142911960104</v>
          </cell>
          <cell r="N23">
            <v>303.2728886913564</v>
          </cell>
          <cell r="O23">
            <v>305.80805486181697</v>
          </cell>
          <cell r="P23">
            <v>304.02727286374443</v>
          </cell>
          <cell r="Q23">
            <v>255.67266336902762</v>
          </cell>
          <cell r="R23">
            <v>274.31306879249058</v>
          </cell>
          <cell r="S23">
            <v>295.74791991806399</v>
          </cell>
          <cell r="T23">
            <v>348.28133891832391</v>
          </cell>
          <cell r="U23">
            <v>357.82579254635169</v>
          </cell>
          <cell r="V23">
            <v>337.03000536087393</v>
          </cell>
          <cell r="W23">
            <v>341.86317827135667</v>
          </cell>
          <cell r="X23">
            <v>297.0016363582576</v>
          </cell>
          <cell r="Y23">
            <v>256.94850517252331</v>
          </cell>
          <cell r="Z23">
            <v>276.85700974362169</v>
          </cell>
          <cell r="AA23">
            <v>297.90433494381182</v>
          </cell>
          <cell r="AB23">
            <v>295.22513781900727</v>
          </cell>
          <cell r="AC23">
            <v>265.07383573829964</v>
          </cell>
          <cell r="AD23">
            <v>267.25903800414943</v>
          </cell>
          <cell r="AE23">
            <v>299.10375236482099</v>
          </cell>
        </row>
        <row r="24">
          <cell r="G24">
            <v>881.99616063500446</v>
          </cell>
          <cell r="H24">
            <v>878.90990852982929</v>
          </cell>
          <cell r="I24">
            <v>883.57190094139946</v>
          </cell>
          <cell r="J24">
            <v>866.44215822922081</v>
          </cell>
          <cell r="K24">
            <v>964.60788783349199</v>
          </cell>
          <cell r="L24">
            <v>778.40348106905492</v>
          </cell>
          <cell r="M24">
            <v>946.6318819298931</v>
          </cell>
          <cell r="N24">
            <v>832.67224937737035</v>
          </cell>
          <cell r="O24">
            <v>848.63549634990864</v>
          </cell>
          <cell r="P24">
            <v>852.89507384849344</v>
          </cell>
          <cell r="Q24">
            <v>717.22734293522569</v>
          </cell>
          <cell r="R24">
            <v>769.51812330024813</v>
          </cell>
          <cell r="S24">
            <v>804.69619959655552</v>
          </cell>
          <cell r="T24">
            <v>947.64197928500766</v>
          </cell>
          <cell r="U24">
            <v>973.60245291650426</v>
          </cell>
          <cell r="V24">
            <v>917.00158079266578</v>
          </cell>
          <cell r="W24">
            <v>926.19414624671435</v>
          </cell>
          <cell r="X24">
            <v>745.8391027960281</v>
          </cell>
          <cell r="Y24">
            <v>738.15110558736103</v>
          </cell>
          <cell r="Z24">
            <v>819.82857199685373</v>
          </cell>
          <cell r="AA24">
            <v>843.66301387825172</v>
          </cell>
          <cell r="AB24">
            <v>803.24492655162635</v>
          </cell>
          <cell r="AC24">
            <v>728.49965144856913</v>
          </cell>
          <cell r="AD24">
            <v>726.78953384067529</v>
          </cell>
          <cell r="AE24">
            <v>842.12418774695084</v>
          </cell>
        </row>
        <row r="25">
          <cell r="G25">
            <v>1988</v>
          </cell>
          <cell r="H25">
            <v>1989</v>
          </cell>
          <cell r="I25">
            <v>1990</v>
          </cell>
          <cell r="J25">
            <v>1991</v>
          </cell>
          <cell r="K25">
            <v>1992</v>
          </cell>
          <cell r="L25">
            <v>1993</v>
          </cell>
          <cell r="M25">
            <v>1994</v>
          </cell>
          <cell r="N25">
            <v>1995</v>
          </cell>
          <cell r="O25">
            <v>1996</v>
          </cell>
          <cell r="P25">
            <v>1997</v>
          </cell>
          <cell r="Q25">
            <v>1998</v>
          </cell>
          <cell r="R25">
            <v>1999</v>
          </cell>
          <cell r="S25">
            <v>2000</v>
          </cell>
          <cell r="T25">
            <v>2001</v>
          </cell>
          <cell r="U25">
            <v>2002</v>
          </cell>
          <cell r="V25">
            <v>2003</v>
          </cell>
          <cell r="W25">
            <v>2004</v>
          </cell>
          <cell r="X25">
            <v>2005</v>
          </cell>
          <cell r="Y25">
            <v>2006</v>
          </cell>
          <cell r="Z25">
            <v>2007</v>
          </cell>
          <cell r="AA25">
            <v>2008</v>
          </cell>
          <cell r="AB25">
            <v>2009</v>
          </cell>
          <cell r="AC25">
            <v>2010</v>
          </cell>
          <cell r="AD25">
            <v>2011</v>
          </cell>
          <cell r="AE25">
            <v>2012</v>
          </cell>
        </row>
      </sheetData>
      <sheetData sheetId="13">
        <row r="21">
          <cell r="H21">
            <v>25.562876348592493</v>
          </cell>
          <cell r="I21">
            <v>25.698333253680506</v>
          </cell>
          <cell r="J21">
            <v>13.848576325371896</v>
          </cell>
          <cell r="K21">
            <v>28.066991307719693</v>
          </cell>
          <cell r="L21">
            <v>16.117144199118062</v>
          </cell>
          <cell r="M21">
            <v>37.124640142297984</v>
          </cell>
          <cell r="N21">
            <v>24.163570975730682</v>
          </cell>
          <cell r="O21">
            <v>20.725655611245173</v>
          </cell>
          <cell r="P21">
            <v>16.890770559431886</v>
          </cell>
          <cell r="Q21">
            <v>14.204568678363051</v>
          </cell>
          <cell r="R21">
            <v>15.240536736838074</v>
          </cell>
          <cell r="S21">
            <v>43.601175474442854</v>
          </cell>
          <cell r="T21">
            <v>51.34627945462649</v>
          </cell>
          <cell r="U21">
            <v>52.753693876351583</v>
          </cell>
          <cell r="V21">
            <v>49.688014634735815</v>
          </cell>
          <cell r="W21">
            <v>47.389006316911583</v>
          </cell>
          <cell r="X21">
            <v>39.719600078948538</v>
          </cell>
          <cell r="Y21">
            <v>42.946811008193649</v>
          </cell>
          <cell r="Z21">
            <v>42.912847331836332</v>
          </cell>
          <cell r="AA21">
            <v>45.360843253028669</v>
          </cell>
          <cell r="AB21">
            <v>43.780346509804978</v>
          </cell>
          <cell r="AC21">
            <v>37.521853433522573</v>
          </cell>
          <cell r="AD21">
            <v>21.874406648760488</v>
          </cell>
          <cell r="AE21">
            <v>28.568841979826072</v>
          </cell>
        </row>
        <row r="22">
          <cell r="G22">
            <v>148.09067407337858</v>
          </cell>
          <cell r="H22">
            <v>147.57241187782651</v>
          </cell>
          <cell r="I22">
            <v>148.35520903287318</v>
          </cell>
          <cell r="J22">
            <v>165.79860767185514</v>
          </cell>
          <cell r="K22">
            <v>173.03383335582868</v>
          </cell>
          <cell r="L22">
            <v>144.04017279599154</v>
          </cell>
          <cell r="M22">
            <v>167.02077778073456</v>
          </cell>
          <cell r="N22">
            <v>156.95175264438686</v>
          </cell>
          <cell r="O22">
            <v>159.76203940526821</v>
          </cell>
          <cell r="P22">
            <v>160.37081910472</v>
          </cell>
          <cell r="Q22">
            <v>134.84041862377427</v>
          </cell>
          <cell r="R22">
            <v>144.66695632902378</v>
          </cell>
          <cell r="S22">
            <v>123.14160260115491</v>
          </cell>
          <cell r="T22">
            <v>145.02256658050578</v>
          </cell>
          <cell r="U22">
            <v>148.98487297542223</v>
          </cell>
          <cell r="V22">
            <v>140.30647447605867</v>
          </cell>
          <cell r="W22">
            <v>145.56388158837643</v>
          </cell>
          <cell r="X22">
            <v>115.86372571929033</v>
          </cell>
          <cell r="Y22">
            <v>125.98853086440919</v>
          </cell>
          <cell r="Z22">
            <v>141.5697676064546</v>
          </cell>
          <cell r="AA22">
            <v>139.7367686147592</v>
          </cell>
          <cell r="AB22">
            <v>137.37429289745472</v>
          </cell>
          <cell r="AC22">
            <v>118.55546948593621</v>
          </cell>
          <cell r="AD22">
            <v>121.90971956233162</v>
          </cell>
          <cell r="AE22">
            <v>123.60453687075486</v>
          </cell>
        </row>
        <row r="23">
          <cell r="G23">
            <v>285.87082646496026</v>
          </cell>
          <cell r="H23">
            <v>284.87051536995608</v>
          </cell>
          <cell r="I23">
            <v>286.38156346652335</v>
          </cell>
          <cell r="J23">
            <v>292.12065892251798</v>
          </cell>
          <cell r="K23">
            <v>295.2565738057109</v>
          </cell>
          <cell r="L23">
            <v>273.72255952617945</v>
          </cell>
          <cell r="M23">
            <v>296.99142911960104</v>
          </cell>
          <cell r="N23">
            <v>303.27288869135646</v>
          </cell>
          <cell r="O23">
            <v>305.80805486181691</v>
          </cell>
          <cell r="P23">
            <v>304.02727286374443</v>
          </cell>
          <cell r="Q23">
            <v>255.67266336902762</v>
          </cell>
          <cell r="R23">
            <v>274.31306879249058</v>
          </cell>
          <cell r="S23">
            <v>295.74791991806393</v>
          </cell>
          <cell r="T23">
            <v>348.28133891832385</v>
          </cell>
          <cell r="U23">
            <v>357.82579254635169</v>
          </cell>
          <cell r="V23">
            <v>337.03000536087387</v>
          </cell>
          <cell r="W23">
            <v>341.86317827135667</v>
          </cell>
          <cell r="X23">
            <v>297.0016363582576</v>
          </cell>
          <cell r="Y23">
            <v>256.94850517252331</v>
          </cell>
          <cell r="Z23">
            <v>276.85700974362169</v>
          </cell>
          <cell r="AA23">
            <v>297.90433494381182</v>
          </cell>
          <cell r="AB23">
            <v>295.22513781900722</v>
          </cell>
          <cell r="AC23">
            <v>265.07383573829964</v>
          </cell>
          <cell r="AD23">
            <v>267.25903800414949</v>
          </cell>
          <cell r="AE23">
            <v>299.10375236482099</v>
          </cell>
        </row>
        <row r="24">
          <cell r="G24">
            <v>881.99616063500446</v>
          </cell>
          <cell r="H24">
            <v>878.90990852982941</v>
          </cell>
          <cell r="I24">
            <v>883.57190094139935</v>
          </cell>
          <cell r="J24">
            <v>866.44215822922069</v>
          </cell>
          <cell r="K24">
            <v>964.60788783349187</v>
          </cell>
          <cell r="L24">
            <v>778.40348106905492</v>
          </cell>
          <cell r="M24">
            <v>946.6318819298931</v>
          </cell>
          <cell r="N24">
            <v>832.67224937737035</v>
          </cell>
          <cell r="O24">
            <v>848.63549634990864</v>
          </cell>
          <cell r="P24">
            <v>852.89507384849344</v>
          </cell>
          <cell r="Q24">
            <v>717.22734293522569</v>
          </cell>
          <cell r="R24">
            <v>769.51812330024813</v>
          </cell>
          <cell r="S24">
            <v>804.69619959655552</v>
          </cell>
          <cell r="T24">
            <v>947.64197928500778</v>
          </cell>
          <cell r="U24">
            <v>973.60245291650426</v>
          </cell>
          <cell r="V24">
            <v>917.00158079266578</v>
          </cell>
          <cell r="W24">
            <v>926.19414624671447</v>
          </cell>
          <cell r="X24">
            <v>745.8391027960281</v>
          </cell>
          <cell r="Y24">
            <v>738.15110558736103</v>
          </cell>
          <cell r="Z24">
            <v>819.82857199685373</v>
          </cell>
          <cell r="AA24">
            <v>843.66301387825172</v>
          </cell>
          <cell r="AB24">
            <v>803.24492655162635</v>
          </cell>
          <cell r="AC24">
            <v>728.49965144856913</v>
          </cell>
          <cell r="AD24">
            <v>726.78953384067529</v>
          </cell>
          <cell r="AE24">
            <v>842.12418774695072</v>
          </cell>
        </row>
        <row r="25">
          <cell r="G25">
            <v>1988</v>
          </cell>
          <cell r="H25">
            <v>1989</v>
          </cell>
          <cell r="I25">
            <v>1990</v>
          </cell>
          <cell r="J25">
            <v>1991</v>
          </cell>
          <cell r="K25">
            <v>1992</v>
          </cell>
          <cell r="L25">
            <v>1993</v>
          </cell>
          <cell r="M25">
            <v>1994</v>
          </cell>
          <cell r="N25">
            <v>1995</v>
          </cell>
          <cell r="O25">
            <v>1996</v>
          </cell>
          <cell r="P25">
            <v>1997</v>
          </cell>
          <cell r="Q25">
            <v>1998</v>
          </cell>
          <cell r="R25">
            <v>1999</v>
          </cell>
          <cell r="S25">
            <v>2000</v>
          </cell>
          <cell r="T25">
            <v>2001</v>
          </cell>
          <cell r="U25">
            <v>2002</v>
          </cell>
          <cell r="V25">
            <v>2003</v>
          </cell>
          <cell r="W25">
            <v>2004</v>
          </cell>
          <cell r="X25">
            <v>2005</v>
          </cell>
          <cell r="Y25">
            <v>2006</v>
          </cell>
          <cell r="Z25">
            <v>2007</v>
          </cell>
          <cell r="AA25">
            <v>2008</v>
          </cell>
          <cell r="AB25">
            <v>2009</v>
          </cell>
          <cell r="AC25">
            <v>2010</v>
          </cell>
          <cell r="AD25">
            <v>2011</v>
          </cell>
          <cell r="AE25">
            <v>2012</v>
          </cell>
        </row>
        <row r="50">
          <cell r="G50">
            <v>1988</v>
          </cell>
          <cell r="H50">
            <v>1989</v>
          </cell>
          <cell r="I50">
            <v>1990</v>
          </cell>
          <cell r="J50">
            <v>1991</v>
          </cell>
          <cell r="K50">
            <v>1992</v>
          </cell>
          <cell r="L50">
            <v>1993</v>
          </cell>
          <cell r="M50">
            <v>1994</v>
          </cell>
          <cell r="N50">
            <v>1995</v>
          </cell>
          <cell r="O50">
            <v>1996</v>
          </cell>
          <cell r="P50">
            <v>1997</v>
          </cell>
          <cell r="Q50">
            <v>1998</v>
          </cell>
          <cell r="R50">
            <v>1999</v>
          </cell>
          <cell r="S50">
            <v>2000</v>
          </cell>
          <cell r="T50">
            <v>2001</v>
          </cell>
          <cell r="U50">
            <v>2002</v>
          </cell>
          <cell r="V50">
            <v>2003</v>
          </cell>
          <cell r="W50">
            <v>2004</v>
          </cell>
          <cell r="X50">
            <v>2005</v>
          </cell>
          <cell r="Y50">
            <v>2006</v>
          </cell>
          <cell r="Z50">
            <v>2007</v>
          </cell>
          <cell r="AA50">
            <v>2008</v>
          </cell>
          <cell r="AB50">
            <v>2009</v>
          </cell>
          <cell r="AC50">
            <v>2010</v>
          </cell>
          <cell r="AD50">
            <v>2011</v>
          </cell>
          <cell r="AE50">
            <v>2012</v>
          </cell>
        </row>
        <row r="51">
          <cell r="G51">
            <v>422.38208634660771</v>
          </cell>
          <cell r="H51">
            <v>420.90410493345433</v>
          </cell>
          <cell r="I51">
            <v>423.13679518832231</v>
          </cell>
          <cell r="J51">
            <v>394.67431530947567</v>
          </cell>
          <cell r="K51">
            <v>468.25061854804272</v>
          </cell>
          <cell r="L51">
            <v>344.52373444721451</v>
          </cell>
          <cell r="M51">
            <v>445.49503488725958</v>
          </cell>
          <cell r="N51">
            <v>348.28403706589631</v>
          </cell>
          <cell r="O51">
            <v>362.3397594571631</v>
          </cell>
          <cell r="P51">
            <v>371.60622405651606</v>
          </cell>
          <cell r="Q51">
            <v>312.50970489313931</v>
          </cell>
          <cell r="R51">
            <v>335.29757403102366</v>
          </cell>
          <cell r="S51">
            <v>342.2055640259951</v>
          </cell>
          <cell r="T51">
            <v>402.99180686349797</v>
          </cell>
          <cell r="U51">
            <v>414.03797570414213</v>
          </cell>
          <cell r="V51">
            <v>389.97709928167603</v>
          </cell>
          <cell r="W51">
            <v>391.37822136142915</v>
          </cell>
          <cell r="X51">
            <v>293.2540267496567</v>
          </cell>
          <cell r="Y51">
            <v>312.26727082893217</v>
          </cell>
          <cell r="Z51">
            <v>358.48883909919152</v>
          </cell>
          <cell r="AA51">
            <v>360.66110448832524</v>
          </cell>
          <cell r="AB51">
            <v>326.86508800620044</v>
          </cell>
          <cell r="AC51">
            <v>307.34855388727095</v>
          </cell>
          <cell r="AD51">
            <v>315.74630914426245</v>
          </cell>
          <cell r="AE51">
            <v>390.84711724540011</v>
          </cell>
        </row>
        <row r="52">
          <cell r="G52">
            <v>25.652573750057851</v>
          </cell>
          <cell r="H52">
            <v>25.562876348592493</v>
          </cell>
          <cell r="I52">
            <v>25.698333253680506</v>
          </cell>
          <cell r="J52">
            <v>13.848576325371896</v>
          </cell>
          <cell r="K52">
            <v>28.066991307719693</v>
          </cell>
          <cell r="L52">
            <v>16.117144199118062</v>
          </cell>
          <cell r="M52">
            <v>37.124640142297984</v>
          </cell>
          <cell r="N52">
            <v>24.163570975730682</v>
          </cell>
          <cell r="O52">
            <v>20.725655611245173</v>
          </cell>
          <cell r="P52">
            <v>16.890770559431886</v>
          </cell>
          <cell r="Q52">
            <v>14.204568678363051</v>
          </cell>
          <cell r="R52">
            <v>15.240536736838074</v>
          </cell>
          <cell r="S52">
            <v>43.601175474442854</v>
          </cell>
          <cell r="T52">
            <v>51.34627945462649</v>
          </cell>
          <cell r="U52">
            <v>52.753693876351583</v>
          </cell>
          <cell r="V52">
            <v>49.688014634735815</v>
          </cell>
          <cell r="W52">
            <v>47.389006316911583</v>
          </cell>
          <cell r="X52">
            <v>39.719600078948538</v>
          </cell>
          <cell r="Y52">
            <v>42.946811008193649</v>
          </cell>
          <cell r="Z52">
            <v>42.912847331836332</v>
          </cell>
          <cell r="AA52">
            <v>45.360843253028669</v>
          </cell>
          <cell r="AB52">
            <v>43.780346509804978</v>
          </cell>
          <cell r="AC52">
            <v>37.521853433522573</v>
          </cell>
          <cell r="AD52">
            <v>21.874406648760488</v>
          </cell>
          <cell r="AE52">
            <v>28.568841979826072</v>
          </cell>
        </row>
        <row r="53">
          <cell r="G53">
            <v>148.09067407337858</v>
          </cell>
          <cell r="H53">
            <v>147.57241187782651</v>
          </cell>
          <cell r="I53">
            <v>148.35520903287318</v>
          </cell>
          <cell r="J53">
            <v>165.79860767185514</v>
          </cell>
          <cell r="K53">
            <v>173.03383335582868</v>
          </cell>
          <cell r="L53">
            <v>144.04017279599154</v>
          </cell>
          <cell r="M53">
            <v>167.02077778073456</v>
          </cell>
          <cell r="N53">
            <v>156.95175264438686</v>
          </cell>
          <cell r="O53">
            <v>159.76203940526821</v>
          </cell>
          <cell r="P53">
            <v>160.37081910472</v>
          </cell>
          <cell r="Q53">
            <v>134.84041862377427</v>
          </cell>
          <cell r="R53">
            <v>144.66695632902378</v>
          </cell>
          <cell r="S53">
            <v>123.14160260115491</v>
          </cell>
          <cell r="T53">
            <v>145.02256658050578</v>
          </cell>
          <cell r="U53">
            <v>148.98487297542223</v>
          </cell>
          <cell r="V53">
            <v>140.30647447605867</v>
          </cell>
          <cell r="W53">
            <v>145.56388158837643</v>
          </cell>
          <cell r="X53">
            <v>115.86372571929033</v>
          </cell>
          <cell r="Y53">
            <v>125.98853086440919</v>
          </cell>
          <cell r="Z53">
            <v>141.5697676064546</v>
          </cell>
          <cell r="AA53">
            <v>139.7367686147592</v>
          </cell>
          <cell r="AB53">
            <v>137.37429289745472</v>
          </cell>
          <cell r="AC53">
            <v>118.55546948593621</v>
          </cell>
          <cell r="AD53">
            <v>121.90971956233162</v>
          </cell>
          <cell r="AE53">
            <v>123.60453687075486</v>
          </cell>
        </row>
        <row r="54">
          <cell r="G54">
            <v>285.87082646496026</v>
          </cell>
          <cell r="H54">
            <v>284.87051536995608</v>
          </cell>
          <cell r="I54">
            <v>286.38156346652335</v>
          </cell>
          <cell r="J54">
            <v>292.12065892251798</v>
          </cell>
          <cell r="K54">
            <v>295.2565738057109</v>
          </cell>
          <cell r="L54">
            <v>273.72255952617945</v>
          </cell>
          <cell r="M54">
            <v>296.99142911960104</v>
          </cell>
          <cell r="N54">
            <v>303.27288869135646</v>
          </cell>
          <cell r="O54">
            <v>305.80805486181691</v>
          </cell>
          <cell r="P54">
            <v>304.02727286374443</v>
          </cell>
          <cell r="Q54">
            <v>255.67266336902762</v>
          </cell>
          <cell r="R54">
            <v>274.31306879249058</v>
          </cell>
          <cell r="S54">
            <v>295.74791991806393</v>
          </cell>
          <cell r="T54">
            <v>348.28133891832385</v>
          </cell>
          <cell r="U54">
            <v>357.82579254635169</v>
          </cell>
          <cell r="V54">
            <v>337.03000536087387</v>
          </cell>
          <cell r="W54">
            <v>341.86317827135667</v>
          </cell>
          <cell r="X54">
            <v>297.0016363582576</v>
          </cell>
          <cell r="Y54">
            <v>256.94850517252331</v>
          </cell>
          <cell r="Z54">
            <v>276.85700974362169</v>
          </cell>
          <cell r="AA54">
            <v>297.90433494381182</v>
          </cell>
          <cell r="AB54">
            <v>295.22513781900722</v>
          </cell>
          <cell r="AC54">
            <v>265.07383573829964</v>
          </cell>
          <cell r="AD54">
            <v>267.25903800414949</v>
          </cell>
          <cell r="AE54">
            <v>299.10375236482099</v>
          </cell>
        </row>
        <row r="55">
          <cell r="G55">
            <v>881.99616063500446</v>
          </cell>
          <cell r="H55">
            <v>878.90990852982941</v>
          </cell>
          <cell r="I55">
            <v>883.57190094139935</v>
          </cell>
          <cell r="J55">
            <v>866.44215822922069</v>
          </cell>
          <cell r="K55">
            <v>964.60788783349187</v>
          </cell>
          <cell r="L55">
            <v>778.40348106905492</v>
          </cell>
          <cell r="M55">
            <v>946.6318819298931</v>
          </cell>
          <cell r="N55">
            <v>832.67224937737035</v>
          </cell>
          <cell r="O55">
            <v>848.63549634990864</v>
          </cell>
          <cell r="P55">
            <v>852.89507384849344</v>
          </cell>
          <cell r="Q55">
            <v>717.22734293522569</v>
          </cell>
          <cell r="R55">
            <v>769.51812330024813</v>
          </cell>
          <cell r="S55">
            <v>804.69619959655552</v>
          </cell>
          <cell r="T55">
            <v>947.64197928500778</v>
          </cell>
          <cell r="U55">
            <v>973.60245291650426</v>
          </cell>
          <cell r="V55">
            <v>917.00158079266578</v>
          </cell>
          <cell r="W55">
            <v>926.19414624671447</v>
          </cell>
          <cell r="X55">
            <v>745.8391027960281</v>
          </cell>
          <cell r="Y55">
            <v>738.15110558736103</v>
          </cell>
          <cell r="Z55">
            <v>819.82857199685373</v>
          </cell>
          <cell r="AA55">
            <v>843.66301387825172</v>
          </cell>
          <cell r="AB55">
            <v>803.24492655162635</v>
          </cell>
          <cell r="AC55">
            <v>728.49965144856913</v>
          </cell>
          <cell r="AD55">
            <v>726.78953384067529</v>
          </cell>
          <cell r="AE55">
            <v>842.12418774695072</v>
          </cell>
        </row>
      </sheetData>
      <sheetData sheetId="14">
        <row r="21">
          <cell r="H21">
            <v>25.562876348592493</v>
          </cell>
          <cell r="I21">
            <v>25.698333253680506</v>
          </cell>
          <cell r="J21">
            <v>13.848576325371896</v>
          </cell>
          <cell r="K21">
            <v>28.066991307719693</v>
          </cell>
          <cell r="L21">
            <v>16.117144199118062</v>
          </cell>
          <cell r="M21">
            <v>37.124640142297984</v>
          </cell>
          <cell r="N21">
            <v>24.163570975730682</v>
          </cell>
          <cell r="O21">
            <v>20.725655611245173</v>
          </cell>
          <cell r="P21">
            <v>16.890770559431886</v>
          </cell>
          <cell r="Q21">
            <v>14.204568678363051</v>
          </cell>
          <cell r="R21">
            <v>15.240536736838074</v>
          </cell>
          <cell r="S21">
            <v>43.601175474442854</v>
          </cell>
          <cell r="T21">
            <v>51.34627945462649</v>
          </cell>
          <cell r="U21">
            <v>52.753693876351583</v>
          </cell>
          <cell r="V21">
            <v>49.688014634735815</v>
          </cell>
          <cell r="W21">
            <v>47.389006316911583</v>
          </cell>
          <cell r="X21">
            <v>39.719600078948538</v>
          </cell>
          <cell r="Y21">
            <v>42.946811008193649</v>
          </cell>
          <cell r="Z21">
            <v>42.912847331836332</v>
          </cell>
          <cell r="AA21">
            <v>45.360843253028669</v>
          </cell>
          <cell r="AB21">
            <v>43.780346509804978</v>
          </cell>
          <cell r="AC21">
            <v>37.521853433522573</v>
          </cell>
          <cell r="AD21">
            <v>21.874406648760488</v>
          </cell>
          <cell r="AE21">
            <v>28.568841979826072</v>
          </cell>
        </row>
        <row r="22">
          <cell r="G22">
            <v>148.09067407337858</v>
          </cell>
          <cell r="H22">
            <v>147.57241187782651</v>
          </cell>
          <cell r="I22">
            <v>148.35520903287318</v>
          </cell>
          <cell r="J22">
            <v>165.79860767185514</v>
          </cell>
          <cell r="K22">
            <v>173.03383335582868</v>
          </cell>
          <cell r="L22">
            <v>144.04017279599154</v>
          </cell>
          <cell r="M22">
            <v>167.02077778073456</v>
          </cell>
          <cell r="N22">
            <v>156.95175264438686</v>
          </cell>
          <cell r="O22">
            <v>159.76203940526821</v>
          </cell>
          <cell r="P22">
            <v>160.37081910472</v>
          </cell>
          <cell r="Q22">
            <v>134.84041862377427</v>
          </cell>
          <cell r="R22">
            <v>144.66695632902378</v>
          </cell>
          <cell r="S22">
            <v>123.14160260115491</v>
          </cell>
          <cell r="T22">
            <v>145.02256658050578</v>
          </cell>
          <cell r="U22">
            <v>148.98487297542223</v>
          </cell>
          <cell r="V22">
            <v>140.30647447605867</v>
          </cell>
          <cell r="W22">
            <v>145.56388158837643</v>
          </cell>
          <cell r="X22">
            <v>115.86372571929033</v>
          </cell>
          <cell r="Y22">
            <v>125.98853086440919</v>
          </cell>
          <cell r="Z22">
            <v>141.5697676064546</v>
          </cell>
          <cell r="AA22">
            <v>139.7367686147592</v>
          </cell>
          <cell r="AB22">
            <v>137.37429289745472</v>
          </cell>
          <cell r="AC22">
            <v>118.55546948593621</v>
          </cell>
          <cell r="AD22">
            <v>121.90971956233162</v>
          </cell>
          <cell r="AE22">
            <v>123.60453687075486</v>
          </cell>
        </row>
        <row r="23">
          <cell r="G23">
            <v>285.87082646496026</v>
          </cell>
          <cell r="H23">
            <v>284.87051536995608</v>
          </cell>
          <cell r="I23">
            <v>286.38156346652335</v>
          </cell>
          <cell r="J23">
            <v>292.12065892251798</v>
          </cell>
          <cell r="K23">
            <v>295.2565738057109</v>
          </cell>
          <cell r="L23">
            <v>273.72255952617945</v>
          </cell>
          <cell r="M23">
            <v>296.99142911960104</v>
          </cell>
          <cell r="N23">
            <v>303.27288869135646</v>
          </cell>
          <cell r="O23">
            <v>305.80805486181691</v>
          </cell>
          <cell r="P23">
            <v>304.02727286374443</v>
          </cell>
          <cell r="Q23">
            <v>255.67266336902762</v>
          </cell>
          <cell r="R23">
            <v>274.31306879249058</v>
          </cell>
          <cell r="S23">
            <v>295.74791991806393</v>
          </cell>
          <cell r="T23">
            <v>348.28133891832385</v>
          </cell>
          <cell r="U23">
            <v>357.82579254635169</v>
          </cell>
          <cell r="V23">
            <v>337.03000536087387</v>
          </cell>
          <cell r="W23">
            <v>341.86317827135667</v>
          </cell>
          <cell r="X23">
            <v>297.0016363582576</v>
          </cell>
          <cell r="Y23">
            <v>256.94850517252331</v>
          </cell>
          <cell r="Z23">
            <v>276.85700974362169</v>
          </cell>
          <cell r="AA23">
            <v>297.90433494381182</v>
          </cell>
          <cell r="AB23">
            <v>295.22513781900722</v>
          </cell>
          <cell r="AC23">
            <v>265.07383573829964</v>
          </cell>
          <cell r="AD23">
            <v>267.25903800414949</v>
          </cell>
          <cell r="AE23">
            <v>299.10375236482099</v>
          </cell>
        </row>
        <row r="24">
          <cell r="G24">
            <v>881.99616063500446</v>
          </cell>
          <cell r="H24">
            <v>878.90990852982941</v>
          </cell>
          <cell r="I24">
            <v>883.57190094139935</v>
          </cell>
          <cell r="J24">
            <v>866.44215822922069</v>
          </cell>
          <cell r="K24">
            <v>964.60788783349187</v>
          </cell>
          <cell r="L24">
            <v>778.40348106905492</v>
          </cell>
          <cell r="M24">
            <v>946.6318819298931</v>
          </cell>
          <cell r="N24">
            <v>832.67224937737035</v>
          </cell>
          <cell r="O24">
            <v>848.63549634990864</v>
          </cell>
          <cell r="P24">
            <v>852.89507384849344</v>
          </cell>
          <cell r="Q24">
            <v>717.22734293522569</v>
          </cell>
          <cell r="R24">
            <v>769.51812330024813</v>
          </cell>
          <cell r="S24">
            <v>804.69619959655552</v>
          </cell>
          <cell r="T24">
            <v>947.64197928500778</v>
          </cell>
          <cell r="U24">
            <v>973.60245291650426</v>
          </cell>
          <cell r="V24">
            <v>917.00158079266578</v>
          </cell>
          <cell r="W24">
            <v>926.19414624671447</v>
          </cell>
          <cell r="X24">
            <v>745.8391027960281</v>
          </cell>
          <cell r="Y24">
            <v>738.15110558736103</v>
          </cell>
          <cell r="Z24">
            <v>819.82857199685373</v>
          </cell>
          <cell r="AA24">
            <v>843.66301387825172</v>
          </cell>
          <cell r="AB24">
            <v>803.24492655162635</v>
          </cell>
          <cell r="AC24">
            <v>728.49965144856913</v>
          </cell>
          <cell r="AD24">
            <v>726.78953384067529</v>
          </cell>
          <cell r="AE24">
            <v>842.12418774695072</v>
          </cell>
        </row>
        <row r="25">
          <cell r="G25">
            <v>1988</v>
          </cell>
          <cell r="H25">
            <v>1989</v>
          </cell>
          <cell r="I25">
            <v>1990</v>
          </cell>
          <cell r="J25">
            <v>1991</v>
          </cell>
          <cell r="K25">
            <v>1992</v>
          </cell>
          <cell r="L25">
            <v>1993</v>
          </cell>
          <cell r="M25">
            <v>1994</v>
          </cell>
          <cell r="N25">
            <v>1995</v>
          </cell>
          <cell r="O25">
            <v>1996</v>
          </cell>
          <cell r="P25">
            <v>1997</v>
          </cell>
          <cell r="Q25">
            <v>1998</v>
          </cell>
          <cell r="R25">
            <v>1999</v>
          </cell>
          <cell r="S25">
            <v>2000</v>
          </cell>
          <cell r="T25">
            <v>2001</v>
          </cell>
          <cell r="U25">
            <v>2002</v>
          </cell>
          <cell r="V25">
            <v>2003</v>
          </cell>
          <cell r="W25">
            <v>2004</v>
          </cell>
          <cell r="X25">
            <v>2005</v>
          </cell>
          <cell r="Y25">
            <v>2006</v>
          </cell>
          <cell r="Z25">
            <v>2007</v>
          </cell>
          <cell r="AA25">
            <v>2008</v>
          </cell>
          <cell r="AB25">
            <v>2009</v>
          </cell>
          <cell r="AC25">
            <v>2010</v>
          </cell>
          <cell r="AD25">
            <v>2011</v>
          </cell>
          <cell r="AE25">
            <v>2012</v>
          </cell>
        </row>
      </sheetData>
      <sheetData sheetId="15"/>
      <sheetData sheetId="16">
        <row r="5">
          <cell r="B5" t="str">
            <v>Anchor</v>
          </cell>
          <cell r="C5" t="str">
            <v>Abrev</v>
          </cell>
          <cell r="D5" t="str">
            <v>POPULATION FORECAST (1000s)</v>
          </cell>
          <cell r="E5" t="str">
            <v>Scenario</v>
          </cell>
          <cell r="F5">
            <v>1985</v>
          </cell>
          <cell r="G5">
            <v>1986</v>
          </cell>
          <cell r="H5">
            <v>1987</v>
          </cell>
          <cell r="I5">
            <v>1988</v>
          </cell>
          <cell r="J5">
            <v>1989</v>
          </cell>
          <cell r="K5">
            <v>1990</v>
          </cell>
          <cell r="L5">
            <v>1991</v>
          </cell>
          <cell r="M5">
            <v>1992</v>
          </cell>
          <cell r="N5">
            <v>1993</v>
          </cell>
          <cell r="O5">
            <v>1994</v>
          </cell>
          <cell r="P5">
            <v>1995</v>
          </cell>
          <cell r="Q5">
            <v>1996</v>
          </cell>
          <cell r="R5">
            <v>1997</v>
          </cell>
          <cell r="S5">
            <v>1998</v>
          </cell>
          <cell r="T5">
            <v>1999</v>
          </cell>
          <cell r="U5">
            <v>2000</v>
          </cell>
          <cell r="V5">
            <v>2001</v>
          </cell>
          <cell r="W5">
            <v>2002</v>
          </cell>
          <cell r="X5">
            <v>2003</v>
          </cell>
          <cell r="Y5">
            <v>2004</v>
          </cell>
          <cell r="Z5">
            <v>2005</v>
          </cell>
          <cell r="AA5">
            <v>2006</v>
          </cell>
          <cell r="AB5">
            <v>2007</v>
          </cell>
          <cell r="AC5">
            <v>2008</v>
          </cell>
          <cell r="AD5">
            <v>2009</v>
          </cell>
          <cell r="AE5">
            <v>2010</v>
          </cell>
          <cell r="AF5">
            <v>2011</v>
          </cell>
          <cell r="AG5">
            <v>2012</v>
          </cell>
          <cell r="AH5">
            <v>2013</v>
          </cell>
          <cell r="AI5">
            <v>2014</v>
          </cell>
          <cell r="AJ5">
            <v>2015</v>
          </cell>
          <cell r="AK5">
            <v>2016</v>
          </cell>
          <cell r="AL5">
            <v>2017</v>
          </cell>
          <cell r="AM5">
            <v>2018</v>
          </cell>
          <cell r="AN5">
            <v>2019</v>
          </cell>
          <cell r="AO5">
            <v>2020</v>
          </cell>
          <cell r="AP5">
            <v>2021</v>
          </cell>
          <cell r="AQ5">
            <v>2022</v>
          </cell>
          <cell r="AR5">
            <v>2023</v>
          </cell>
          <cell r="AS5">
            <v>2024</v>
          </cell>
          <cell r="AT5">
            <v>2025</v>
          </cell>
          <cell r="AU5">
            <v>2026</v>
          </cell>
          <cell r="AV5">
            <v>2027</v>
          </cell>
          <cell r="AW5">
            <v>2028</v>
          </cell>
          <cell r="AX5">
            <v>2029</v>
          </cell>
          <cell r="AY5">
            <v>2030</v>
          </cell>
          <cell r="AZ5">
            <v>2031</v>
          </cell>
          <cell r="BA5">
            <v>2032</v>
          </cell>
          <cell r="BB5">
            <v>2033</v>
          </cell>
          <cell r="BC5">
            <v>2034</v>
          </cell>
        </row>
        <row r="6">
          <cell r="B6" t="str">
            <v>OrPopStock</v>
          </cell>
          <cell r="C6" t="str">
            <v>Or</v>
          </cell>
          <cell r="D6" t="str">
            <v>Oregon</v>
          </cell>
          <cell r="E6" t="str">
            <v>Trend (basecase)</v>
          </cell>
          <cell r="F6">
            <v>2674.306</v>
          </cell>
          <cell r="G6">
            <v>2686.1149999999998</v>
          </cell>
          <cell r="H6">
            <v>2707.4250000000002</v>
          </cell>
          <cell r="I6">
            <v>2747.9569999999999</v>
          </cell>
          <cell r="J6">
            <v>2800.471</v>
          </cell>
          <cell r="K6">
            <v>2868.6590000000001</v>
          </cell>
          <cell r="L6">
            <v>2935.9960000000001</v>
          </cell>
          <cell r="M6">
            <v>3000.55</v>
          </cell>
          <cell r="N6">
            <v>3067.395</v>
          </cell>
          <cell r="O6">
            <v>3129.1930000000002</v>
          </cell>
          <cell r="P6">
            <v>3192.0929999999998</v>
          </cell>
          <cell r="Q6">
            <v>3253.8310000000001</v>
          </cell>
          <cell r="R6">
            <v>3309.7</v>
          </cell>
          <cell r="S6">
            <v>3357.1759999999999</v>
          </cell>
          <cell r="T6">
            <v>3398.232</v>
          </cell>
          <cell r="U6">
            <v>3434.8069999999998</v>
          </cell>
          <cell r="V6">
            <v>3474.0340000000001</v>
          </cell>
          <cell r="W6">
            <v>3516.915</v>
          </cell>
          <cell r="X6">
            <v>3549.38</v>
          </cell>
          <cell r="Y6">
            <v>3576.2510000000002</v>
          </cell>
          <cell r="Z6">
            <v>3621.221</v>
          </cell>
          <cell r="AA6">
            <v>3676.88</v>
          </cell>
          <cell r="AB6">
            <v>3727.835</v>
          </cell>
          <cell r="AC6">
            <v>3773.288</v>
          </cell>
          <cell r="AD6">
            <v>3811.7179999999998</v>
          </cell>
          <cell r="AE6">
            <v>3841.4360000000001</v>
          </cell>
          <cell r="AF6">
            <v>3871.9769999999999</v>
          </cell>
          <cell r="AG6">
            <v>3903.4650000000001</v>
          </cell>
          <cell r="AH6">
            <v>3934.049</v>
          </cell>
          <cell r="AI6">
            <v>3966.8829999999998</v>
          </cell>
          <cell r="AJ6">
            <v>4002.799</v>
          </cell>
          <cell r="AK6">
            <v>4039.9940000000001</v>
          </cell>
          <cell r="AL6">
            <v>4078.125</v>
          </cell>
          <cell r="AM6">
            <v>4116.6090000000004</v>
          </cell>
          <cell r="AN6">
            <v>4154.674</v>
          </cell>
          <cell r="AO6">
            <v>4192.0780000000004</v>
          </cell>
          <cell r="AP6">
            <v>4228.7430000000004</v>
          </cell>
          <cell r="AQ6">
            <v>4264.6490000000003</v>
          </cell>
          <cell r="AR6">
            <v>4299.7920000000004</v>
          </cell>
          <cell r="AS6">
            <v>4334.1710000000003</v>
          </cell>
          <cell r="AT6">
            <v>4367.7330000000002</v>
          </cell>
          <cell r="AU6">
            <v>4400.4340000000002</v>
          </cell>
          <cell r="AV6">
            <v>4432.5820000000003</v>
          </cell>
          <cell r="AW6">
            <v>4464.3519999999999</v>
          </cell>
          <cell r="AX6">
            <v>4495.7730000000001</v>
          </cell>
          <cell r="AY6">
            <v>4526.8729999999996</v>
          </cell>
          <cell r="AZ6">
            <v>4557.6930000000002</v>
          </cell>
          <cell r="BA6">
            <v>4588.2659999999996</v>
          </cell>
          <cell r="BB6">
            <v>4618.6210000000001</v>
          </cell>
          <cell r="BC6">
            <v>4648.692</v>
          </cell>
        </row>
        <row r="7">
          <cell r="B7" t="str">
            <v>WAPopStock</v>
          </cell>
          <cell r="C7" t="str">
            <v>WA</v>
          </cell>
          <cell r="D7" t="str">
            <v>Washington</v>
          </cell>
          <cell r="E7" t="str">
            <v>Trend (basecase)</v>
          </cell>
          <cell r="F7">
            <v>4406.3850000000002</v>
          </cell>
          <cell r="G7">
            <v>4464.1899999999996</v>
          </cell>
          <cell r="H7">
            <v>4547.0309999999999</v>
          </cell>
          <cell r="I7">
            <v>4652.9070000000002</v>
          </cell>
          <cell r="J7">
            <v>4768.7150000000001</v>
          </cell>
          <cell r="K7">
            <v>4915.9459999999999</v>
          </cell>
          <cell r="L7">
            <v>5043.0330000000004</v>
          </cell>
          <cell r="M7">
            <v>5174.2219999999998</v>
          </cell>
          <cell r="N7">
            <v>5289.3639999999996</v>
          </cell>
          <cell r="O7">
            <v>5388.8370000000004</v>
          </cell>
          <cell r="P7">
            <v>5490.92</v>
          </cell>
          <cell r="Q7">
            <v>5583.7539999999999</v>
          </cell>
          <cell r="R7">
            <v>5685.8310000000001</v>
          </cell>
          <cell r="S7">
            <v>5777.2370000000001</v>
          </cell>
          <cell r="T7">
            <v>5850.9089999999997</v>
          </cell>
          <cell r="U7">
            <v>5920.5039999999999</v>
          </cell>
          <cell r="V7">
            <v>5993.451</v>
          </cell>
          <cell r="W7">
            <v>6057.85</v>
          </cell>
          <cell r="X7">
            <v>6114.7939999999999</v>
          </cell>
          <cell r="Y7">
            <v>6188.66</v>
          </cell>
          <cell r="Z7">
            <v>6273.5249999999996</v>
          </cell>
          <cell r="AA7">
            <v>6380.576</v>
          </cell>
          <cell r="AB7">
            <v>6474.665</v>
          </cell>
          <cell r="AC7">
            <v>6575.5370000000003</v>
          </cell>
          <cell r="AD7">
            <v>6675.0910000000003</v>
          </cell>
          <cell r="AE7">
            <v>6752.683</v>
          </cell>
          <cell r="AF7">
            <v>6830.3310000000001</v>
          </cell>
          <cell r="AG7">
            <v>6904.9059999999999</v>
          </cell>
          <cell r="AH7">
            <v>6981</v>
          </cell>
          <cell r="AI7">
            <v>7058.0010000000002</v>
          </cell>
          <cell r="AJ7">
            <v>7134.8850000000002</v>
          </cell>
          <cell r="AK7">
            <v>7210.4989999999998</v>
          </cell>
          <cell r="AL7">
            <v>7285.5159999999996</v>
          </cell>
          <cell r="AM7">
            <v>7360.0730000000003</v>
          </cell>
          <cell r="AN7">
            <v>7433.7640000000001</v>
          </cell>
          <cell r="AO7">
            <v>7506.3230000000003</v>
          </cell>
          <cell r="AP7">
            <v>7577.2960000000003</v>
          </cell>
          <cell r="AQ7">
            <v>7646.607</v>
          </cell>
          <cell r="AR7">
            <v>7714.268</v>
          </cell>
          <cell r="AS7">
            <v>7780.4369999999999</v>
          </cell>
          <cell r="AT7">
            <v>7845.4889999999996</v>
          </cell>
          <cell r="AU7">
            <v>7909.7030000000004</v>
          </cell>
          <cell r="AV7">
            <v>7973.1719999999996</v>
          </cell>
          <cell r="AW7">
            <v>8035.9170000000004</v>
          </cell>
          <cell r="AX7">
            <v>8097.9880000000003</v>
          </cell>
          <cell r="AY7">
            <v>8159.4440000000004</v>
          </cell>
          <cell r="AZ7">
            <v>8220.3349999999991</v>
          </cell>
          <cell r="BA7">
            <v>8280.7260000000006</v>
          </cell>
          <cell r="BB7">
            <v>8340.6640000000007</v>
          </cell>
          <cell r="BC7">
            <v>8400.2720000000008</v>
          </cell>
        </row>
        <row r="8">
          <cell r="B8" t="str">
            <v>IDPopStock</v>
          </cell>
          <cell r="C8" t="str">
            <v>ID</v>
          </cell>
          <cell r="D8" t="str">
            <v>Idaho</v>
          </cell>
          <cell r="E8" t="str">
            <v>Trend (basecase)</v>
          </cell>
          <cell r="F8">
            <v>993.13199999999995</v>
          </cell>
          <cell r="G8">
            <v>989.48</v>
          </cell>
          <cell r="H8">
            <v>985.447</v>
          </cell>
          <cell r="I8">
            <v>987.25800000000004</v>
          </cell>
          <cell r="J8">
            <v>997.22299999999996</v>
          </cell>
          <cell r="K8">
            <v>1016.634</v>
          </cell>
          <cell r="L8">
            <v>1045.135</v>
          </cell>
          <cell r="M8">
            <v>1076.6510000000001</v>
          </cell>
          <cell r="N8">
            <v>1113.1759999999999</v>
          </cell>
          <cell r="O8">
            <v>1148.825</v>
          </cell>
          <cell r="P8">
            <v>1180.0889999999999</v>
          </cell>
          <cell r="Q8">
            <v>1206.2</v>
          </cell>
          <cell r="R8">
            <v>1231.357</v>
          </cell>
          <cell r="S8">
            <v>1255.1849999999999</v>
          </cell>
          <cell r="T8">
            <v>1278.7760000000001</v>
          </cell>
          <cell r="U8">
            <v>1301.894</v>
          </cell>
          <cell r="V8">
            <v>1322.481</v>
          </cell>
          <cell r="W8">
            <v>1343.3820000000001</v>
          </cell>
          <cell r="X8">
            <v>1367.23</v>
          </cell>
          <cell r="Y8">
            <v>1396.7929999999999</v>
          </cell>
          <cell r="Z8">
            <v>1433.46</v>
          </cell>
          <cell r="AA8">
            <v>1472.8989999999999</v>
          </cell>
          <cell r="AB8">
            <v>1508.2539999999999</v>
          </cell>
          <cell r="AC8">
            <v>1536.239</v>
          </cell>
          <cell r="AD8">
            <v>1556.479</v>
          </cell>
          <cell r="AE8">
            <v>1572.4290000000001</v>
          </cell>
          <cell r="AF8">
            <v>1585.2860000000001</v>
          </cell>
          <cell r="AG8">
            <v>1597.952</v>
          </cell>
          <cell r="AH8">
            <v>1614.3810000000001</v>
          </cell>
          <cell r="AI8">
            <v>1633.1020000000001</v>
          </cell>
          <cell r="AJ8">
            <v>1653.616</v>
          </cell>
          <cell r="AK8">
            <v>1675.2660000000001</v>
          </cell>
          <cell r="AL8">
            <v>1698.1659999999999</v>
          </cell>
          <cell r="AM8">
            <v>1722.0160000000001</v>
          </cell>
          <cell r="AN8">
            <v>1746.183</v>
          </cell>
          <cell r="AO8">
            <v>1770.4179999999999</v>
          </cell>
          <cell r="AP8">
            <v>1794.69</v>
          </cell>
          <cell r="AQ8">
            <v>1818.9970000000001</v>
          </cell>
          <cell r="AR8">
            <v>1843.36</v>
          </cell>
          <cell r="AS8">
            <v>1867.77</v>
          </cell>
          <cell r="AT8">
            <v>1892.2149999999999</v>
          </cell>
          <cell r="AU8">
            <v>1916.6949999999999</v>
          </cell>
          <cell r="AV8">
            <v>1941.2059999999999</v>
          </cell>
          <cell r="AW8">
            <v>1965.741</v>
          </cell>
          <cell r="AX8">
            <v>1990.2360000000001</v>
          </cell>
          <cell r="AY8">
            <v>2014.665</v>
          </cell>
          <cell r="AZ8">
            <v>2039.0309999999999</v>
          </cell>
          <cell r="BA8">
            <v>2063.33</v>
          </cell>
          <cell r="BB8">
            <v>2087.5639999999999</v>
          </cell>
          <cell r="BC8">
            <v>2111.7449999999999</v>
          </cell>
        </row>
        <row r="9">
          <cell r="B9" t="str">
            <v>MTPopStock</v>
          </cell>
          <cell r="C9" t="str">
            <v>MT</v>
          </cell>
          <cell r="D9" t="str">
            <v>Montana</v>
          </cell>
          <cell r="E9" t="str">
            <v>Trend (basecase)</v>
          </cell>
          <cell r="F9">
            <v>820.61699999999996</v>
          </cell>
          <cell r="G9">
            <v>812.64099999999996</v>
          </cell>
          <cell r="H9">
            <v>804.69</v>
          </cell>
          <cell r="I9">
            <v>800.39700000000005</v>
          </cell>
          <cell r="J9">
            <v>799.77599999999995</v>
          </cell>
          <cell r="K9">
            <v>801.93899999999996</v>
          </cell>
          <cell r="L9">
            <v>812.08500000000004</v>
          </cell>
          <cell r="M9">
            <v>828.29399999999998</v>
          </cell>
          <cell r="N9">
            <v>846.649</v>
          </cell>
          <cell r="O9">
            <v>863.10900000000004</v>
          </cell>
          <cell r="P9">
            <v>877.40700000000004</v>
          </cell>
          <cell r="Q9">
            <v>886.32100000000003</v>
          </cell>
          <cell r="R9">
            <v>890.12</v>
          </cell>
          <cell r="S9">
            <v>893.221</v>
          </cell>
          <cell r="T9">
            <v>898.36199999999997</v>
          </cell>
          <cell r="U9">
            <v>903.97699999999998</v>
          </cell>
          <cell r="V9">
            <v>907.64300000000003</v>
          </cell>
          <cell r="W9">
            <v>912.86199999999997</v>
          </cell>
          <cell r="X9">
            <v>921.07</v>
          </cell>
          <cell r="Y9">
            <v>931.24400000000003</v>
          </cell>
          <cell r="Z9">
            <v>941.82</v>
          </cell>
          <cell r="AA9">
            <v>954.14599999999996</v>
          </cell>
          <cell r="AB9">
            <v>966.13900000000001</v>
          </cell>
          <cell r="AC9">
            <v>977.09500000000003</v>
          </cell>
          <cell r="AD9">
            <v>984.86599999999999</v>
          </cell>
          <cell r="AE9">
            <v>991.57600000000002</v>
          </cell>
          <cell r="AF9">
            <v>998.63499999999999</v>
          </cell>
          <cell r="AG9">
            <v>1006.807</v>
          </cell>
          <cell r="AH9">
            <v>1016.352</v>
          </cell>
          <cell r="AI9">
            <v>1025.7760000000001</v>
          </cell>
          <cell r="AJ9">
            <v>1034.779</v>
          </cell>
          <cell r="AK9">
            <v>1043.723</v>
          </cell>
          <cell r="AL9">
            <v>1052.69</v>
          </cell>
          <cell r="AM9">
            <v>1061.3920000000001</v>
          </cell>
          <cell r="AN9">
            <v>1069.5709999999999</v>
          </cell>
          <cell r="AO9">
            <v>1077.162</v>
          </cell>
          <cell r="AP9">
            <v>1084.1869999999999</v>
          </cell>
          <cell r="AQ9">
            <v>1090.6420000000001</v>
          </cell>
          <cell r="AR9">
            <v>1096.5219999999999</v>
          </cell>
          <cell r="AS9">
            <v>1101.83</v>
          </cell>
          <cell r="AT9">
            <v>1106.683</v>
          </cell>
          <cell r="AU9">
            <v>1111.384</v>
          </cell>
          <cell r="AV9">
            <v>1115.998</v>
          </cell>
          <cell r="AW9">
            <v>1120.511</v>
          </cell>
          <cell r="AX9">
            <v>1124.9100000000001</v>
          </cell>
          <cell r="AY9">
            <v>1129.1980000000001</v>
          </cell>
          <cell r="AZ9">
            <v>1133.386</v>
          </cell>
          <cell r="BA9">
            <v>1137.4849999999999</v>
          </cell>
          <cell r="BB9">
            <v>1141.509</v>
          </cell>
          <cell r="BC9">
            <v>1145.4690000000001</v>
          </cell>
        </row>
        <row r="10">
          <cell r="B10" t="str">
            <v>RegionPopStock</v>
          </cell>
          <cell r="C10" t="str">
            <v>Region</v>
          </cell>
          <cell r="D10" t="str">
            <v>Region (with WMT only)</v>
          </cell>
          <cell r="E10" t="str">
            <v>Trend (basecase)</v>
          </cell>
          <cell r="F10">
            <v>8541.5746899999995</v>
          </cell>
          <cell r="G10">
            <v>8602.9903699999995</v>
          </cell>
          <cell r="H10">
            <v>8698.5763000000006</v>
          </cell>
          <cell r="I10">
            <v>8844.3482899999999</v>
          </cell>
          <cell r="J10">
            <v>9022.2813200000001</v>
          </cell>
          <cell r="K10">
            <v>9258.3442299999988</v>
          </cell>
          <cell r="L10">
            <v>9487.052450000001</v>
          </cell>
          <cell r="M10">
            <v>9723.550580000001</v>
          </cell>
          <cell r="N10">
            <v>9952.5249299999996</v>
          </cell>
          <cell r="O10">
            <v>10158.827130000001</v>
          </cell>
          <cell r="P10">
            <v>10363.223989999999</v>
          </cell>
          <cell r="Q10">
            <v>10548.98797</v>
          </cell>
          <cell r="R10">
            <v>10734.256399999998</v>
          </cell>
          <cell r="S10">
            <v>10898.733969999999</v>
          </cell>
          <cell r="T10">
            <v>11039.983339999999</v>
          </cell>
          <cell r="U10">
            <v>11172.471890000001</v>
          </cell>
          <cell r="V10">
            <v>11307.32251</v>
          </cell>
          <cell r="W10">
            <v>11438.47834</v>
          </cell>
          <cell r="X10">
            <v>11556.4139</v>
          </cell>
          <cell r="Y10">
            <v>11692.513080000001</v>
          </cell>
          <cell r="Z10">
            <v>11865.043399999999</v>
          </cell>
          <cell r="AA10">
            <v>12074.218219999999</v>
          </cell>
          <cell r="AB10">
            <v>12261.453230000001</v>
          </cell>
          <cell r="AC10">
            <v>12442.00815</v>
          </cell>
          <cell r="AD10">
            <v>12604.661620000001</v>
          </cell>
          <cell r="AE10">
            <v>12731.74632</v>
          </cell>
          <cell r="AF10">
            <v>12856.81595</v>
          </cell>
          <cell r="AG10">
            <v>12980.202989999998</v>
          </cell>
          <cell r="AH10">
            <v>13108.750639999998</v>
          </cell>
          <cell r="AI10">
            <v>13242.678320000001</v>
          </cell>
          <cell r="AJ10">
            <v>13381.124030000001</v>
          </cell>
          <cell r="AK10">
            <v>13520.68111</v>
          </cell>
          <cell r="AL10">
            <v>13661.840299999998</v>
          </cell>
          <cell r="AM10">
            <v>13803.691440000001</v>
          </cell>
          <cell r="AN10">
            <v>13944.276469999999</v>
          </cell>
          <cell r="AO10">
            <v>14082.801340000002</v>
          </cell>
          <cell r="AP10">
            <v>14218.715590000002</v>
          </cell>
          <cell r="AQ10">
            <v>14351.918940000001</v>
          </cell>
          <cell r="AR10">
            <v>14482.437540000003</v>
          </cell>
          <cell r="AS10">
            <v>14610.4211</v>
          </cell>
          <cell r="AT10">
            <v>14736.24631</v>
          </cell>
          <cell r="AU10">
            <v>14860.320880000001</v>
          </cell>
          <cell r="AV10">
            <v>14983.078860000001</v>
          </cell>
          <cell r="AW10">
            <v>15104.70127</v>
          </cell>
          <cell r="AX10">
            <v>15225.195700000002</v>
          </cell>
          <cell r="AY10">
            <v>15344.62486</v>
          </cell>
          <cell r="AZ10">
            <v>15463.089019999998</v>
          </cell>
          <cell r="BA10">
            <v>15580.68845</v>
          </cell>
          <cell r="BB10">
            <v>15697.50913</v>
          </cell>
          <cell r="BC10">
            <v>15813.626329999999</v>
          </cell>
        </row>
      </sheetData>
      <sheetData sheetId="17"/>
      <sheetData sheetId="18">
        <row r="21">
          <cell r="H21" t="str">
            <v>Pos_Rel</v>
          </cell>
          <cell r="I21" t="str">
            <v>ID</v>
          </cell>
        </row>
        <row r="22">
          <cell r="G22">
            <v>2</v>
          </cell>
          <cell r="H22" t="str">
            <v>Within 1 mile</v>
          </cell>
          <cell r="I22">
            <v>3337427414</v>
          </cell>
        </row>
        <row r="23">
          <cell r="G23">
            <v>1</v>
          </cell>
          <cell r="H23" t="str">
            <v>Within 1 mile</v>
          </cell>
          <cell r="I23">
            <v>3342618410</v>
          </cell>
        </row>
        <row r="24">
          <cell r="G24">
            <v>2</v>
          </cell>
          <cell r="H24" t="str">
            <v>Within 1 mile</v>
          </cell>
          <cell r="I24">
            <v>3352749805</v>
          </cell>
        </row>
        <row r="25">
          <cell r="G25">
            <v>2</v>
          </cell>
          <cell r="H25" t="str">
            <v>Not verified to be within 1 mile</v>
          </cell>
          <cell r="I25">
            <v>3349560210</v>
          </cell>
        </row>
        <row r="26">
          <cell r="G26">
            <v>1</v>
          </cell>
          <cell r="H26" t="str">
            <v>Not verified to be within 1 mile</v>
          </cell>
          <cell r="I26">
            <v>3349560228</v>
          </cell>
        </row>
        <row r="27">
          <cell r="G27">
            <v>2</v>
          </cell>
          <cell r="H27" t="str">
            <v>Not verified to be within 1 mile</v>
          </cell>
          <cell r="I27">
            <v>3349560223</v>
          </cell>
        </row>
        <row r="28">
          <cell r="G28">
            <v>1</v>
          </cell>
          <cell r="H28" t="str">
            <v>Within 165 feet</v>
          </cell>
          <cell r="I28">
            <v>3342618062</v>
          </cell>
        </row>
        <row r="29">
          <cell r="G29">
            <v>5</v>
          </cell>
          <cell r="H29" t="str">
            <v>Within 165 feet</v>
          </cell>
          <cell r="I29">
            <v>3349559673</v>
          </cell>
        </row>
        <row r="30">
          <cell r="G30">
            <v>7</v>
          </cell>
          <cell r="H30" t="str">
            <v>Within 165 feet</v>
          </cell>
          <cell r="I30">
            <v>3337405809</v>
          </cell>
        </row>
        <row r="31">
          <cell r="G31">
            <v>4</v>
          </cell>
          <cell r="H31" t="str">
            <v>Within 40 feet</v>
          </cell>
          <cell r="I31">
            <v>3337405811</v>
          </cell>
        </row>
        <row r="32">
          <cell r="G32">
            <v>4</v>
          </cell>
          <cell r="H32" t="str">
            <v>Within 1 mile</v>
          </cell>
          <cell r="I32">
            <v>3337405841</v>
          </cell>
        </row>
        <row r="33">
          <cell r="G33">
            <v>3</v>
          </cell>
          <cell r="H33" t="str">
            <v>Within 165 feet</v>
          </cell>
          <cell r="I33">
            <v>3337405851</v>
          </cell>
        </row>
        <row r="34">
          <cell r="G34">
            <v>1</v>
          </cell>
          <cell r="H34" t="str">
            <v>Within 1 mile</v>
          </cell>
          <cell r="I34">
            <v>3352750258</v>
          </cell>
        </row>
        <row r="35">
          <cell r="G35">
            <v>8</v>
          </cell>
          <cell r="H35" t="str">
            <v>Within 165 feet</v>
          </cell>
          <cell r="I35">
            <v>3337405875</v>
          </cell>
        </row>
        <row r="36">
          <cell r="G36">
            <v>6</v>
          </cell>
          <cell r="H36" t="str">
            <v>Within 165 feet</v>
          </cell>
          <cell r="I36">
            <v>3337405876</v>
          </cell>
        </row>
        <row r="37">
          <cell r="G37">
            <v>2</v>
          </cell>
          <cell r="H37" t="str">
            <v>Within 165 feet</v>
          </cell>
          <cell r="I37">
            <v>3342618042</v>
          </cell>
        </row>
        <row r="38">
          <cell r="G38">
            <v>4</v>
          </cell>
          <cell r="H38" t="str">
            <v>Within 1 mile</v>
          </cell>
          <cell r="I38">
            <v>3365669816</v>
          </cell>
        </row>
        <row r="39">
          <cell r="G39">
            <v>3</v>
          </cell>
          <cell r="H39" t="str">
            <v>Within 40 feet</v>
          </cell>
          <cell r="I39">
            <v>3337405945</v>
          </cell>
        </row>
        <row r="40">
          <cell r="G40">
            <v>2</v>
          </cell>
          <cell r="H40" t="str">
            <v>Within 1 mile</v>
          </cell>
          <cell r="I40">
            <v>3337428205</v>
          </cell>
        </row>
        <row r="41">
          <cell r="G41">
            <v>2</v>
          </cell>
          <cell r="H41" t="str">
            <v>Not Verified to be within 1 mile</v>
          </cell>
          <cell r="I41">
            <v>3342618238</v>
          </cell>
        </row>
        <row r="42">
          <cell r="G42">
            <v>2</v>
          </cell>
          <cell r="H42" t="str">
            <v>Not Verified to be within 1 mile</v>
          </cell>
          <cell r="I42">
            <v>3342618215</v>
          </cell>
        </row>
        <row r="43">
          <cell r="G43">
            <v>3</v>
          </cell>
          <cell r="H43" t="str">
            <v>Within 1 mile</v>
          </cell>
          <cell r="I43">
            <v>3337405994</v>
          </cell>
        </row>
        <row r="44">
          <cell r="G44">
            <v>1</v>
          </cell>
          <cell r="H44" t="str">
            <v>Within 40 feet</v>
          </cell>
          <cell r="I44">
            <v>3349559578</v>
          </cell>
        </row>
        <row r="45">
          <cell r="G45">
            <v>3</v>
          </cell>
          <cell r="H45" t="str">
            <v>Not Verified to be within 1 mile</v>
          </cell>
          <cell r="I45">
            <v>3342618203</v>
          </cell>
        </row>
        <row r="46">
          <cell r="G46">
            <v>8</v>
          </cell>
          <cell r="H46" t="str">
            <v>Within 165 feet</v>
          </cell>
          <cell r="I46">
            <v>3337406029</v>
          </cell>
        </row>
        <row r="47">
          <cell r="G47">
            <v>6</v>
          </cell>
          <cell r="H47" t="str">
            <v>Within 40 feet</v>
          </cell>
          <cell r="I47">
            <v>3337406039</v>
          </cell>
        </row>
        <row r="48">
          <cell r="G48">
            <v>5</v>
          </cell>
          <cell r="H48" t="str">
            <v>Within 40 feet</v>
          </cell>
          <cell r="I48">
            <v>3337427457</v>
          </cell>
        </row>
        <row r="49">
          <cell r="G49">
            <v>3</v>
          </cell>
          <cell r="H49" t="str">
            <v>Within 40 feet</v>
          </cell>
          <cell r="I49">
            <v>3352750139</v>
          </cell>
        </row>
        <row r="50">
          <cell r="G50">
            <v>1</v>
          </cell>
          <cell r="H50" t="str">
            <v>Within 40 feet</v>
          </cell>
          <cell r="I50">
            <v>3352750138</v>
          </cell>
        </row>
        <row r="51">
          <cell r="G51">
            <v>1</v>
          </cell>
          <cell r="H51" t="str">
            <v>Not Verified to be within 1 mile</v>
          </cell>
          <cell r="I51">
            <v>3342618050</v>
          </cell>
        </row>
        <row r="52">
          <cell r="G52">
            <v>5</v>
          </cell>
          <cell r="H52" t="str">
            <v>Within 165 feet</v>
          </cell>
          <cell r="I52">
            <v>3337406065</v>
          </cell>
        </row>
        <row r="53">
          <cell r="G53">
            <v>1</v>
          </cell>
          <cell r="H53" t="str">
            <v>Within 1 mile</v>
          </cell>
          <cell r="I53">
            <v>3337406075</v>
          </cell>
        </row>
        <row r="54">
          <cell r="G54">
            <v>4</v>
          </cell>
          <cell r="H54" t="str">
            <v>Within 40 feet</v>
          </cell>
          <cell r="I54">
            <v>3353097876</v>
          </cell>
        </row>
        <row r="55">
          <cell r="G55">
            <v>2</v>
          </cell>
          <cell r="H55" t="str">
            <v>Not Verified to be within 1 mile</v>
          </cell>
          <cell r="I55">
            <v>3342618108</v>
          </cell>
        </row>
        <row r="56">
          <cell r="G56">
            <v>5</v>
          </cell>
          <cell r="H56" t="str">
            <v>Within 1 mile</v>
          </cell>
          <cell r="I56">
            <v>3337406092</v>
          </cell>
        </row>
        <row r="57">
          <cell r="G57">
            <v>4</v>
          </cell>
          <cell r="H57" t="str">
            <v>Within 40 feet</v>
          </cell>
          <cell r="I57">
            <v>3349559515</v>
          </cell>
        </row>
        <row r="58">
          <cell r="G58">
            <v>3</v>
          </cell>
          <cell r="H58" t="str">
            <v>Within 40 feet</v>
          </cell>
          <cell r="I58">
            <v>3337406222</v>
          </cell>
        </row>
        <row r="59">
          <cell r="G59">
            <v>1</v>
          </cell>
          <cell r="H59" t="str">
            <v>Within 40 feet</v>
          </cell>
          <cell r="I59">
            <v>3349559567</v>
          </cell>
        </row>
        <row r="60">
          <cell r="G60">
            <v>3</v>
          </cell>
          <cell r="H60" t="str">
            <v>Not verified to be within 1 mile</v>
          </cell>
          <cell r="I60">
            <v>3337406235</v>
          </cell>
        </row>
        <row r="61">
          <cell r="G61">
            <v>3</v>
          </cell>
          <cell r="H61" t="str">
            <v>Not Verified to be within 1 mile</v>
          </cell>
          <cell r="I61">
            <v>3337406236</v>
          </cell>
        </row>
        <row r="62">
          <cell r="G62">
            <v>1</v>
          </cell>
          <cell r="H62" t="str">
            <v>Within 1 mile</v>
          </cell>
          <cell r="I62">
            <v>3337427508</v>
          </cell>
        </row>
        <row r="63">
          <cell r="G63">
            <v>9</v>
          </cell>
          <cell r="H63" t="str">
            <v>Within 40 feet</v>
          </cell>
          <cell r="I63">
            <v>3337406253</v>
          </cell>
        </row>
        <row r="64">
          <cell r="G64">
            <v>1</v>
          </cell>
          <cell r="H64" t="str">
            <v>Not Verified to be within 1 mile</v>
          </cell>
          <cell r="I64">
            <v>3342618167</v>
          </cell>
        </row>
        <row r="65">
          <cell r="G65">
            <v>1</v>
          </cell>
          <cell r="H65" t="str">
            <v>Not Verified to be within 1 mile</v>
          </cell>
          <cell r="I65">
            <v>3342618232</v>
          </cell>
        </row>
        <row r="66">
          <cell r="G66">
            <v>2</v>
          </cell>
          <cell r="H66" t="str">
            <v>Within 40 feet</v>
          </cell>
          <cell r="I66">
            <v>3349559646</v>
          </cell>
        </row>
        <row r="67">
          <cell r="G67">
            <v>2</v>
          </cell>
          <cell r="H67" t="str">
            <v>Within 1 mile</v>
          </cell>
          <cell r="I67">
            <v>3342618182</v>
          </cell>
        </row>
        <row r="68">
          <cell r="G68">
            <v>2</v>
          </cell>
          <cell r="H68" t="str">
            <v>Not Verified to be within 1 mile</v>
          </cell>
          <cell r="I68">
            <v>3337406279</v>
          </cell>
        </row>
        <row r="69">
          <cell r="G69">
            <v>1</v>
          </cell>
          <cell r="H69" t="str">
            <v>Within 40 feet</v>
          </cell>
          <cell r="I69">
            <v>3349559565</v>
          </cell>
        </row>
        <row r="70">
          <cell r="G70">
            <v>3</v>
          </cell>
          <cell r="H70" t="str">
            <v>Within 165 feet</v>
          </cell>
          <cell r="I70">
            <v>3337406291</v>
          </cell>
        </row>
        <row r="71">
          <cell r="G71">
            <v>1</v>
          </cell>
          <cell r="H71" t="str">
            <v>Not Verified to be within 1 mile</v>
          </cell>
          <cell r="I71">
            <v>3342618333</v>
          </cell>
        </row>
        <row r="72">
          <cell r="G72">
            <v>1</v>
          </cell>
          <cell r="H72" t="str">
            <v>Not verified to be within 1 mile</v>
          </cell>
          <cell r="I72">
            <v>3349560041</v>
          </cell>
        </row>
        <row r="73">
          <cell r="G73">
            <v>1</v>
          </cell>
          <cell r="H73" t="str">
            <v>Not verified to be within 1 mile</v>
          </cell>
          <cell r="I73">
            <v>3349560331</v>
          </cell>
        </row>
        <row r="74">
          <cell r="G74">
            <v>2</v>
          </cell>
          <cell r="H74" t="str">
            <v>Within 1 mile</v>
          </cell>
          <cell r="I74">
            <v>3342618130</v>
          </cell>
        </row>
        <row r="75">
          <cell r="G75">
            <v>4</v>
          </cell>
          <cell r="H75" t="str">
            <v>Within 165 feet</v>
          </cell>
          <cell r="I75">
            <v>3353098108</v>
          </cell>
        </row>
        <row r="76">
          <cell r="G76">
            <v>2</v>
          </cell>
          <cell r="H76" t="str">
            <v>Within 40 feet</v>
          </cell>
          <cell r="I76">
            <v>3337406325</v>
          </cell>
        </row>
        <row r="77">
          <cell r="G77">
            <v>2</v>
          </cell>
          <cell r="H77" t="str">
            <v>Within 165 feet</v>
          </cell>
          <cell r="I77">
            <v>3337406328</v>
          </cell>
        </row>
        <row r="78">
          <cell r="G78">
            <v>4</v>
          </cell>
          <cell r="H78" t="str">
            <v>Within 165 feet</v>
          </cell>
          <cell r="I78">
            <v>3349559676</v>
          </cell>
        </row>
        <row r="79">
          <cell r="G79">
            <v>5</v>
          </cell>
          <cell r="H79" t="str">
            <v>Not verified to be within 1 mile</v>
          </cell>
          <cell r="I79">
            <v>3349560178</v>
          </cell>
        </row>
        <row r="80">
          <cell r="G80">
            <v>6</v>
          </cell>
          <cell r="H80" t="str">
            <v>Within 165 feet</v>
          </cell>
          <cell r="I80">
            <v>3337406371</v>
          </cell>
        </row>
        <row r="81">
          <cell r="G81">
            <v>2</v>
          </cell>
          <cell r="H81" t="str">
            <v>Within 1 mile</v>
          </cell>
          <cell r="I81">
            <v>3342617827</v>
          </cell>
        </row>
        <row r="82">
          <cell r="G82">
            <v>2</v>
          </cell>
          <cell r="H82" t="str">
            <v>Within 1 mile</v>
          </cell>
          <cell r="I82">
            <v>3337406374</v>
          </cell>
        </row>
        <row r="83">
          <cell r="G83">
            <v>3</v>
          </cell>
          <cell r="H83" t="str">
            <v>Within 1 mile</v>
          </cell>
          <cell r="I83">
            <v>3337428236</v>
          </cell>
        </row>
        <row r="84">
          <cell r="G84">
            <v>2</v>
          </cell>
          <cell r="H84" t="str">
            <v>Within 165 feet</v>
          </cell>
          <cell r="I84">
            <v>3337406412</v>
          </cell>
        </row>
        <row r="85">
          <cell r="G85">
            <v>1</v>
          </cell>
          <cell r="H85" t="str">
            <v>Not verified to be within 1 mile</v>
          </cell>
          <cell r="I85">
            <v>3349560076</v>
          </cell>
        </row>
        <row r="86">
          <cell r="G86">
            <v>2</v>
          </cell>
          <cell r="H86" t="str">
            <v>Not Verified to be within 1 mile</v>
          </cell>
          <cell r="I86">
            <v>3342618126</v>
          </cell>
        </row>
        <row r="87">
          <cell r="G87">
            <v>1</v>
          </cell>
          <cell r="H87" t="str">
            <v>Not Verified to be within 1 mile</v>
          </cell>
          <cell r="I87">
            <v>3342618089</v>
          </cell>
        </row>
        <row r="88">
          <cell r="G88">
            <v>2</v>
          </cell>
          <cell r="H88" t="str">
            <v>Within 165 feet</v>
          </cell>
          <cell r="I88">
            <v>3352749992</v>
          </cell>
        </row>
        <row r="89">
          <cell r="G89">
            <v>1</v>
          </cell>
          <cell r="H89" t="str">
            <v>Within 165 feet</v>
          </cell>
          <cell r="I89">
            <v>3338290484</v>
          </cell>
        </row>
        <row r="90">
          <cell r="G90">
            <v>1</v>
          </cell>
          <cell r="H90" t="str">
            <v>Not Verified to be within 1 mile</v>
          </cell>
          <cell r="I90">
            <v>3342618281</v>
          </cell>
        </row>
        <row r="91">
          <cell r="G91">
            <v>3</v>
          </cell>
          <cell r="H91" t="str">
            <v>Within 40 feet</v>
          </cell>
          <cell r="I91">
            <v>3337406568</v>
          </cell>
        </row>
        <row r="92">
          <cell r="G92">
            <v>2</v>
          </cell>
          <cell r="H92" t="str">
            <v>Within 1 mile</v>
          </cell>
          <cell r="I92">
            <v>3352749896</v>
          </cell>
        </row>
        <row r="93">
          <cell r="G93">
            <v>4</v>
          </cell>
          <cell r="H93" t="str">
            <v>Within 165 feet</v>
          </cell>
          <cell r="I93">
            <v>3337406590</v>
          </cell>
        </row>
        <row r="94">
          <cell r="G94">
            <v>4</v>
          </cell>
          <cell r="H94" t="str">
            <v>Within 40 feet</v>
          </cell>
          <cell r="I94">
            <v>3337406602</v>
          </cell>
        </row>
        <row r="95">
          <cell r="G95">
            <v>2</v>
          </cell>
          <cell r="H95" t="str">
            <v>Within 1 mile</v>
          </cell>
          <cell r="I95">
            <v>3352749982</v>
          </cell>
        </row>
        <row r="96">
          <cell r="G96">
            <v>1</v>
          </cell>
          <cell r="H96" t="str">
            <v>Not Verified to be within 1 mile</v>
          </cell>
          <cell r="I96">
            <v>3337406632</v>
          </cell>
        </row>
        <row r="97">
          <cell r="G97">
            <v>3</v>
          </cell>
          <cell r="H97" t="str">
            <v>Within 165 feet</v>
          </cell>
          <cell r="I97">
            <v>3337406649</v>
          </cell>
        </row>
        <row r="98">
          <cell r="G98">
            <v>2</v>
          </cell>
          <cell r="H98" t="str">
            <v>Not verified to be within 1 mile</v>
          </cell>
          <cell r="I98">
            <v>3349559693</v>
          </cell>
        </row>
        <row r="99">
          <cell r="G99">
            <v>2</v>
          </cell>
          <cell r="H99" t="str">
            <v>Within 1 mile</v>
          </cell>
          <cell r="I99">
            <v>3353097619</v>
          </cell>
        </row>
        <row r="100">
          <cell r="G100">
            <v>2</v>
          </cell>
          <cell r="H100" t="str">
            <v>Not verified to be within 1 mile</v>
          </cell>
          <cell r="I100">
            <v>3349559868</v>
          </cell>
        </row>
        <row r="101">
          <cell r="G101">
            <v>1</v>
          </cell>
          <cell r="H101" t="str">
            <v>Within 1 mile</v>
          </cell>
          <cell r="I101">
            <v>3342618366</v>
          </cell>
        </row>
        <row r="102">
          <cell r="G102">
            <v>3</v>
          </cell>
          <cell r="H102" t="str">
            <v>Not verified to be within 1 mile</v>
          </cell>
          <cell r="I102">
            <v>3349560078</v>
          </cell>
        </row>
        <row r="103">
          <cell r="G103">
            <v>4</v>
          </cell>
          <cell r="H103" t="str">
            <v>Within 1 mile</v>
          </cell>
          <cell r="I103">
            <v>3337406789</v>
          </cell>
        </row>
        <row r="104">
          <cell r="G104">
            <v>3</v>
          </cell>
          <cell r="H104" t="str">
            <v>Within 1 mile</v>
          </cell>
          <cell r="I104">
            <v>3337406795</v>
          </cell>
        </row>
        <row r="105">
          <cell r="G105">
            <v>2</v>
          </cell>
          <cell r="H105" t="str">
            <v>Within 1 mile</v>
          </cell>
          <cell r="I105">
            <v>3337406808</v>
          </cell>
        </row>
        <row r="106">
          <cell r="G106">
            <v>4</v>
          </cell>
          <cell r="H106" t="str">
            <v>Within 1 mile</v>
          </cell>
          <cell r="I106">
            <v>3337406818</v>
          </cell>
        </row>
        <row r="107">
          <cell r="G107">
            <v>0</v>
          </cell>
          <cell r="H107" t="str">
            <v>Within 165 feet</v>
          </cell>
          <cell r="I107">
            <v>3337406821</v>
          </cell>
        </row>
        <row r="108">
          <cell r="G108">
            <v>0</v>
          </cell>
          <cell r="H108" t="str">
            <v>Within 1 mile</v>
          </cell>
          <cell r="I108">
            <v>3337406822</v>
          </cell>
        </row>
        <row r="109">
          <cell r="G109">
            <v>2</v>
          </cell>
          <cell r="H109" t="str">
            <v>Within 1 mile</v>
          </cell>
          <cell r="I109">
            <v>3352749976</v>
          </cell>
        </row>
        <row r="110">
          <cell r="G110">
            <v>7</v>
          </cell>
          <cell r="H110" t="str">
            <v>Within 40 feet</v>
          </cell>
          <cell r="I110">
            <v>3337406824</v>
          </cell>
        </row>
        <row r="111">
          <cell r="G111">
            <v>5</v>
          </cell>
          <cell r="H111" t="str">
            <v>Within 1 mile</v>
          </cell>
          <cell r="I111">
            <v>3337406842</v>
          </cell>
        </row>
        <row r="112">
          <cell r="G112">
            <v>3</v>
          </cell>
          <cell r="H112" t="str">
            <v>Within 1 mile</v>
          </cell>
          <cell r="I112">
            <v>3341136911</v>
          </cell>
        </row>
        <row r="113">
          <cell r="G113">
            <v>1</v>
          </cell>
          <cell r="H113" t="str">
            <v>Not Verified to be within 1 mile</v>
          </cell>
          <cell r="I113">
            <v>3342618111</v>
          </cell>
        </row>
        <row r="114">
          <cell r="G114">
            <v>3</v>
          </cell>
          <cell r="H114" t="str">
            <v>Not Verified to be within 1 mile</v>
          </cell>
          <cell r="I114">
            <v>3342618095</v>
          </cell>
        </row>
        <row r="115">
          <cell r="G115">
            <v>5</v>
          </cell>
          <cell r="H115" t="str">
            <v>Within 1 mile</v>
          </cell>
          <cell r="I115">
            <v>3337406867</v>
          </cell>
        </row>
        <row r="116">
          <cell r="G116">
            <v>2</v>
          </cell>
          <cell r="H116" t="str">
            <v>Within 1 mile</v>
          </cell>
          <cell r="I116">
            <v>3337406868</v>
          </cell>
        </row>
        <row r="117">
          <cell r="G117">
            <v>2</v>
          </cell>
          <cell r="H117" t="str">
            <v>Not Verified to be within 1 mile</v>
          </cell>
          <cell r="I117">
            <v>3342618197</v>
          </cell>
        </row>
        <row r="118">
          <cell r="G118">
            <v>2</v>
          </cell>
          <cell r="H118" t="str">
            <v>Within 165 feet</v>
          </cell>
          <cell r="I118">
            <v>3337406880</v>
          </cell>
        </row>
        <row r="119">
          <cell r="G119">
            <v>2</v>
          </cell>
          <cell r="H119" t="str">
            <v>Within 165 feet</v>
          </cell>
          <cell r="I119">
            <v>3349560088</v>
          </cell>
        </row>
        <row r="120">
          <cell r="G120">
            <v>2</v>
          </cell>
          <cell r="H120" t="str">
            <v>Within 1 mile</v>
          </cell>
          <cell r="I120">
            <v>3352750254</v>
          </cell>
        </row>
        <row r="121">
          <cell r="G121">
            <v>2</v>
          </cell>
          <cell r="H121" t="str">
            <v>Within 165 feet</v>
          </cell>
          <cell r="I121">
            <v>3337406994</v>
          </cell>
        </row>
        <row r="122">
          <cell r="G122">
            <v>2</v>
          </cell>
          <cell r="H122" t="str">
            <v>Within 165 feet</v>
          </cell>
          <cell r="I122">
            <v>3337406995</v>
          </cell>
        </row>
        <row r="123">
          <cell r="G123">
            <v>2</v>
          </cell>
          <cell r="H123" t="str">
            <v>Within 165 feet</v>
          </cell>
          <cell r="I123">
            <v>3337407000</v>
          </cell>
        </row>
        <row r="124">
          <cell r="G124">
            <v>1</v>
          </cell>
          <cell r="H124" t="str">
            <v>Within 165 feet</v>
          </cell>
          <cell r="I124">
            <v>3337407041</v>
          </cell>
        </row>
        <row r="125">
          <cell r="G125">
            <v>1</v>
          </cell>
          <cell r="H125" t="str">
            <v>Within 165 feet</v>
          </cell>
          <cell r="I125">
            <v>3349560137</v>
          </cell>
        </row>
        <row r="126">
          <cell r="G126">
            <v>1</v>
          </cell>
          <cell r="H126" t="str">
            <v>Within 1 mile</v>
          </cell>
          <cell r="I126">
            <v>3337428131</v>
          </cell>
        </row>
        <row r="127">
          <cell r="G127">
            <v>15</v>
          </cell>
          <cell r="H127" t="str">
            <v>Within 165 feet</v>
          </cell>
          <cell r="I127">
            <v>3337407067</v>
          </cell>
        </row>
        <row r="128">
          <cell r="G128">
            <v>3</v>
          </cell>
          <cell r="H128" t="str">
            <v>Not verified to be within 1 mile</v>
          </cell>
          <cell r="I128">
            <v>3349559961</v>
          </cell>
        </row>
        <row r="129">
          <cell r="G129">
            <v>2</v>
          </cell>
          <cell r="H129" t="str">
            <v>Within 1 mile</v>
          </cell>
          <cell r="I129">
            <v>3352749859</v>
          </cell>
        </row>
        <row r="130">
          <cell r="G130">
            <v>2</v>
          </cell>
          <cell r="H130" t="str">
            <v>Not verified to be within 1 mile</v>
          </cell>
          <cell r="I130">
            <v>3337407118</v>
          </cell>
        </row>
        <row r="131">
          <cell r="G131">
            <v>1</v>
          </cell>
          <cell r="H131" t="str">
            <v>Within 1 mile</v>
          </cell>
          <cell r="I131">
            <v>3337407116</v>
          </cell>
        </row>
        <row r="132">
          <cell r="G132">
            <v>2</v>
          </cell>
          <cell r="H132" t="str">
            <v>Within 1 mile</v>
          </cell>
          <cell r="I132">
            <v>3352750273</v>
          </cell>
        </row>
        <row r="133">
          <cell r="G133">
            <v>1</v>
          </cell>
          <cell r="H133" t="str">
            <v>Not verified to be within 1 mile</v>
          </cell>
          <cell r="I133">
            <v>3349560072</v>
          </cell>
        </row>
        <row r="134">
          <cell r="G134">
            <v>2</v>
          </cell>
          <cell r="H134" t="str">
            <v>Not verified to be within 1 mile</v>
          </cell>
          <cell r="I134">
            <v>3349559794</v>
          </cell>
        </row>
        <row r="135">
          <cell r="G135">
            <v>4</v>
          </cell>
          <cell r="H135" t="str">
            <v>Within 40 feet</v>
          </cell>
          <cell r="I135">
            <v>3337407138</v>
          </cell>
        </row>
        <row r="136">
          <cell r="G136">
            <v>0</v>
          </cell>
          <cell r="H136" t="str">
            <v>Within 1 mile</v>
          </cell>
          <cell r="I136">
            <v>3352750212</v>
          </cell>
        </row>
        <row r="137">
          <cell r="G137">
            <v>1</v>
          </cell>
          <cell r="H137" t="str">
            <v>Not Verified to be within 1 mile</v>
          </cell>
          <cell r="I137">
            <v>3342618103</v>
          </cell>
        </row>
        <row r="138">
          <cell r="G138">
            <v>6</v>
          </cell>
          <cell r="H138" t="str">
            <v>Within 1 mile</v>
          </cell>
          <cell r="I138">
            <v>3337407183</v>
          </cell>
        </row>
        <row r="139">
          <cell r="G139">
            <v>1</v>
          </cell>
          <cell r="H139" t="str">
            <v>Within 1 mile</v>
          </cell>
          <cell r="I139">
            <v>3337428299</v>
          </cell>
        </row>
        <row r="140">
          <cell r="G140">
            <v>1</v>
          </cell>
          <cell r="H140" t="str">
            <v>Within 165 feet</v>
          </cell>
          <cell r="I140">
            <v>3337407204</v>
          </cell>
        </row>
        <row r="141">
          <cell r="G141">
            <v>4</v>
          </cell>
          <cell r="H141" t="str">
            <v>Within 40 feet</v>
          </cell>
          <cell r="I141">
            <v>3337407237</v>
          </cell>
        </row>
        <row r="142">
          <cell r="G142">
            <v>2</v>
          </cell>
          <cell r="H142" t="str">
            <v>Within 1 mile</v>
          </cell>
          <cell r="I142">
            <v>3337407254</v>
          </cell>
        </row>
        <row r="143">
          <cell r="G143">
            <v>1</v>
          </cell>
          <cell r="H143" t="str">
            <v>Not Verified to be within 1 mile</v>
          </cell>
          <cell r="I143">
            <v>3342618135</v>
          </cell>
        </row>
        <row r="144">
          <cell r="G144">
            <v>17</v>
          </cell>
          <cell r="H144" t="str">
            <v>Within 165 feet</v>
          </cell>
          <cell r="I144">
            <v>3337407277</v>
          </cell>
        </row>
        <row r="145">
          <cell r="G145">
            <v>3</v>
          </cell>
          <cell r="H145" t="str">
            <v>Within 1 mile</v>
          </cell>
          <cell r="I145">
            <v>3337428017</v>
          </cell>
        </row>
        <row r="146">
          <cell r="G146">
            <v>6</v>
          </cell>
          <cell r="H146" t="str">
            <v>Within 165 feet</v>
          </cell>
          <cell r="I146">
            <v>3337407283</v>
          </cell>
        </row>
        <row r="147">
          <cell r="G147">
            <v>2</v>
          </cell>
          <cell r="H147" t="str">
            <v>Not verified to be within 1 mile</v>
          </cell>
          <cell r="I147">
            <v>3349560031</v>
          </cell>
        </row>
        <row r="148">
          <cell r="G148">
            <v>1</v>
          </cell>
          <cell r="H148" t="str">
            <v>Within 1 mile</v>
          </cell>
          <cell r="I148">
            <v>3342617843</v>
          </cell>
        </row>
        <row r="149">
          <cell r="G149">
            <v>8</v>
          </cell>
          <cell r="H149" t="str">
            <v>Within 165 feet</v>
          </cell>
          <cell r="I149">
            <v>3337407300</v>
          </cell>
        </row>
        <row r="150">
          <cell r="G150">
            <v>2</v>
          </cell>
          <cell r="H150" t="str">
            <v>Within 165 feet</v>
          </cell>
          <cell r="I150">
            <v>3337407303</v>
          </cell>
        </row>
        <row r="151">
          <cell r="G151">
            <v>1</v>
          </cell>
          <cell r="H151" t="str">
            <v>Within 165 feet</v>
          </cell>
          <cell r="I151">
            <v>3342618041</v>
          </cell>
        </row>
        <row r="152">
          <cell r="G152">
            <v>1</v>
          </cell>
          <cell r="H152" t="str">
            <v>Within 1 mile</v>
          </cell>
          <cell r="I152">
            <v>3353098092</v>
          </cell>
        </row>
        <row r="153">
          <cell r="G153">
            <v>5</v>
          </cell>
          <cell r="H153" t="str">
            <v>Within 40 feet</v>
          </cell>
          <cell r="I153">
            <v>3353097805</v>
          </cell>
        </row>
        <row r="154">
          <cell r="G154">
            <v>8</v>
          </cell>
          <cell r="H154" t="str">
            <v>Within 40 feet</v>
          </cell>
          <cell r="I154">
            <v>3337430122</v>
          </cell>
        </row>
        <row r="155">
          <cell r="G155">
            <v>2</v>
          </cell>
          <cell r="H155" t="str">
            <v>Within 1 mile</v>
          </cell>
          <cell r="I155">
            <v>3342618390</v>
          </cell>
        </row>
        <row r="156">
          <cell r="G156">
            <v>2</v>
          </cell>
          <cell r="H156" t="str">
            <v>Within 165 feet</v>
          </cell>
          <cell r="I156">
            <v>3342618358</v>
          </cell>
        </row>
        <row r="157">
          <cell r="G157">
            <v>2</v>
          </cell>
          <cell r="H157" t="str">
            <v>Within 165 feet</v>
          </cell>
          <cell r="I157">
            <v>3342618316</v>
          </cell>
        </row>
        <row r="158">
          <cell r="G158">
            <v>1</v>
          </cell>
          <cell r="H158" t="str">
            <v>Within 165 feet</v>
          </cell>
          <cell r="I158">
            <v>3337407432</v>
          </cell>
        </row>
        <row r="159">
          <cell r="G159">
            <v>2</v>
          </cell>
          <cell r="H159" t="str">
            <v>Within 165 feet</v>
          </cell>
          <cell r="I159">
            <v>3342617461</v>
          </cell>
        </row>
        <row r="160">
          <cell r="G160">
            <v>1</v>
          </cell>
          <cell r="H160" t="str">
            <v>Not Verified to be within 1 mile</v>
          </cell>
          <cell r="I160">
            <v>3342618150</v>
          </cell>
        </row>
        <row r="161">
          <cell r="G161">
            <v>3</v>
          </cell>
          <cell r="H161" t="str">
            <v>Not Verified to be within 1 mile</v>
          </cell>
          <cell r="I161">
            <v>3342617892</v>
          </cell>
        </row>
        <row r="162">
          <cell r="G162">
            <v>2</v>
          </cell>
          <cell r="H162" t="str">
            <v>Within 165 feet</v>
          </cell>
          <cell r="I162">
            <v>3337407446</v>
          </cell>
        </row>
        <row r="163">
          <cell r="G163">
            <v>1</v>
          </cell>
          <cell r="H163" t="str">
            <v>Within 1 mile</v>
          </cell>
          <cell r="I163">
            <v>3337407462</v>
          </cell>
        </row>
        <row r="164">
          <cell r="G164">
            <v>10</v>
          </cell>
          <cell r="H164" t="str">
            <v>Within 165 feet</v>
          </cell>
          <cell r="I164">
            <v>3337407478</v>
          </cell>
        </row>
        <row r="165">
          <cell r="G165">
            <v>15</v>
          </cell>
          <cell r="H165" t="str">
            <v>Within 40 feet</v>
          </cell>
          <cell r="I165">
            <v>3337407492</v>
          </cell>
        </row>
        <row r="166">
          <cell r="G166">
            <v>2</v>
          </cell>
          <cell r="H166" t="str">
            <v>Within 1 mile</v>
          </cell>
          <cell r="I166">
            <v>3337407495</v>
          </cell>
        </row>
        <row r="167">
          <cell r="G167">
            <v>4</v>
          </cell>
          <cell r="H167" t="str">
            <v>Within 40 feet</v>
          </cell>
          <cell r="I167">
            <v>3349559549</v>
          </cell>
        </row>
        <row r="168">
          <cell r="G168">
            <v>5</v>
          </cell>
          <cell r="H168" t="str">
            <v>Within 165 feet</v>
          </cell>
          <cell r="I168">
            <v>3337407512</v>
          </cell>
        </row>
        <row r="169">
          <cell r="G169">
            <v>2</v>
          </cell>
          <cell r="H169" t="str">
            <v>Not Verified to be within 1 mile</v>
          </cell>
          <cell r="I169">
            <v>3342618415</v>
          </cell>
        </row>
        <row r="170">
          <cell r="G170">
            <v>3</v>
          </cell>
          <cell r="H170" t="str">
            <v>Within 40 feet</v>
          </cell>
          <cell r="I170">
            <v>3337407551</v>
          </cell>
        </row>
        <row r="171">
          <cell r="G171">
            <v>2</v>
          </cell>
          <cell r="H171" t="str">
            <v>Within 40 feet</v>
          </cell>
          <cell r="I171">
            <v>3353097803</v>
          </cell>
        </row>
        <row r="172">
          <cell r="G172">
            <v>1</v>
          </cell>
          <cell r="H172" t="str">
            <v>Within 165 feet</v>
          </cell>
          <cell r="I172">
            <v>3342618045</v>
          </cell>
        </row>
        <row r="173">
          <cell r="G173">
            <v>3</v>
          </cell>
          <cell r="H173" t="str">
            <v>Within 1 mile</v>
          </cell>
          <cell r="I173">
            <v>3342618189</v>
          </cell>
        </row>
        <row r="174">
          <cell r="G174">
            <v>3</v>
          </cell>
          <cell r="H174" t="str">
            <v>Within 165 feet</v>
          </cell>
          <cell r="I174">
            <v>3349559930</v>
          </cell>
        </row>
        <row r="175">
          <cell r="G175">
            <v>6</v>
          </cell>
          <cell r="H175" t="str">
            <v>Within 1 mile</v>
          </cell>
          <cell r="I175">
            <v>3337407591</v>
          </cell>
        </row>
        <row r="176">
          <cell r="G176">
            <v>2</v>
          </cell>
          <cell r="H176" t="str">
            <v>Within 165 feet</v>
          </cell>
          <cell r="I176">
            <v>3337407592</v>
          </cell>
        </row>
        <row r="177">
          <cell r="G177">
            <v>2</v>
          </cell>
          <cell r="H177" t="str">
            <v>Not Verified to be within 1 mile</v>
          </cell>
          <cell r="I177">
            <v>3342618257</v>
          </cell>
        </row>
        <row r="178">
          <cell r="G178">
            <v>1</v>
          </cell>
          <cell r="H178" t="str">
            <v>Within 1 mile</v>
          </cell>
          <cell r="I178">
            <v>3353097518</v>
          </cell>
        </row>
        <row r="179">
          <cell r="G179">
            <v>2</v>
          </cell>
          <cell r="H179" t="str">
            <v>Within 165 feet</v>
          </cell>
          <cell r="I179">
            <v>3352750017</v>
          </cell>
        </row>
        <row r="180">
          <cell r="G180">
            <v>1</v>
          </cell>
          <cell r="H180" t="str">
            <v>Within 1 mile</v>
          </cell>
          <cell r="I180">
            <v>3337407624</v>
          </cell>
        </row>
        <row r="181">
          <cell r="G181">
            <v>2</v>
          </cell>
          <cell r="H181" t="str">
            <v>Within 165 feet</v>
          </cell>
          <cell r="I181">
            <v>3349559689</v>
          </cell>
        </row>
        <row r="182">
          <cell r="G182">
            <v>1</v>
          </cell>
          <cell r="H182" t="str">
            <v>Not Verified to be within 1 mile</v>
          </cell>
          <cell r="I182">
            <v>3337407636</v>
          </cell>
        </row>
        <row r="183">
          <cell r="G183">
            <v>2</v>
          </cell>
          <cell r="H183" t="str">
            <v>Within 40 feet</v>
          </cell>
          <cell r="I183">
            <v>3352750117</v>
          </cell>
        </row>
        <row r="184">
          <cell r="G184">
            <v>1</v>
          </cell>
          <cell r="H184" t="str">
            <v>Not verified to be within 1 mile</v>
          </cell>
          <cell r="I184">
            <v>3349559951</v>
          </cell>
        </row>
        <row r="185">
          <cell r="G185">
            <v>2</v>
          </cell>
          <cell r="H185" t="str">
            <v>Within 165 feet</v>
          </cell>
          <cell r="I185">
            <v>3337407673</v>
          </cell>
        </row>
        <row r="186">
          <cell r="G186">
            <v>2</v>
          </cell>
          <cell r="H186" t="str">
            <v>Within 165 feet</v>
          </cell>
          <cell r="I186">
            <v>3342618421</v>
          </cell>
        </row>
        <row r="187">
          <cell r="G187">
            <v>3</v>
          </cell>
          <cell r="H187" t="str">
            <v>Within 1 mile</v>
          </cell>
          <cell r="I187">
            <v>3337407696</v>
          </cell>
        </row>
        <row r="188">
          <cell r="G188">
            <v>1</v>
          </cell>
          <cell r="H188" t="str">
            <v>Within 1 mile</v>
          </cell>
          <cell r="I188">
            <v>3337407698</v>
          </cell>
        </row>
        <row r="189">
          <cell r="G189">
            <v>2</v>
          </cell>
          <cell r="H189" t="str">
            <v>Within 165 feet</v>
          </cell>
          <cell r="I189">
            <v>3349559674</v>
          </cell>
        </row>
        <row r="190">
          <cell r="G190">
            <v>1</v>
          </cell>
          <cell r="H190" t="str">
            <v>Within 40 feet</v>
          </cell>
          <cell r="I190">
            <v>3349559551</v>
          </cell>
        </row>
        <row r="191">
          <cell r="G191">
            <v>2</v>
          </cell>
          <cell r="H191" t="str">
            <v>Not verified to be within 1 mile</v>
          </cell>
          <cell r="I191">
            <v>3337407717</v>
          </cell>
        </row>
        <row r="192">
          <cell r="G192">
            <v>2</v>
          </cell>
          <cell r="H192" t="str">
            <v>Within 1 mile</v>
          </cell>
          <cell r="I192">
            <v>3352749858</v>
          </cell>
        </row>
        <row r="193">
          <cell r="G193">
            <v>1</v>
          </cell>
          <cell r="H193" t="str">
            <v>Within 1 mile</v>
          </cell>
          <cell r="I193">
            <v>3337428694</v>
          </cell>
        </row>
        <row r="194">
          <cell r="G194">
            <v>34</v>
          </cell>
          <cell r="H194" t="str">
            <v>Within 40 feet</v>
          </cell>
          <cell r="I194">
            <v>3337407745</v>
          </cell>
        </row>
        <row r="195">
          <cell r="G195">
            <v>8</v>
          </cell>
          <cell r="H195" t="str">
            <v>Within 40 feet</v>
          </cell>
          <cell r="I195">
            <v>3352750349</v>
          </cell>
        </row>
        <row r="196">
          <cell r="G196">
            <v>2</v>
          </cell>
          <cell r="H196" t="str">
            <v>Within 165 feet</v>
          </cell>
          <cell r="I196">
            <v>3337428160</v>
          </cell>
        </row>
        <row r="197">
          <cell r="G197">
            <v>1</v>
          </cell>
          <cell r="H197" t="str">
            <v>Not Verified to be within 1 mile</v>
          </cell>
          <cell r="I197">
            <v>3337407749</v>
          </cell>
        </row>
        <row r="198">
          <cell r="G198">
            <v>2</v>
          </cell>
          <cell r="H198" t="str">
            <v>Not Verified to be within 1 mile</v>
          </cell>
          <cell r="I198">
            <v>3337407750</v>
          </cell>
        </row>
        <row r="199">
          <cell r="G199">
            <v>1</v>
          </cell>
          <cell r="H199" t="str">
            <v>Not Verified to be within 1 mile</v>
          </cell>
          <cell r="I199">
            <v>3342618313</v>
          </cell>
        </row>
        <row r="200">
          <cell r="G200">
            <v>1</v>
          </cell>
          <cell r="H200" t="str">
            <v>Within 1 mile</v>
          </cell>
          <cell r="I200">
            <v>3337428335</v>
          </cell>
        </row>
        <row r="201">
          <cell r="G201">
            <v>1</v>
          </cell>
          <cell r="H201" t="str">
            <v>Within 1 mile</v>
          </cell>
          <cell r="I201">
            <v>3342618000</v>
          </cell>
        </row>
        <row r="202">
          <cell r="G202">
            <v>4</v>
          </cell>
          <cell r="H202" t="str">
            <v>Within 165 feet</v>
          </cell>
          <cell r="I202">
            <v>3337407783</v>
          </cell>
        </row>
        <row r="203">
          <cell r="G203">
            <v>3</v>
          </cell>
          <cell r="H203" t="str">
            <v>Within 165 feet</v>
          </cell>
          <cell r="I203">
            <v>3337407785</v>
          </cell>
        </row>
        <row r="204">
          <cell r="G204">
            <v>4</v>
          </cell>
          <cell r="H204" t="str">
            <v>Not Verified to be within 1 mile</v>
          </cell>
          <cell r="I204">
            <v>3342618139</v>
          </cell>
        </row>
        <row r="205">
          <cell r="G205">
            <v>2</v>
          </cell>
          <cell r="H205" t="str">
            <v>Within 1 mile</v>
          </cell>
          <cell r="I205">
            <v>3342618180</v>
          </cell>
        </row>
        <row r="206">
          <cell r="G206">
            <v>4</v>
          </cell>
          <cell r="H206" t="str">
            <v>Not verified to be within 1 mile</v>
          </cell>
          <cell r="I206">
            <v>3349559718</v>
          </cell>
        </row>
        <row r="207">
          <cell r="G207">
            <v>2</v>
          </cell>
          <cell r="H207" t="str">
            <v>Within 1 mile</v>
          </cell>
          <cell r="I207">
            <v>3352750215</v>
          </cell>
        </row>
        <row r="208">
          <cell r="G208">
            <v>1</v>
          </cell>
          <cell r="H208" t="str">
            <v>Within 165 feet</v>
          </cell>
          <cell r="I208">
            <v>3342618263</v>
          </cell>
        </row>
        <row r="209">
          <cell r="G209">
            <v>23</v>
          </cell>
          <cell r="H209" t="str">
            <v>Within 40 feet</v>
          </cell>
          <cell r="I209">
            <v>3337407825</v>
          </cell>
        </row>
        <row r="210">
          <cell r="G210">
            <v>1</v>
          </cell>
          <cell r="H210" t="str">
            <v>Not verified to be within 1 mile</v>
          </cell>
          <cell r="I210">
            <v>3349559962</v>
          </cell>
        </row>
        <row r="211">
          <cell r="G211">
            <v>1</v>
          </cell>
          <cell r="H211" t="str">
            <v>Within 1 mile</v>
          </cell>
          <cell r="I211">
            <v>3337407830</v>
          </cell>
        </row>
        <row r="212">
          <cell r="G212">
            <v>5</v>
          </cell>
          <cell r="H212" t="str">
            <v>Within 40 feet</v>
          </cell>
          <cell r="I212">
            <v>3337407839</v>
          </cell>
        </row>
        <row r="213">
          <cell r="G213">
            <v>1</v>
          </cell>
          <cell r="H213" t="str">
            <v>Not verified to be within 1 mile</v>
          </cell>
          <cell r="I213">
            <v>3349560338</v>
          </cell>
        </row>
        <row r="214">
          <cell r="G214">
            <v>2</v>
          </cell>
          <cell r="H214" t="str">
            <v>Within 165 feet</v>
          </cell>
          <cell r="I214">
            <v>3337407856</v>
          </cell>
        </row>
        <row r="215">
          <cell r="G215">
            <v>3</v>
          </cell>
          <cell r="H215" t="str">
            <v>Within 1 mile</v>
          </cell>
          <cell r="I215">
            <v>3337407871</v>
          </cell>
        </row>
        <row r="216">
          <cell r="G216">
            <v>4</v>
          </cell>
          <cell r="H216" t="str">
            <v>Within 1 mile</v>
          </cell>
          <cell r="I216">
            <v>3337427710</v>
          </cell>
        </row>
        <row r="217">
          <cell r="G217">
            <v>3</v>
          </cell>
          <cell r="H217" t="str">
            <v>Within 165 feet</v>
          </cell>
          <cell r="I217">
            <v>3337407876</v>
          </cell>
        </row>
        <row r="218">
          <cell r="G218">
            <v>2</v>
          </cell>
          <cell r="H218" t="str">
            <v>Within 40 feet</v>
          </cell>
          <cell r="I218">
            <v>3337407878</v>
          </cell>
        </row>
        <row r="219">
          <cell r="G219">
            <v>2</v>
          </cell>
          <cell r="H219" t="str">
            <v>Within 165 feet</v>
          </cell>
          <cell r="I219">
            <v>3349560168</v>
          </cell>
        </row>
        <row r="220">
          <cell r="G220">
            <v>4</v>
          </cell>
          <cell r="H220" t="str">
            <v>Within 165 feet</v>
          </cell>
          <cell r="I220">
            <v>3352750222</v>
          </cell>
        </row>
        <row r="221">
          <cell r="G221">
            <v>3</v>
          </cell>
          <cell r="H221" t="str">
            <v>Within 40 feet</v>
          </cell>
          <cell r="I221">
            <v>3337407899</v>
          </cell>
        </row>
        <row r="222">
          <cell r="G222">
            <v>2</v>
          </cell>
          <cell r="H222" t="str">
            <v>Within 165 feet</v>
          </cell>
          <cell r="I222">
            <v>3338290448</v>
          </cell>
        </row>
        <row r="223">
          <cell r="G223">
            <v>0</v>
          </cell>
          <cell r="H223" t="str">
            <v>Within 40 feet</v>
          </cell>
          <cell r="I223">
            <v>3337407919</v>
          </cell>
        </row>
        <row r="224">
          <cell r="G224">
            <v>2</v>
          </cell>
          <cell r="H224" t="str">
            <v>Within 165 feet</v>
          </cell>
          <cell r="I224">
            <v>3342617952</v>
          </cell>
        </row>
        <row r="225">
          <cell r="G225">
            <v>3</v>
          </cell>
          <cell r="H225" t="str">
            <v>Within 1 mile</v>
          </cell>
          <cell r="I225">
            <v>3337407968</v>
          </cell>
        </row>
        <row r="226">
          <cell r="G226">
            <v>2</v>
          </cell>
          <cell r="H226" t="str">
            <v>Within 165 feet</v>
          </cell>
          <cell r="I226">
            <v>3337407977</v>
          </cell>
        </row>
        <row r="227">
          <cell r="G227">
            <v>1</v>
          </cell>
          <cell r="H227" t="str">
            <v>Not verified to be within 1 mile</v>
          </cell>
          <cell r="I227">
            <v>3349560205</v>
          </cell>
        </row>
        <row r="228">
          <cell r="G228">
            <v>3</v>
          </cell>
          <cell r="H228" t="str">
            <v>Within 165 feet</v>
          </cell>
          <cell r="I228">
            <v>3337407984</v>
          </cell>
        </row>
        <row r="229">
          <cell r="G229">
            <v>11</v>
          </cell>
          <cell r="H229" t="str">
            <v>Within 40 feet</v>
          </cell>
          <cell r="I229">
            <v>3337408001</v>
          </cell>
        </row>
        <row r="230">
          <cell r="G230">
            <v>1</v>
          </cell>
          <cell r="H230" t="str">
            <v>Within 1 mile</v>
          </cell>
          <cell r="I230">
            <v>3337408003</v>
          </cell>
        </row>
        <row r="231">
          <cell r="G231">
            <v>2</v>
          </cell>
          <cell r="H231" t="str">
            <v>Within 40 feet</v>
          </cell>
          <cell r="I231">
            <v>3353097874</v>
          </cell>
        </row>
        <row r="232">
          <cell r="G232">
            <v>6</v>
          </cell>
          <cell r="H232" t="str">
            <v>Within 165 feet</v>
          </cell>
          <cell r="I232">
            <v>3349559970</v>
          </cell>
        </row>
        <row r="233">
          <cell r="G233">
            <v>1</v>
          </cell>
          <cell r="H233" t="str">
            <v>Not verified to be within 1 mile</v>
          </cell>
          <cell r="I233">
            <v>3349559998</v>
          </cell>
        </row>
        <row r="234">
          <cell r="G234">
            <v>2</v>
          </cell>
          <cell r="H234" t="str">
            <v>Within 1 mile</v>
          </cell>
          <cell r="I234">
            <v>3337408026</v>
          </cell>
        </row>
        <row r="235">
          <cell r="G235">
            <v>4</v>
          </cell>
          <cell r="H235" t="str">
            <v>Within 40 feet</v>
          </cell>
          <cell r="I235">
            <v>3337408044</v>
          </cell>
        </row>
        <row r="236">
          <cell r="G236">
            <v>2</v>
          </cell>
          <cell r="H236" t="str">
            <v>Within 165 feet</v>
          </cell>
          <cell r="I236">
            <v>3338155032</v>
          </cell>
        </row>
        <row r="237">
          <cell r="G237">
            <v>2</v>
          </cell>
          <cell r="H237" t="str">
            <v>Within 1 mile</v>
          </cell>
          <cell r="I237">
            <v>3342617832</v>
          </cell>
        </row>
        <row r="238">
          <cell r="G238">
            <v>2</v>
          </cell>
          <cell r="H238" t="str">
            <v>Within 1 mile</v>
          </cell>
          <cell r="I238">
            <v>3352749888</v>
          </cell>
        </row>
        <row r="239">
          <cell r="G239">
            <v>1</v>
          </cell>
          <cell r="H239" t="str">
            <v>Within 1 mile</v>
          </cell>
          <cell r="I239">
            <v>3337428031</v>
          </cell>
        </row>
        <row r="240">
          <cell r="G240">
            <v>12</v>
          </cell>
          <cell r="H240" t="str">
            <v>Within 40 feet</v>
          </cell>
          <cell r="I240">
            <v>3337408135</v>
          </cell>
        </row>
        <row r="241">
          <cell r="G241">
            <v>3</v>
          </cell>
          <cell r="H241" t="str">
            <v>Within 1 mile</v>
          </cell>
          <cell r="I241">
            <v>3337427407</v>
          </cell>
        </row>
        <row r="242">
          <cell r="G242">
            <v>1</v>
          </cell>
          <cell r="H242" t="str">
            <v>Within 165 feet</v>
          </cell>
          <cell r="I242">
            <v>3337408146</v>
          </cell>
        </row>
        <row r="243">
          <cell r="G243">
            <v>1</v>
          </cell>
          <cell r="H243" t="str">
            <v>Within 40 feet</v>
          </cell>
          <cell r="I243">
            <v>3349559641</v>
          </cell>
        </row>
        <row r="244">
          <cell r="G244">
            <v>1</v>
          </cell>
          <cell r="H244" t="str">
            <v>Within 40 feet</v>
          </cell>
          <cell r="I244">
            <v>3337408167</v>
          </cell>
        </row>
        <row r="245">
          <cell r="G245">
            <v>1</v>
          </cell>
          <cell r="H245" t="str">
            <v>Not verified to be within 1 mile</v>
          </cell>
          <cell r="I245">
            <v>3349559856</v>
          </cell>
        </row>
        <row r="246">
          <cell r="G246">
            <v>2</v>
          </cell>
          <cell r="H246" t="str">
            <v>Within 1 mile</v>
          </cell>
          <cell r="I246">
            <v>3342617895</v>
          </cell>
        </row>
        <row r="247">
          <cell r="G247">
            <v>3</v>
          </cell>
          <cell r="H247" t="str">
            <v>Within 1 mile</v>
          </cell>
          <cell r="I247">
            <v>3337428310</v>
          </cell>
        </row>
        <row r="248">
          <cell r="G248">
            <v>1</v>
          </cell>
          <cell r="H248" t="str">
            <v>Not Verified to be within 1 mile</v>
          </cell>
          <cell r="I248">
            <v>3342618279</v>
          </cell>
        </row>
        <row r="249">
          <cell r="G249">
            <v>3</v>
          </cell>
          <cell r="H249" t="str">
            <v>Not Verified to be within 1 mile</v>
          </cell>
          <cell r="I249">
            <v>3342618204</v>
          </cell>
        </row>
        <row r="250">
          <cell r="G250">
            <v>4</v>
          </cell>
          <cell r="H250" t="str">
            <v>Within 165 feet</v>
          </cell>
          <cell r="I250">
            <v>3337408230</v>
          </cell>
        </row>
        <row r="251">
          <cell r="G251">
            <v>2</v>
          </cell>
          <cell r="H251" t="str">
            <v>Within 1 mile</v>
          </cell>
          <cell r="I251">
            <v>3337428233</v>
          </cell>
        </row>
        <row r="252">
          <cell r="G252">
            <v>1</v>
          </cell>
          <cell r="H252" t="str">
            <v>Within 1 mile</v>
          </cell>
          <cell r="I252">
            <v>3337408235</v>
          </cell>
        </row>
        <row r="253">
          <cell r="G253">
            <v>2</v>
          </cell>
          <cell r="H253" t="str">
            <v>Within 1 mile</v>
          </cell>
          <cell r="I253">
            <v>3342617817</v>
          </cell>
        </row>
        <row r="254">
          <cell r="G254">
            <v>2</v>
          </cell>
          <cell r="H254" t="str">
            <v>Not Verified to be within 1 mile</v>
          </cell>
          <cell r="I254">
            <v>3342618337</v>
          </cell>
        </row>
        <row r="255">
          <cell r="G255">
            <v>1</v>
          </cell>
          <cell r="H255" t="str">
            <v>Within 1 mile</v>
          </cell>
          <cell r="I255">
            <v>3353097795</v>
          </cell>
        </row>
        <row r="256">
          <cell r="G256">
            <v>1</v>
          </cell>
          <cell r="H256" t="str">
            <v>Within 1 mile</v>
          </cell>
          <cell r="I256">
            <v>3337408270</v>
          </cell>
        </row>
        <row r="257">
          <cell r="G257">
            <v>1</v>
          </cell>
          <cell r="H257" t="str">
            <v>Within 1 mile</v>
          </cell>
          <cell r="I257">
            <v>3337408281</v>
          </cell>
        </row>
        <row r="258">
          <cell r="G258">
            <v>1</v>
          </cell>
          <cell r="H258" t="str">
            <v>Not verified to be within 1 mile</v>
          </cell>
          <cell r="I258">
            <v>3349560015</v>
          </cell>
        </row>
        <row r="259">
          <cell r="G259">
            <v>8</v>
          </cell>
          <cell r="H259" t="str">
            <v>Not Verified to be within 1 mile</v>
          </cell>
          <cell r="I259">
            <v>3337408287</v>
          </cell>
        </row>
        <row r="260">
          <cell r="G260">
            <v>2</v>
          </cell>
          <cell r="H260" t="str">
            <v>Not Verified to be within 1 mile</v>
          </cell>
          <cell r="I260">
            <v>3337408295</v>
          </cell>
        </row>
        <row r="261">
          <cell r="G261">
            <v>4</v>
          </cell>
          <cell r="H261" t="str">
            <v>Within 1 mile</v>
          </cell>
          <cell r="I261">
            <v>3337408315</v>
          </cell>
        </row>
        <row r="262">
          <cell r="G262">
            <v>2</v>
          </cell>
          <cell r="H262" t="str">
            <v>Within 1 mile</v>
          </cell>
          <cell r="I262">
            <v>3337408321</v>
          </cell>
        </row>
        <row r="263">
          <cell r="G263">
            <v>2</v>
          </cell>
          <cell r="H263" t="str">
            <v>Within 165 feet</v>
          </cell>
          <cell r="I263">
            <v>3349559761</v>
          </cell>
        </row>
        <row r="264">
          <cell r="G264">
            <v>1</v>
          </cell>
          <cell r="H264" t="str">
            <v>Not verified to be within 1 mile</v>
          </cell>
          <cell r="I264">
            <v>3349559960</v>
          </cell>
        </row>
        <row r="265">
          <cell r="G265">
            <v>2</v>
          </cell>
          <cell r="H265" t="str">
            <v>Not Verified to be within 1 mile</v>
          </cell>
          <cell r="I265">
            <v>3342618283</v>
          </cell>
        </row>
        <row r="266">
          <cell r="G266">
            <v>5</v>
          </cell>
          <cell r="H266" t="str">
            <v>Within 40 feet</v>
          </cell>
          <cell r="I266">
            <v>3349559511</v>
          </cell>
        </row>
        <row r="267">
          <cell r="G267">
            <v>1</v>
          </cell>
          <cell r="H267" t="str">
            <v>Within 1 mile</v>
          </cell>
          <cell r="I267">
            <v>3352749990</v>
          </cell>
        </row>
        <row r="268">
          <cell r="G268">
            <v>3</v>
          </cell>
          <cell r="H268" t="str">
            <v>Not verified to be within 1 mile</v>
          </cell>
          <cell r="I268">
            <v>3337408409</v>
          </cell>
        </row>
        <row r="269">
          <cell r="G269">
            <v>3</v>
          </cell>
          <cell r="H269" t="str">
            <v>Within 1 mile</v>
          </cell>
          <cell r="I269">
            <v>3337408420</v>
          </cell>
        </row>
        <row r="270">
          <cell r="G270">
            <v>4</v>
          </cell>
          <cell r="H270" t="str">
            <v>Within 40 feet</v>
          </cell>
          <cell r="I270">
            <v>3337408422</v>
          </cell>
        </row>
        <row r="271">
          <cell r="G271">
            <v>3</v>
          </cell>
          <cell r="H271" t="str">
            <v>Within 1 mile</v>
          </cell>
          <cell r="I271">
            <v>3337408462</v>
          </cell>
        </row>
        <row r="272">
          <cell r="G272">
            <v>2</v>
          </cell>
          <cell r="H272" t="str">
            <v>Within 1 mile</v>
          </cell>
          <cell r="I272">
            <v>3342618365</v>
          </cell>
        </row>
        <row r="273">
          <cell r="G273">
            <v>11</v>
          </cell>
          <cell r="H273" t="str">
            <v>Within 165 feet</v>
          </cell>
          <cell r="I273">
            <v>3337408470</v>
          </cell>
        </row>
        <row r="274">
          <cell r="G274">
            <v>2</v>
          </cell>
          <cell r="H274" t="str">
            <v>Not Verified to be within 1 mile</v>
          </cell>
          <cell r="I274">
            <v>3342618146</v>
          </cell>
        </row>
        <row r="275">
          <cell r="G275">
            <v>2</v>
          </cell>
          <cell r="H275" t="str">
            <v>Within 1 mile</v>
          </cell>
          <cell r="I275">
            <v>3342618380</v>
          </cell>
        </row>
        <row r="276">
          <cell r="G276">
            <v>4</v>
          </cell>
          <cell r="H276" t="str">
            <v>Within 165 feet</v>
          </cell>
          <cell r="I276">
            <v>3349559763</v>
          </cell>
        </row>
        <row r="277">
          <cell r="G277">
            <v>10</v>
          </cell>
          <cell r="H277" t="str">
            <v>Within 165 feet</v>
          </cell>
          <cell r="I277">
            <v>3337408558</v>
          </cell>
        </row>
        <row r="278">
          <cell r="G278">
            <v>1</v>
          </cell>
          <cell r="H278" t="str">
            <v>Within 1 mile</v>
          </cell>
          <cell r="I278">
            <v>3337428281</v>
          </cell>
        </row>
        <row r="279">
          <cell r="G279">
            <v>2</v>
          </cell>
          <cell r="H279" t="str">
            <v>Within 1 mile</v>
          </cell>
          <cell r="I279">
            <v>3337408594</v>
          </cell>
        </row>
        <row r="280">
          <cell r="G280">
            <v>4</v>
          </cell>
          <cell r="H280" t="str">
            <v>Within 40 feet</v>
          </cell>
          <cell r="I280">
            <v>3337408593</v>
          </cell>
        </row>
        <row r="281">
          <cell r="G281">
            <v>4</v>
          </cell>
          <cell r="H281" t="str">
            <v>Within 40 feet</v>
          </cell>
          <cell r="I281">
            <v>3337408606</v>
          </cell>
        </row>
        <row r="282">
          <cell r="G282">
            <v>2</v>
          </cell>
          <cell r="H282" t="str">
            <v>Not verified to be within 1 mile</v>
          </cell>
          <cell r="I282">
            <v>3349560085</v>
          </cell>
        </row>
        <row r="283">
          <cell r="G283">
            <v>1</v>
          </cell>
          <cell r="H283" t="str">
            <v>Within 1 mile</v>
          </cell>
          <cell r="I283">
            <v>3337428291</v>
          </cell>
        </row>
        <row r="284">
          <cell r="G284">
            <v>1</v>
          </cell>
          <cell r="H284" t="str">
            <v>Not Verified to be within 1 mile</v>
          </cell>
          <cell r="I284">
            <v>3342618164</v>
          </cell>
        </row>
        <row r="285">
          <cell r="G285">
            <v>3</v>
          </cell>
          <cell r="H285" t="str">
            <v>Within 165 feet</v>
          </cell>
          <cell r="I285">
            <v>3342618217</v>
          </cell>
        </row>
        <row r="286">
          <cell r="G286">
            <v>1</v>
          </cell>
          <cell r="H286" t="str">
            <v>Not verified to be within 1 mile</v>
          </cell>
          <cell r="I286">
            <v>3349559717</v>
          </cell>
        </row>
        <row r="287">
          <cell r="G287">
            <v>2</v>
          </cell>
          <cell r="H287" t="str">
            <v>Within 40 feet</v>
          </cell>
          <cell r="I287">
            <v>3353097902</v>
          </cell>
        </row>
        <row r="288">
          <cell r="G288">
            <v>2</v>
          </cell>
          <cell r="H288" t="str">
            <v>Within 40 feet</v>
          </cell>
          <cell r="I288">
            <v>3349559561</v>
          </cell>
        </row>
        <row r="289">
          <cell r="G289">
            <v>2</v>
          </cell>
          <cell r="H289" t="str">
            <v>Within 165 feet</v>
          </cell>
          <cell r="I289">
            <v>3349559712</v>
          </cell>
        </row>
        <row r="290">
          <cell r="G290">
            <v>7</v>
          </cell>
          <cell r="H290" t="str">
            <v>Within 165 feet</v>
          </cell>
          <cell r="I290">
            <v>3337408698</v>
          </cell>
        </row>
        <row r="291">
          <cell r="G291">
            <v>1</v>
          </cell>
          <cell r="H291" t="str">
            <v>Not verified to be within 1 mile</v>
          </cell>
          <cell r="I291">
            <v>3349559934</v>
          </cell>
        </row>
        <row r="292">
          <cell r="G292">
            <v>1</v>
          </cell>
          <cell r="H292" t="str">
            <v>Within 1 mile</v>
          </cell>
          <cell r="I292">
            <v>3337408707</v>
          </cell>
        </row>
        <row r="293">
          <cell r="G293">
            <v>1</v>
          </cell>
          <cell r="H293" t="str">
            <v>Not verified to be within 1 mile</v>
          </cell>
          <cell r="I293">
            <v>3349560238</v>
          </cell>
        </row>
        <row r="294">
          <cell r="G294">
            <v>4</v>
          </cell>
          <cell r="H294" t="str">
            <v>Within 165 feet</v>
          </cell>
          <cell r="I294">
            <v>3342618104</v>
          </cell>
        </row>
        <row r="295">
          <cell r="G295">
            <v>4</v>
          </cell>
          <cell r="H295" t="str">
            <v>Within 1 mile</v>
          </cell>
          <cell r="I295">
            <v>3337408757</v>
          </cell>
        </row>
        <row r="296">
          <cell r="G296">
            <v>3</v>
          </cell>
          <cell r="H296" t="str">
            <v>Within 1 mile</v>
          </cell>
          <cell r="I296">
            <v>3337428082</v>
          </cell>
        </row>
        <row r="297">
          <cell r="G297">
            <v>1</v>
          </cell>
          <cell r="H297" t="str">
            <v>Within 1 mile</v>
          </cell>
          <cell r="I297">
            <v>3337408809</v>
          </cell>
        </row>
        <row r="298">
          <cell r="G298">
            <v>1</v>
          </cell>
          <cell r="H298" t="str">
            <v>Not Verified to be within 1 mile</v>
          </cell>
          <cell r="I298">
            <v>3342618220</v>
          </cell>
        </row>
        <row r="299">
          <cell r="G299">
            <v>2</v>
          </cell>
          <cell r="H299" t="str">
            <v>Not Verified to be within 1 mile</v>
          </cell>
          <cell r="I299">
            <v>3337408817</v>
          </cell>
        </row>
        <row r="300">
          <cell r="G300">
            <v>6</v>
          </cell>
          <cell r="H300" t="str">
            <v>Within 40 feet</v>
          </cell>
          <cell r="I300">
            <v>3337408830</v>
          </cell>
        </row>
        <row r="301">
          <cell r="G301">
            <v>1</v>
          </cell>
          <cell r="H301" t="str">
            <v>Within 1 mile</v>
          </cell>
          <cell r="I301">
            <v>3342618377</v>
          </cell>
        </row>
        <row r="302">
          <cell r="G302">
            <v>2</v>
          </cell>
          <cell r="H302" t="str">
            <v>Within 1 mile</v>
          </cell>
          <cell r="I302">
            <v>3353098144</v>
          </cell>
        </row>
        <row r="303">
          <cell r="G303">
            <v>1</v>
          </cell>
          <cell r="H303" t="str">
            <v>Within 1 mile</v>
          </cell>
          <cell r="I303">
            <v>3337408846</v>
          </cell>
        </row>
        <row r="304">
          <cell r="G304">
            <v>2</v>
          </cell>
          <cell r="H304" t="str">
            <v>Within 165 feet</v>
          </cell>
          <cell r="I304">
            <v>3337408852</v>
          </cell>
        </row>
        <row r="305">
          <cell r="G305">
            <v>1</v>
          </cell>
          <cell r="H305" t="str">
            <v>Within 1 mile</v>
          </cell>
          <cell r="I305">
            <v>3352749880</v>
          </cell>
        </row>
        <row r="306">
          <cell r="G306">
            <v>11</v>
          </cell>
          <cell r="H306" t="str">
            <v>Within 165 feet</v>
          </cell>
          <cell r="I306">
            <v>3337408861</v>
          </cell>
        </row>
        <row r="307">
          <cell r="G307">
            <v>5</v>
          </cell>
          <cell r="H307" t="str">
            <v>Within 165 feet</v>
          </cell>
          <cell r="I307">
            <v>3342617938</v>
          </cell>
        </row>
        <row r="308">
          <cell r="G308">
            <v>1</v>
          </cell>
          <cell r="H308" t="str">
            <v>Within 165 feet</v>
          </cell>
          <cell r="I308">
            <v>3342617899</v>
          </cell>
        </row>
        <row r="309">
          <cell r="G309">
            <v>2</v>
          </cell>
          <cell r="H309" t="str">
            <v>Within 40 feet</v>
          </cell>
          <cell r="I309">
            <v>3337408868</v>
          </cell>
        </row>
        <row r="310">
          <cell r="G310">
            <v>3</v>
          </cell>
          <cell r="H310" t="str">
            <v>Within 1 mile</v>
          </cell>
          <cell r="I310">
            <v>3353097787</v>
          </cell>
        </row>
        <row r="311">
          <cell r="G311">
            <v>2</v>
          </cell>
          <cell r="H311" t="str">
            <v>Within 40 feet</v>
          </cell>
          <cell r="I311">
            <v>3349559512</v>
          </cell>
        </row>
        <row r="312">
          <cell r="G312">
            <v>3</v>
          </cell>
          <cell r="H312" t="str">
            <v>Within 165 feet</v>
          </cell>
          <cell r="I312">
            <v>3337408897</v>
          </cell>
        </row>
        <row r="313">
          <cell r="G313">
            <v>6</v>
          </cell>
          <cell r="H313" t="str">
            <v>Within 1 mile</v>
          </cell>
          <cell r="I313">
            <v>3337408908</v>
          </cell>
        </row>
        <row r="314">
          <cell r="G314">
            <v>2</v>
          </cell>
          <cell r="H314" t="str">
            <v>Within 1 mile</v>
          </cell>
          <cell r="I314">
            <v>3337428278</v>
          </cell>
        </row>
        <row r="315">
          <cell r="G315">
            <v>3</v>
          </cell>
          <cell r="H315" t="str">
            <v>Within 165 feet</v>
          </cell>
          <cell r="I315">
            <v>3337408917</v>
          </cell>
        </row>
        <row r="316">
          <cell r="G316">
            <v>3</v>
          </cell>
          <cell r="H316" t="str">
            <v>Within 165 feet</v>
          </cell>
          <cell r="I316">
            <v>3349559758</v>
          </cell>
        </row>
        <row r="317">
          <cell r="G317">
            <v>3</v>
          </cell>
          <cell r="H317" t="str">
            <v>Not verified to be within 1 mile</v>
          </cell>
          <cell r="I317">
            <v>3365669814</v>
          </cell>
        </row>
        <row r="318">
          <cell r="G318">
            <v>5</v>
          </cell>
          <cell r="H318" t="str">
            <v>Within 165 feet</v>
          </cell>
          <cell r="I318">
            <v>3337408977</v>
          </cell>
        </row>
        <row r="319">
          <cell r="G319">
            <v>2</v>
          </cell>
          <cell r="H319" t="str">
            <v>Within 1 mile</v>
          </cell>
          <cell r="I319">
            <v>3342617894</v>
          </cell>
        </row>
        <row r="320">
          <cell r="G320">
            <v>1</v>
          </cell>
          <cell r="H320" t="str">
            <v>Not verified to be within 1 mile</v>
          </cell>
          <cell r="I320">
            <v>3349560119</v>
          </cell>
        </row>
        <row r="321">
          <cell r="G321">
            <v>2</v>
          </cell>
          <cell r="H321" t="str">
            <v>Within 1 mile</v>
          </cell>
          <cell r="I321">
            <v>3337427747</v>
          </cell>
        </row>
        <row r="322">
          <cell r="G322">
            <v>2</v>
          </cell>
          <cell r="H322" t="str">
            <v>Within 1 mile</v>
          </cell>
          <cell r="I322">
            <v>3353097799</v>
          </cell>
        </row>
        <row r="323">
          <cell r="G323">
            <v>4</v>
          </cell>
          <cell r="H323" t="str">
            <v>Within 165 feet</v>
          </cell>
          <cell r="I323">
            <v>3337409045</v>
          </cell>
        </row>
        <row r="324">
          <cell r="G324">
            <v>8</v>
          </cell>
          <cell r="H324" t="str">
            <v>Within 1 mile</v>
          </cell>
          <cell r="I324">
            <v>3337409051</v>
          </cell>
        </row>
        <row r="325">
          <cell r="G325">
            <v>1</v>
          </cell>
          <cell r="H325" t="str">
            <v>Not verified to be within 1 mile</v>
          </cell>
          <cell r="I325">
            <v>3349560236</v>
          </cell>
        </row>
        <row r="326">
          <cell r="G326">
            <v>1</v>
          </cell>
          <cell r="H326" t="str">
            <v>Not verified to be within 1 mile</v>
          </cell>
          <cell r="I326">
            <v>3349559830</v>
          </cell>
        </row>
        <row r="327">
          <cell r="G327">
            <v>1</v>
          </cell>
          <cell r="H327" t="str">
            <v>Within 165 feet</v>
          </cell>
          <cell r="I327">
            <v>3337409095</v>
          </cell>
        </row>
        <row r="328">
          <cell r="G328">
            <v>2</v>
          </cell>
          <cell r="H328" t="str">
            <v>Not verified to be within 1 mile</v>
          </cell>
          <cell r="I328">
            <v>3342617948</v>
          </cell>
        </row>
        <row r="329">
          <cell r="G329">
            <v>4</v>
          </cell>
          <cell r="H329" t="str">
            <v>Not Verified to be within 1 mile</v>
          </cell>
          <cell r="I329">
            <v>3337409131</v>
          </cell>
        </row>
        <row r="330">
          <cell r="G330">
            <v>15</v>
          </cell>
          <cell r="H330" t="str">
            <v>Within 40 feet</v>
          </cell>
          <cell r="I330">
            <v>3337409201</v>
          </cell>
        </row>
        <row r="331">
          <cell r="G331">
            <v>1</v>
          </cell>
          <cell r="H331" t="str">
            <v>Not Verified to be within 1 mile</v>
          </cell>
          <cell r="I331">
            <v>3342618096</v>
          </cell>
        </row>
        <row r="332">
          <cell r="G332">
            <v>1</v>
          </cell>
          <cell r="H332" t="str">
            <v>Within 165 feet</v>
          </cell>
          <cell r="I332">
            <v>3337409218</v>
          </cell>
        </row>
        <row r="333">
          <cell r="G333">
            <v>6</v>
          </cell>
          <cell r="H333" t="str">
            <v>Within 165 feet</v>
          </cell>
          <cell r="I333">
            <v>3337409220</v>
          </cell>
        </row>
        <row r="334">
          <cell r="G334">
            <v>2</v>
          </cell>
          <cell r="H334" t="str">
            <v>Within 1 mile</v>
          </cell>
          <cell r="I334">
            <v>3342617951</v>
          </cell>
        </row>
        <row r="335">
          <cell r="G335">
            <v>1</v>
          </cell>
          <cell r="H335" t="str">
            <v>Not Verified to be within 1 mile</v>
          </cell>
          <cell r="I335">
            <v>3342618097</v>
          </cell>
        </row>
        <row r="336">
          <cell r="G336">
            <v>3</v>
          </cell>
          <cell r="H336" t="str">
            <v>Within 1 mile</v>
          </cell>
          <cell r="I336">
            <v>3337409263</v>
          </cell>
        </row>
        <row r="337">
          <cell r="G337">
            <v>1</v>
          </cell>
          <cell r="H337" t="str">
            <v>Not verified to be within 1 mile</v>
          </cell>
          <cell r="I337">
            <v>3349560084</v>
          </cell>
        </row>
        <row r="338">
          <cell r="G338">
            <v>12</v>
          </cell>
          <cell r="H338" t="str">
            <v>Within 165 feet</v>
          </cell>
          <cell r="I338">
            <v>3337409315</v>
          </cell>
        </row>
        <row r="339">
          <cell r="G339">
            <v>3</v>
          </cell>
          <cell r="H339" t="str">
            <v>Within 1 mile</v>
          </cell>
          <cell r="I339">
            <v>3337428172</v>
          </cell>
        </row>
        <row r="340">
          <cell r="G340">
            <v>1</v>
          </cell>
          <cell r="H340" t="str">
            <v>Within 1 mile</v>
          </cell>
          <cell r="I340">
            <v>3337428000</v>
          </cell>
        </row>
        <row r="341">
          <cell r="G341">
            <v>2</v>
          </cell>
          <cell r="H341" t="str">
            <v>Within 1 mile</v>
          </cell>
          <cell r="I341">
            <v>3337428232</v>
          </cell>
        </row>
        <row r="342">
          <cell r="G342">
            <v>1</v>
          </cell>
          <cell r="H342" t="str">
            <v>Not Verified to be within 1 mile</v>
          </cell>
          <cell r="I342">
            <v>3342618235</v>
          </cell>
        </row>
        <row r="343">
          <cell r="G343">
            <v>2</v>
          </cell>
          <cell r="H343" t="str">
            <v>Within 1 mile</v>
          </cell>
          <cell r="I343">
            <v>3352750159</v>
          </cell>
        </row>
        <row r="344">
          <cell r="G344">
            <v>1</v>
          </cell>
          <cell r="H344" t="str">
            <v>Not verified to be within 1 mile</v>
          </cell>
          <cell r="I344">
            <v>3349559787</v>
          </cell>
        </row>
        <row r="345">
          <cell r="G345">
            <v>2</v>
          </cell>
          <cell r="H345" t="str">
            <v>Within 1 mile</v>
          </cell>
          <cell r="I345">
            <v>3342618251</v>
          </cell>
        </row>
        <row r="346">
          <cell r="G346">
            <v>3</v>
          </cell>
          <cell r="H346" t="str">
            <v>Within 165 feet</v>
          </cell>
          <cell r="I346">
            <v>3337409531</v>
          </cell>
        </row>
        <row r="347">
          <cell r="G347">
            <v>7</v>
          </cell>
          <cell r="H347" t="str">
            <v>Within 1 mile</v>
          </cell>
          <cell r="I347">
            <v>3337409538</v>
          </cell>
        </row>
        <row r="348">
          <cell r="G348">
            <v>1</v>
          </cell>
          <cell r="H348" t="str">
            <v>Within 165 feet</v>
          </cell>
          <cell r="I348">
            <v>3337409542</v>
          </cell>
        </row>
        <row r="349">
          <cell r="G349">
            <v>3</v>
          </cell>
          <cell r="H349" t="str">
            <v>Within 1 mile</v>
          </cell>
          <cell r="I349">
            <v>3353098145</v>
          </cell>
        </row>
        <row r="350">
          <cell r="G350">
            <v>2</v>
          </cell>
          <cell r="H350" t="str">
            <v>Not verified to be within 1 mile</v>
          </cell>
          <cell r="I350">
            <v>3349559913</v>
          </cell>
        </row>
        <row r="351">
          <cell r="G351">
            <v>1</v>
          </cell>
          <cell r="H351" t="str">
            <v>Not verified to be within 1 mile</v>
          </cell>
          <cell r="I351">
            <v>3349559823</v>
          </cell>
        </row>
        <row r="352">
          <cell r="G352">
            <v>2</v>
          </cell>
          <cell r="H352" t="str">
            <v>Not Verified to be within 1 mile</v>
          </cell>
          <cell r="I352">
            <v>3337409573</v>
          </cell>
        </row>
        <row r="353">
          <cell r="G353">
            <v>2</v>
          </cell>
          <cell r="H353" t="str">
            <v>Not verified to be within 1 mile</v>
          </cell>
          <cell r="I353">
            <v>3349560177</v>
          </cell>
        </row>
        <row r="354">
          <cell r="G354">
            <v>2</v>
          </cell>
          <cell r="H354" t="str">
            <v>Not verified to be within 1 mile</v>
          </cell>
          <cell r="I354">
            <v>3349560192</v>
          </cell>
        </row>
        <row r="355">
          <cell r="G355">
            <v>1</v>
          </cell>
          <cell r="H355" t="str">
            <v>Not verified to be within 1 mile</v>
          </cell>
          <cell r="I355">
            <v>3349560188</v>
          </cell>
        </row>
        <row r="356">
          <cell r="G356">
            <v>1</v>
          </cell>
          <cell r="H356" t="str">
            <v>Not verified to be within 1 mile</v>
          </cell>
          <cell r="I356">
            <v>3349560173</v>
          </cell>
        </row>
        <row r="357">
          <cell r="G357">
            <v>2</v>
          </cell>
          <cell r="H357" t="str">
            <v>Within 40 feet</v>
          </cell>
          <cell r="I357">
            <v>3337409576</v>
          </cell>
        </row>
        <row r="358">
          <cell r="G358">
            <v>1</v>
          </cell>
          <cell r="H358" t="str">
            <v>Not Verified to be within 1 mile</v>
          </cell>
          <cell r="I358">
            <v>3337431214</v>
          </cell>
        </row>
        <row r="359">
          <cell r="G359">
            <v>4</v>
          </cell>
          <cell r="H359" t="str">
            <v>Within 1 mile</v>
          </cell>
          <cell r="I359">
            <v>3337428273</v>
          </cell>
        </row>
        <row r="360">
          <cell r="G360">
            <v>1</v>
          </cell>
          <cell r="H360" t="str">
            <v>Within 1 mile</v>
          </cell>
          <cell r="I360">
            <v>3337428276</v>
          </cell>
        </row>
        <row r="361">
          <cell r="G361">
            <v>1</v>
          </cell>
          <cell r="H361" t="str">
            <v>Not Verified to be within 1 mile</v>
          </cell>
          <cell r="I361">
            <v>3342618143</v>
          </cell>
        </row>
        <row r="362">
          <cell r="G362">
            <v>4</v>
          </cell>
          <cell r="H362" t="str">
            <v>Within 1 mile</v>
          </cell>
          <cell r="I362">
            <v>3337428023</v>
          </cell>
        </row>
        <row r="363">
          <cell r="G363">
            <v>1</v>
          </cell>
          <cell r="H363" t="str">
            <v>Within 1 mile</v>
          </cell>
          <cell r="I363">
            <v>3342618087</v>
          </cell>
        </row>
        <row r="364">
          <cell r="G364">
            <v>1</v>
          </cell>
          <cell r="H364" t="str">
            <v>Not verified to be within 1 mile</v>
          </cell>
          <cell r="I364">
            <v>3349560325</v>
          </cell>
        </row>
        <row r="365">
          <cell r="G365">
            <v>4</v>
          </cell>
          <cell r="H365" t="str">
            <v>Within 165 feet</v>
          </cell>
          <cell r="I365">
            <v>3349559862</v>
          </cell>
        </row>
        <row r="366">
          <cell r="G366">
            <v>2</v>
          </cell>
          <cell r="H366" t="str">
            <v>Within 1 mile</v>
          </cell>
          <cell r="I366">
            <v>3352749837</v>
          </cell>
        </row>
        <row r="367">
          <cell r="G367">
            <v>2</v>
          </cell>
          <cell r="H367" t="str">
            <v>Not Verified to be within 1 mile</v>
          </cell>
          <cell r="I367">
            <v>3342618334</v>
          </cell>
        </row>
        <row r="368">
          <cell r="G368">
            <v>12</v>
          </cell>
          <cell r="H368" t="str">
            <v>Within 40 feet</v>
          </cell>
          <cell r="I368">
            <v>3337409645</v>
          </cell>
        </row>
        <row r="369">
          <cell r="G369">
            <v>4</v>
          </cell>
          <cell r="H369" t="str">
            <v>Within 40 feet</v>
          </cell>
          <cell r="I369">
            <v>3340396311</v>
          </cell>
        </row>
        <row r="370">
          <cell r="G370">
            <v>6</v>
          </cell>
          <cell r="H370" t="str">
            <v>Within 40 feet</v>
          </cell>
          <cell r="I370">
            <v>3337426904</v>
          </cell>
        </row>
        <row r="371">
          <cell r="G371">
            <v>4</v>
          </cell>
          <cell r="H371" t="str">
            <v>Within 1 mile</v>
          </cell>
          <cell r="I371">
            <v>3337409656</v>
          </cell>
        </row>
        <row r="372">
          <cell r="G372">
            <v>6</v>
          </cell>
          <cell r="H372" t="str">
            <v>Within 165 feet</v>
          </cell>
          <cell r="I372">
            <v>3349559838</v>
          </cell>
        </row>
        <row r="373">
          <cell r="G373">
            <v>2</v>
          </cell>
          <cell r="H373" t="str">
            <v>Within 1 mile</v>
          </cell>
          <cell r="I373">
            <v>3342617828</v>
          </cell>
        </row>
        <row r="374">
          <cell r="G374">
            <v>2</v>
          </cell>
          <cell r="H374" t="str">
            <v>Within 165 feet</v>
          </cell>
          <cell r="I374">
            <v>3349560011</v>
          </cell>
        </row>
        <row r="375">
          <cell r="G375">
            <v>1</v>
          </cell>
          <cell r="H375" t="str">
            <v>Not verified to be within 1 mile</v>
          </cell>
          <cell r="I375">
            <v>3349559914</v>
          </cell>
        </row>
        <row r="376">
          <cell r="G376">
            <v>1</v>
          </cell>
          <cell r="H376" t="str">
            <v>Not verified to be within 1 mile</v>
          </cell>
          <cell r="I376">
            <v>3349559874</v>
          </cell>
        </row>
        <row r="377">
          <cell r="G377">
            <v>12</v>
          </cell>
          <cell r="H377" t="str">
            <v>Within 165 feet</v>
          </cell>
          <cell r="I377">
            <v>3341136828</v>
          </cell>
        </row>
        <row r="378">
          <cell r="G378">
            <v>2</v>
          </cell>
          <cell r="H378" t="str">
            <v>Within 1 mile</v>
          </cell>
          <cell r="I378">
            <v>3352749925</v>
          </cell>
        </row>
        <row r="379">
          <cell r="G379">
            <v>1</v>
          </cell>
          <cell r="H379" t="str">
            <v>Not Verified to be within 1 mile</v>
          </cell>
          <cell r="I379">
            <v>3337409743</v>
          </cell>
        </row>
        <row r="380">
          <cell r="G380">
            <v>1</v>
          </cell>
          <cell r="H380" t="str">
            <v>Within 1 mile</v>
          </cell>
          <cell r="I380">
            <v>3337409748</v>
          </cell>
        </row>
        <row r="381">
          <cell r="G381">
            <v>3</v>
          </cell>
          <cell r="H381" t="str">
            <v>Within 165 feet</v>
          </cell>
          <cell r="I381">
            <v>3337409756</v>
          </cell>
        </row>
        <row r="382">
          <cell r="G382">
            <v>2</v>
          </cell>
          <cell r="H382" t="str">
            <v>Within 1 mile</v>
          </cell>
          <cell r="I382">
            <v>3353097640</v>
          </cell>
        </row>
        <row r="383">
          <cell r="G383">
            <v>1</v>
          </cell>
          <cell r="H383" t="str">
            <v>Within 1 mile</v>
          </cell>
          <cell r="I383">
            <v>3353098104</v>
          </cell>
        </row>
        <row r="384">
          <cell r="G384">
            <v>4</v>
          </cell>
          <cell r="H384" t="str">
            <v>Not verified to be within 1 mile</v>
          </cell>
          <cell r="I384">
            <v>3349560217</v>
          </cell>
        </row>
        <row r="385">
          <cell r="G385">
            <v>1</v>
          </cell>
          <cell r="H385" t="str">
            <v>Not verified to be within 1 mile</v>
          </cell>
          <cell r="I385">
            <v>3349559919</v>
          </cell>
        </row>
        <row r="386">
          <cell r="G386">
            <v>5</v>
          </cell>
          <cell r="H386" t="str">
            <v>Within 165 feet</v>
          </cell>
          <cell r="I386">
            <v>3349559832</v>
          </cell>
        </row>
        <row r="387">
          <cell r="G387">
            <v>9</v>
          </cell>
          <cell r="H387" t="str">
            <v>Within 165 feet</v>
          </cell>
          <cell r="I387">
            <v>3337409874</v>
          </cell>
        </row>
        <row r="388">
          <cell r="G388">
            <v>1</v>
          </cell>
          <cell r="H388" t="str">
            <v>Within 1 mile</v>
          </cell>
          <cell r="I388">
            <v>3342617990</v>
          </cell>
        </row>
        <row r="389">
          <cell r="G389">
            <v>1</v>
          </cell>
          <cell r="H389" t="str">
            <v>Not verified to be within 1 mile</v>
          </cell>
          <cell r="I389">
            <v>3349560278</v>
          </cell>
        </row>
        <row r="390">
          <cell r="G390">
            <v>1</v>
          </cell>
          <cell r="H390" t="str">
            <v>Not verified to be within 1 mile</v>
          </cell>
          <cell r="I390">
            <v>3349560387</v>
          </cell>
        </row>
        <row r="391">
          <cell r="G391">
            <v>2</v>
          </cell>
          <cell r="H391" t="str">
            <v>Not Verified to be within 1 mile</v>
          </cell>
          <cell r="I391">
            <v>3342617929</v>
          </cell>
        </row>
        <row r="392">
          <cell r="G392">
            <v>3</v>
          </cell>
          <cell r="H392" t="str">
            <v>Within 165 feet</v>
          </cell>
          <cell r="I392">
            <v>3337409954</v>
          </cell>
        </row>
        <row r="393">
          <cell r="G393">
            <v>2</v>
          </cell>
          <cell r="H393" t="str">
            <v>Within 1 mile</v>
          </cell>
          <cell r="I393">
            <v>3342618113</v>
          </cell>
        </row>
        <row r="394">
          <cell r="G394">
            <v>1</v>
          </cell>
          <cell r="H394" t="str">
            <v>Within 165 feet</v>
          </cell>
          <cell r="I394">
            <v>3337409983</v>
          </cell>
        </row>
        <row r="395">
          <cell r="G395">
            <v>1</v>
          </cell>
          <cell r="H395" t="str">
            <v>Not verified to be within 1 mile</v>
          </cell>
          <cell r="I395">
            <v>3349559805</v>
          </cell>
        </row>
        <row r="396">
          <cell r="G396">
            <v>1</v>
          </cell>
          <cell r="H396" t="str">
            <v>Not verified to be within 1 mile</v>
          </cell>
          <cell r="I396">
            <v>3349559825</v>
          </cell>
        </row>
        <row r="397">
          <cell r="G397">
            <v>2</v>
          </cell>
          <cell r="H397" t="str">
            <v>Within 165 feet</v>
          </cell>
          <cell r="I397">
            <v>3337410057</v>
          </cell>
        </row>
        <row r="398">
          <cell r="G398">
            <v>12</v>
          </cell>
          <cell r="H398" t="str">
            <v>Within 165 feet</v>
          </cell>
          <cell r="I398">
            <v>3337410062</v>
          </cell>
        </row>
        <row r="399">
          <cell r="G399">
            <v>3</v>
          </cell>
          <cell r="H399" t="str">
            <v>Within 40 feet</v>
          </cell>
          <cell r="I399">
            <v>3341136831</v>
          </cell>
        </row>
        <row r="400">
          <cell r="G400">
            <v>3</v>
          </cell>
          <cell r="H400" t="str">
            <v>Within 165 feet</v>
          </cell>
          <cell r="I400">
            <v>3337428277</v>
          </cell>
        </row>
        <row r="401">
          <cell r="G401">
            <v>1</v>
          </cell>
          <cell r="H401" t="str">
            <v>Not verified to be within 1 mile</v>
          </cell>
          <cell r="I401">
            <v>3349559963</v>
          </cell>
        </row>
        <row r="402">
          <cell r="G402">
            <v>2</v>
          </cell>
          <cell r="H402" t="str">
            <v>Within 1 mile</v>
          </cell>
          <cell r="I402">
            <v>3353097790</v>
          </cell>
        </row>
        <row r="403">
          <cell r="G403">
            <v>1</v>
          </cell>
          <cell r="H403" t="str">
            <v>Not Verified to be within 1 mile</v>
          </cell>
          <cell r="I403">
            <v>3342618228</v>
          </cell>
        </row>
        <row r="404">
          <cell r="G404">
            <v>5</v>
          </cell>
          <cell r="H404" t="str">
            <v>Within 1 mile</v>
          </cell>
          <cell r="I404">
            <v>3337428285</v>
          </cell>
        </row>
        <row r="405">
          <cell r="G405">
            <v>4</v>
          </cell>
          <cell r="H405" t="str">
            <v>Within 40 feet</v>
          </cell>
          <cell r="I405">
            <v>3337410138</v>
          </cell>
        </row>
        <row r="406">
          <cell r="G406">
            <v>4</v>
          </cell>
          <cell r="H406" t="str">
            <v>Within 40 feet</v>
          </cell>
          <cell r="I406">
            <v>3337410151</v>
          </cell>
        </row>
        <row r="407">
          <cell r="G407">
            <v>1</v>
          </cell>
          <cell r="H407" t="str">
            <v>Within 1 mile</v>
          </cell>
          <cell r="I407">
            <v>3337410164</v>
          </cell>
        </row>
        <row r="408">
          <cell r="G408">
            <v>8</v>
          </cell>
          <cell r="H408" t="str">
            <v>Within 40 feet</v>
          </cell>
          <cell r="I408">
            <v>3349559508</v>
          </cell>
        </row>
        <row r="409">
          <cell r="G409">
            <v>1</v>
          </cell>
          <cell r="H409" t="str">
            <v>Within 1 mile</v>
          </cell>
          <cell r="I409">
            <v>3337410170</v>
          </cell>
        </row>
        <row r="410">
          <cell r="G410">
            <v>2</v>
          </cell>
          <cell r="H410" t="str">
            <v>Within 1 mile</v>
          </cell>
          <cell r="I410">
            <v>3342618381</v>
          </cell>
        </row>
        <row r="411">
          <cell r="G411">
            <v>2</v>
          </cell>
          <cell r="H411" t="str">
            <v>Within 1 mile</v>
          </cell>
          <cell r="I411">
            <v>3352749867</v>
          </cell>
        </row>
        <row r="412">
          <cell r="G412">
            <v>1</v>
          </cell>
          <cell r="H412" t="str">
            <v>Not Verified to be within 1 mile</v>
          </cell>
          <cell r="I412">
            <v>3337410194</v>
          </cell>
        </row>
        <row r="413">
          <cell r="G413">
            <v>2</v>
          </cell>
          <cell r="H413" t="str">
            <v>Not verified to be within 1 mile</v>
          </cell>
          <cell r="I413">
            <v>3349559800</v>
          </cell>
        </row>
        <row r="414">
          <cell r="G414">
            <v>23</v>
          </cell>
          <cell r="H414" t="str">
            <v>Within 40 feet</v>
          </cell>
          <cell r="I414">
            <v>3337410205</v>
          </cell>
        </row>
        <row r="415">
          <cell r="G415">
            <v>2</v>
          </cell>
          <cell r="H415" t="str">
            <v>Within 1 mile</v>
          </cell>
          <cell r="I415">
            <v>3352750256</v>
          </cell>
        </row>
        <row r="416">
          <cell r="G416">
            <v>2</v>
          </cell>
          <cell r="H416" t="str">
            <v>Within 1 mile</v>
          </cell>
          <cell r="I416">
            <v>3337410218</v>
          </cell>
        </row>
        <row r="417">
          <cell r="G417">
            <v>3</v>
          </cell>
          <cell r="H417" t="str">
            <v>Not verified to be within 1 mile</v>
          </cell>
          <cell r="I417">
            <v>3337410227</v>
          </cell>
        </row>
        <row r="418">
          <cell r="G418">
            <v>5</v>
          </cell>
          <cell r="H418" t="str">
            <v>Within 40 feet</v>
          </cell>
          <cell r="I418">
            <v>3337410261</v>
          </cell>
        </row>
        <row r="419">
          <cell r="G419">
            <v>3</v>
          </cell>
          <cell r="H419" t="str">
            <v>Within 1 mile</v>
          </cell>
          <cell r="I419">
            <v>3337410263</v>
          </cell>
        </row>
        <row r="420">
          <cell r="G420">
            <v>2</v>
          </cell>
          <cell r="H420" t="str">
            <v>Within 1 mile</v>
          </cell>
          <cell r="I420">
            <v>3342617812</v>
          </cell>
        </row>
        <row r="421">
          <cell r="G421">
            <v>1</v>
          </cell>
          <cell r="H421" t="str">
            <v>Within 1 mile</v>
          </cell>
          <cell r="I421">
            <v>3352749879</v>
          </cell>
        </row>
        <row r="422">
          <cell r="G422">
            <v>2</v>
          </cell>
          <cell r="H422" t="str">
            <v>Within 165 feet</v>
          </cell>
          <cell r="I422">
            <v>3342618338</v>
          </cell>
        </row>
        <row r="423">
          <cell r="G423">
            <v>1</v>
          </cell>
          <cell r="H423" t="str">
            <v>Not verified to be within 1 mile</v>
          </cell>
          <cell r="I423">
            <v>3349559719</v>
          </cell>
        </row>
        <row r="424">
          <cell r="G424">
            <v>6</v>
          </cell>
          <cell r="H424" t="str">
            <v>Within 1 mile</v>
          </cell>
          <cell r="I424">
            <v>3337410310</v>
          </cell>
        </row>
        <row r="425">
          <cell r="G425">
            <v>11</v>
          </cell>
          <cell r="H425" t="str">
            <v>Within 40 feet</v>
          </cell>
          <cell r="I425">
            <v>3337410309</v>
          </cell>
        </row>
        <row r="426">
          <cell r="G426">
            <v>4</v>
          </cell>
          <cell r="H426" t="str">
            <v>Within 1 mile</v>
          </cell>
          <cell r="I426">
            <v>3365669817</v>
          </cell>
        </row>
        <row r="427">
          <cell r="G427">
            <v>2</v>
          </cell>
          <cell r="H427" t="str">
            <v>Within 165 feet</v>
          </cell>
          <cell r="I427">
            <v>3349559822</v>
          </cell>
        </row>
        <row r="428">
          <cell r="G428">
            <v>2</v>
          </cell>
          <cell r="H428" t="str">
            <v>Within 1 mile</v>
          </cell>
          <cell r="I428">
            <v>3352749869</v>
          </cell>
        </row>
        <row r="429">
          <cell r="G429">
            <v>4</v>
          </cell>
          <cell r="H429" t="str">
            <v>Within 165 feet</v>
          </cell>
          <cell r="I429">
            <v>3337410366</v>
          </cell>
        </row>
        <row r="430">
          <cell r="G430">
            <v>1</v>
          </cell>
          <cell r="H430" t="str">
            <v>Not Verified to be within 1 mile</v>
          </cell>
          <cell r="I430">
            <v>3342617610</v>
          </cell>
        </row>
        <row r="431">
          <cell r="G431">
            <v>2</v>
          </cell>
          <cell r="H431" t="str">
            <v>Within 1 mile</v>
          </cell>
          <cell r="I431">
            <v>3352750163</v>
          </cell>
        </row>
        <row r="432">
          <cell r="G432">
            <v>1</v>
          </cell>
          <cell r="H432" t="str">
            <v>Not verified to be within 1 mile</v>
          </cell>
          <cell r="I432">
            <v>3349560300</v>
          </cell>
        </row>
        <row r="433">
          <cell r="G433">
            <v>1</v>
          </cell>
          <cell r="H433" t="str">
            <v>Not Verified to be within 1 mile</v>
          </cell>
          <cell r="I433">
            <v>3342618083</v>
          </cell>
        </row>
        <row r="434">
          <cell r="G434">
            <v>2</v>
          </cell>
          <cell r="H434" t="str">
            <v>Not verified to be within 1 mile</v>
          </cell>
          <cell r="I434">
            <v>3349560319</v>
          </cell>
        </row>
        <row r="435">
          <cell r="G435">
            <v>3</v>
          </cell>
          <cell r="H435" t="str">
            <v>Within 1 mile</v>
          </cell>
          <cell r="I435">
            <v>3342617815</v>
          </cell>
        </row>
        <row r="436">
          <cell r="G436">
            <v>3</v>
          </cell>
          <cell r="H436" t="str">
            <v>Within 40 feet</v>
          </cell>
          <cell r="I436">
            <v>3337427840</v>
          </cell>
        </row>
        <row r="437">
          <cell r="G437">
            <v>2</v>
          </cell>
          <cell r="H437" t="str">
            <v>Within 1 mile</v>
          </cell>
          <cell r="I437">
            <v>3352749868</v>
          </cell>
        </row>
        <row r="438">
          <cell r="G438">
            <v>2</v>
          </cell>
          <cell r="H438" t="str">
            <v>Within 1 mile</v>
          </cell>
          <cell r="I438">
            <v>3342617926</v>
          </cell>
        </row>
        <row r="439">
          <cell r="G439">
            <v>1</v>
          </cell>
          <cell r="H439" t="str">
            <v>Not verified to be within 1 mile</v>
          </cell>
          <cell r="I439">
            <v>3337410454</v>
          </cell>
        </row>
        <row r="440">
          <cell r="G440">
            <v>0</v>
          </cell>
          <cell r="H440" t="str">
            <v>Not Verified to be within 1 mile</v>
          </cell>
          <cell r="I440">
            <v>3342618404</v>
          </cell>
        </row>
        <row r="441">
          <cell r="G441">
            <v>4</v>
          </cell>
          <cell r="H441" t="str">
            <v>Within 40 feet</v>
          </cell>
          <cell r="I441">
            <v>3353097802</v>
          </cell>
        </row>
        <row r="442">
          <cell r="G442">
            <v>7</v>
          </cell>
          <cell r="H442" t="str">
            <v>Within 1 mile</v>
          </cell>
          <cell r="I442">
            <v>3337410466</v>
          </cell>
        </row>
        <row r="443">
          <cell r="G443">
            <v>2</v>
          </cell>
          <cell r="H443" t="str">
            <v>Within 1 mile</v>
          </cell>
          <cell r="I443">
            <v>3337410469</v>
          </cell>
        </row>
        <row r="444">
          <cell r="G444">
            <v>12</v>
          </cell>
          <cell r="H444" t="str">
            <v>Within 165 feet</v>
          </cell>
          <cell r="I444">
            <v>3337410472</v>
          </cell>
        </row>
        <row r="445">
          <cell r="G445">
            <v>1</v>
          </cell>
          <cell r="H445" t="str">
            <v>Not verified to be within 1 mile</v>
          </cell>
          <cell r="I445">
            <v>3349560209</v>
          </cell>
        </row>
        <row r="446">
          <cell r="G446">
            <v>2</v>
          </cell>
          <cell r="H446" t="str">
            <v>Within 1 mile</v>
          </cell>
          <cell r="I446">
            <v>3337410499</v>
          </cell>
        </row>
        <row r="447">
          <cell r="G447">
            <v>1</v>
          </cell>
          <cell r="H447" t="str">
            <v>Within 1 mile</v>
          </cell>
          <cell r="I447">
            <v>3342617830</v>
          </cell>
        </row>
        <row r="448">
          <cell r="G448">
            <v>2</v>
          </cell>
          <cell r="H448" t="str">
            <v>Within 1 mile</v>
          </cell>
          <cell r="I448">
            <v>3352749882</v>
          </cell>
        </row>
        <row r="449">
          <cell r="G449">
            <v>1</v>
          </cell>
          <cell r="H449" t="str">
            <v>Not verified to be within 1 mile</v>
          </cell>
          <cell r="I449">
            <v>3349559921</v>
          </cell>
        </row>
        <row r="450">
          <cell r="G450">
            <v>5</v>
          </cell>
          <cell r="H450" t="str">
            <v>Not Verified to be within 1 mile</v>
          </cell>
          <cell r="I450">
            <v>3342618330</v>
          </cell>
        </row>
        <row r="451">
          <cell r="G451">
            <v>8</v>
          </cell>
          <cell r="H451" t="str">
            <v>Within 40 feet</v>
          </cell>
          <cell r="I451">
            <v>3337410535</v>
          </cell>
        </row>
        <row r="452">
          <cell r="G452">
            <v>2</v>
          </cell>
          <cell r="H452" t="str">
            <v>Within 1 mile</v>
          </cell>
          <cell r="I452">
            <v>3337410539</v>
          </cell>
        </row>
        <row r="453">
          <cell r="G453">
            <v>2</v>
          </cell>
          <cell r="H453" t="str">
            <v>Not verified to be within 1 mile</v>
          </cell>
          <cell r="I453">
            <v>3349559748</v>
          </cell>
        </row>
        <row r="454">
          <cell r="G454">
            <v>1</v>
          </cell>
          <cell r="H454" t="str">
            <v>Within 1 mile</v>
          </cell>
          <cell r="I454">
            <v>3337410598</v>
          </cell>
        </row>
        <row r="455">
          <cell r="G455">
            <v>3</v>
          </cell>
          <cell r="H455" t="str">
            <v>Within 1 mile</v>
          </cell>
          <cell r="I455">
            <v>3337427581</v>
          </cell>
        </row>
        <row r="456">
          <cell r="G456">
            <v>1</v>
          </cell>
          <cell r="H456" t="str">
            <v>Within 1 mile</v>
          </cell>
          <cell r="I456">
            <v>3337410635</v>
          </cell>
        </row>
        <row r="457">
          <cell r="G457">
            <v>4</v>
          </cell>
          <cell r="H457" t="str">
            <v>Within 165 feet</v>
          </cell>
          <cell r="I457">
            <v>3337410647</v>
          </cell>
        </row>
        <row r="458">
          <cell r="G458">
            <v>1</v>
          </cell>
          <cell r="H458" t="str">
            <v>Not verified to be within 1 mile</v>
          </cell>
          <cell r="I458">
            <v>3349559767</v>
          </cell>
        </row>
        <row r="459">
          <cell r="G459">
            <v>1</v>
          </cell>
          <cell r="H459" t="str">
            <v>Within 1 mile</v>
          </cell>
          <cell r="I459">
            <v>3337410672</v>
          </cell>
        </row>
        <row r="460">
          <cell r="G460">
            <v>2</v>
          </cell>
          <cell r="H460" t="str">
            <v>Within 1 mile</v>
          </cell>
          <cell r="I460">
            <v>3342617609</v>
          </cell>
        </row>
        <row r="461">
          <cell r="G461">
            <v>2</v>
          </cell>
          <cell r="H461" t="str">
            <v>Within 40 feet</v>
          </cell>
          <cell r="I461">
            <v>3349559632</v>
          </cell>
        </row>
        <row r="462">
          <cell r="G462">
            <v>1</v>
          </cell>
          <cell r="H462" t="str">
            <v>Within 1 mile</v>
          </cell>
          <cell r="I462">
            <v>3352750020</v>
          </cell>
        </row>
        <row r="463">
          <cell r="G463">
            <v>1</v>
          </cell>
          <cell r="H463" t="str">
            <v>Not Verified to be within 1 mile</v>
          </cell>
          <cell r="I463">
            <v>3337410691</v>
          </cell>
        </row>
        <row r="464">
          <cell r="G464">
            <v>2</v>
          </cell>
          <cell r="H464" t="str">
            <v>Not Verified to be within 1 mile</v>
          </cell>
          <cell r="I464">
            <v>3342617891</v>
          </cell>
        </row>
        <row r="465">
          <cell r="G465">
            <v>1</v>
          </cell>
          <cell r="H465" t="str">
            <v>Within 1 mile</v>
          </cell>
          <cell r="I465">
            <v>3337410713</v>
          </cell>
        </row>
        <row r="466">
          <cell r="G466">
            <v>5</v>
          </cell>
          <cell r="H466" t="str">
            <v>Within 40 feet</v>
          </cell>
          <cell r="I466">
            <v>3337410744</v>
          </cell>
        </row>
        <row r="467">
          <cell r="G467">
            <v>1</v>
          </cell>
          <cell r="H467" t="str">
            <v>Within 1 mile</v>
          </cell>
          <cell r="I467">
            <v>3342618304</v>
          </cell>
        </row>
        <row r="468">
          <cell r="G468">
            <v>2</v>
          </cell>
          <cell r="H468" t="str">
            <v>Within 165 feet</v>
          </cell>
          <cell r="I468">
            <v>3353097786</v>
          </cell>
        </row>
        <row r="469">
          <cell r="G469">
            <v>2</v>
          </cell>
          <cell r="H469" t="str">
            <v>Within 1 mile</v>
          </cell>
          <cell r="I469">
            <v>3337430102</v>
          </cell>
        </row>
        <row r="470">
          <cell r="G470">
            <v>4</v>
          </cell>
          <cell r="H470" t="str">
            <v>Within 165 feet</v>
          </cell>
          <cell r="I470">
            <v>3349560046</v>
          </cell>
        </row>
        <row r="471">
          <cell r="G471">
            <v>4</v>
          </cell>
          <cell r="H471" t="str">
            <v>Within 40 feet</v>
          </cell>
          <cell r="I471">
            <v>3337410784</v>
          </cell>
        </row>
        <row r="472">
          <cell r="G472">
            <v>5</v>
          </cell>
          <cell r="H472" t="str">
            <v>Not verified to be within 1 mile</v>
          </cell>
          <cell r="I472">
            <v>3349560357</v>
          </cell>
        </row>
        <row r="473">
          <cell r="G473">
            <v>1</v>
          </cell>
          <cell r="H473" t="str">
            <v>Not verified to be within 1 mile</v>
          </cell>
          <cell r="I473">
            <v>3349559847</v>
          </cell>
        </row>
        <row r="474">
          <cell r="G474">
            <v>2</v>
          </cell>
          <cell r="H474" t="str">
            <v>Within 1 mile</v>
          </cell>
          <cell r="I474">
            <v>3353097532</v>
          </cell>
        </row>
        <row r="475">
          <cell r="G475">
            <v>2</v>
          </cell>
          <cell r="H475" t="str">
            <v>Within 1 mile</v>
          </cell>
          <cell r="I475">
            <v>3352749877</v>
          </cell>
        </row>
        <row r="476">
          <cell r="G476">
            <v>1</v>
          </cell>
          <cell r="H476" t="str">
            <v>Not verified to be within 1 mile</v>
          </cell>
          <cell r="I476">
            <v>3349559949</v>
          </cell>
        </row>
        <row r="477">
          <cell r="G477">
            <v>1</v>
          </cell>
          <cell r="H477" t="str">
            <v>Not verified to be within 1 mile</v>
          </cell>
          <cell r="I477">
            <v>3349559926</v>
          </cell>
        </row>
        <row r="478">
          <cell r="G478">
            <v>3</v>
          </cell>
          <cell r="H478" t="str">
            <v>Within 1 mile</v>
          </cell>
          <cell r="I478">
            <v>3337410875</v>
          </cell>
        </row>
        <row r="479">
          <cell r="G479">
            <v>5</v>
          </cell>
          <cell r="H479" t="str">
            <v>Within 1 mile</v>
          </cell>
          <cell r="I479">
            <v>3337410884</v>
          </cell>
        </row>
        <row r="480">
          <cell r="G480">
            <v>2</v>
          </cell>
          <cell r="H480" t="str">
            <v>Within 1 mile</v>
          </cell>
          <cell r="I480">
            <v>3337427325</v>
          </cell>
        </row>
        <row r="481">
          <cell r="G481">
            <v>5</v>
          </cell>
          <cell r="H481" t="str">
            <v>Not verified to be within 1 mile</v>
          </cell>
          <cell r="I481">
            <v>3349559940</v>
          </cell>
        </row>
        <row r="482">
          <cell r="G482">
            <v>2</v>
          </cell>
          <cell r="H482" t="str">
            <v>Not verified to be within 1 mile</v>
          </cell>
          <cell r="I482">
            <v>3337410893</v>
          </cell>
        </row>
        <row r="483">
          <cell r="G483">
            <v>1</v>
          </cell>
          <cell r="H483" t="str">
            <v>Within 1 mile</v>
          </cell>
          <cell r="I483">
            <v>3337410898</v>
          </cell>
        </row>
        <row r="484">
          <cell r="G484">
            <v>2</v>
          </cell>
          <cell r="H484" t="str">
            <v>Within 1 mile</v>
          </cell>
          <cell r="I484">
            <v>3337410924</v>
          </cell>
        </row>
        <row r="485">
          <cell r="G485">
            <v>4</v>
          </cell>
          <cell r="H485" t="str">
            <v>Within 1 mile</v>
          </cell>
          <cell r="I485">
            <v>3337427366</v>
          </cell>
        </row>
        <row r="486">
          <cell r="G486">
            <v>2</v>
          </cell>
          <cell r="H486" t="str">
            <v>Within 1 mile</v>
          </cell>
          <cell r="I486">
            <v>3337410952</v>
          </cell>
        </row>
        <row r="487">
          <cell r="G487">
            <v>3</v>
          </cell>
          <cell r="H487" t="str">
            <v>Within 165 feet</v>
          </cell>
          <cell r="I487">
            <v>3342617491</v>
          </cell>
        </row>
        <row r="488">
          <cell r="G488">
            <v>13</v>
          </cell>
          <cell r="H488" t="str">
            <v>Within 1 mile</v>
          </cell>
          <cell r="I488">
            <v>3337411001</v>
          </cell>
        </row>
        <row r="489">
          <cell r="G489">
            <v>2</v>
          </cell>
          <cell r="H489" t="str">
            <v>Within 1 mile</v>
          </cell>
          <cell r="I489">
            <v>3352749885</v>
          </cell>
        </row>
        <row r="490">
          <cell r="G490">
            <v>2</v>
          </cell>
          <cell r="H490" t="str">
            <v>Within 165 feet</v>
          </cell>
          <cell r="I490">
            <v>3337411020</v>
          </cell>
        </row>
        <row r="491">
          <cell r="G491">
            <v>1</v>
          </cell>
          <cell r="H491" t="str">
            <v>Within 1 mile</v>
          </cell>
          <cell r="I491">
            <v>3337411021</v>
          </cell>
        </row>
        <row r="492">
          <cell r="G492">
            <v>2</v>
          </cell>
          <cell r="H492" t="str">
            <v>Within 40 feet</v>
          </cell>
          <cell r="I492">
            <v>3337411027</v>
          </cell>
        </row>
        <row r="493">
          <cell r="G493">
            <v>5</v>
          </cell>
          <cell r="H493" t="str">
            <v>Within 1 mile</v>
          </cell>
          <cell r="I493">
            <v>3337411049</v>
          </cell>
        </row>
        <row r="494">
          <cell r="G494">
            <v>2</v>
          </cell>
          <cell r="H494" t="str">
            <v>Within 1 mile</v>
          </cell>
          <cell r="I494">
            <v>3342618370</v>
          </cell>
        </row>
        <row r="495">
          <cell r="G495">
            <v>1</v>
          </cell>
          <cell r="H495" t="str">
            <v>Within 1 mile</v>
          </cell>
          <cell r="I495">
            <v>3337411078</v>
          </cell>
        </row>
        <row r="496">
          <cell r="G496">
            <v>2</v>
          </cell>
          <cell r="H496" t="str">
            <v>Within 1 mile</v>
          </cell>
          <cell r="I496">
            <v>3341136760</v>
          </cell>
        </row>
        <row r="497">
          <cell r="G497">
            <v>3</v>
          </cell>
          <cell r="H497" t="str">
            <v>Within 1 mile</v>
          </cell>
          <cell r="I497">
            <v>3337411105</v>
          </cell>
        </row>
        <row r="498">
          <cell r="G498">
            <v>4</v>
          </cell>
          <cell r="H498" t="str">
            <v>Within 1 mile</v>
          </cell>
          <cell r="I498">
            <v>3337411112</v>
          </cell>
        </row>
        <row r="499">
          <cell r="G499">
            <v>2</v>
          </cell>
          <cell r="H499" t="str">
            <v>Within 1 mile</v>
          </cell>
          <cell r="I499">
            <v>3352749835</v>
          </cell>
        </row>
        <row r="500">
          <cell r="G500">
            <v>2</v>
          </cell>
          <cell r="H500" t="str">
            <v>Not verified to be within 1 mile</v>
          </cell>
          <cell r="I500">
            <v>3349560032</v>
          </cell>
        </row>
        <row r="501">
          <cell r="G501">
            <v>2</v>
          </cell>
          <cell r="H501" t="str">
            <v>Within 1 mile</v>
          </cell>
          <cell r="I501">
            <v>3342618088</v>
          </cell>
        </row>
        <row r="502">
          <cell r="G502">
            <v>2</v>
          </cell>
          <cell r="H502" t="str">
            <v>Not verified to be within 1 mile</v>
          </cell>
          <cell r="I502">
            <v>3349560343</v>
          </cell>
        </row>
      </sheetData>
      <sheetData sheetId="19">
        <row r="3">
          <cell r="H3">
            <v>1996</v>
          </cell>
        </row>
        <row r="21">
          <cell r="I21">
            <v>338057128</v>
          </cell>
          <cell r="J21">
            <v>334872035</v>
          </cell>
          <cell r="K21">
            <v>212453978</v>
          </cell>
          <cell r="L21">
            <v>207686900</v>
          </cell>
          <cell r="M21">
            <v>143244318</v>
          </cell>
          <cell r="N21">
            <v>158068222</v>
          </cell>
          <cell r="O21">
            <v>324909659</v>
          </cell>
          <cell r="P21">
            <v>140649871</v>
          </cell>
          <cell r="Q21">
            <v>148856889</v>
          </cell>
          <cell r="R21">
            <v>180963779</v>
          </cell>
          <cell r="S21">
            <v>213474091</v>
          </cell>
          <cell r="T21">
            <v>185920403</v>
          </cell>
          <cell r="U21">
            <v>191972497</v>
          </cell>
          <cell r="V21">
            <v>204206022</v>
          </cell>
          <cell r="W21">
            <v>226259762</v>
          </cell>
          <cell r="X21">
            <v>228985935</v>
          </cell>
          <cell r="Y21">
            <v>233741346</v>
          </cell>
          <cell r="Z21">
            <v>247212327</v>
          </cell>
          <cell r="AA21">
            <v>259314706</v>
          </cell>
          <cell r="AB21">
            <v>278005680</v>
          </cell>
          <cell r="AC21">
            <v>290722968</v>
          </cell>
          <cell r="AD21">
            <v>305585048</v>
          </cell>
          <cell r="AE21">
            <v>312812036</v>
          </cell>
        </row>
        <row r="22">
          <cell r="I22">
            <v>78790207.200000003</v>
          </cell>
          <cell r="J22">
            <v>75161659.200000003</v>
          </cell>
          <cell r="K22">
            <v>65775225.399999999</v>
          </cell>
          <cell r="L22">
            <v>80331725.400000006</v>
          </cell>
          <cell r="M22">
            <v>69086861.299999997</v>
          </cell>
          <cell r="N22">
            <v>139015356</v>
          </cell>
          <cell r="O22">
            <v>100550989</v>
          </cell>
          <cell r="P22">
            <v>101617850</v>
          </cell>
          <cell r="Q22">
            <v>85267538.299999997</v>
          </cell>
          <cell r="R22">
            <v>100045016</v>
          </cell>
          <cell r="S22">
            <v>126846923</v>
          </cell>
          <cell r="T22">
            <v>111398588</v>
          </cell>
          <cell r="U22">
            <v>139066691</v>
          </cell>
          <cell r="V22">
            <v>99032243.5</v>
          </cell>
          <cell r="W22">
            <v>112360290</v>
          </cell>
          <cell r="X22">
            <v>120874543</v>
          </cell>
          <cell r="Y22">
            <v>121603753</v>
          </cell>
          <cell r="Z22">
            <v>132042192</v>
          </cell>
          <cell r="AA22">
            <v>136402533</v>
          </cell>
          <cell r="AB22">
            <v>147000264</v>
          </cell>
          <cell r="AC22">
            <v>154229691</v>
          </cell>
          <cell r="AD22">
            <v>163343414</v>
          </cell>
          <cell r="AE22">
            <v>169539348</v>
          </cell>
        </row>
        <row r="23">
          <cell r="I23">
            <v>186537499</v>
          </cell>
          <cell r="J23">
            <v>187904148</v>
          </cell>
          <cell r="K23">
            <v>210480721</v>
          </cell>
          <cell r="L23">
            <v>207686900</v>
          </cell>
          <cell r="M23">
            <v>185076729</v>
          </cell>
          <cell r="N23">
            <v>222283438</v>
          </cell>
          <cell r="O23">
            <v>215466406</v>
          </cell>
          <cell r="P23">
            <v>184392654</v>
          </cell>
          <cell r="Q23">
            <v>167644652</v>
          </cell>
          <cell r="R23">
            <v>158895025</v>
          </cell>
          <cell r="S23">
            <v>152371000</v>
          </cell>
          <cell r="T23">
            <v>96801531.900000006</v>
          </cell>
          <cell r="U23">
            <v>78602912.200000003</v>
          </cell>
          <cell r="V23">
            <v>105173778</v>
          </cell>
          <cell r="W23">
            <v>106203562</v>
          </cell>
          <cell r="X23">
            <v>104357524</v>
          </cell>
          <cell r="Y23">
            <v>107768596</v>
          </cell>
          <cell r="Z23">
            <v>112969431</v>
          </cell>
          <cell r="AA23">
            <v>119914315</v>
          </cell>
          <cell r="AB23">
            <v>121103844</v>
          </cell>
          <cell r="AC23">
            <v>124154902</v>
          </cell>
          <cell r="AD23">
            <v>129736874</v>
          </cell>
          <cell r="AE23">
            <v>132925216</v>
          </cell>
        </row>
        <row r="25">
          <cell r="H25" t="str">
            <v>Idaho</v>
          </cell>
          <cell r="I25">
            <v>629803398</v>
          </cell>
          <cell r="J25">
            <v>642873377.35000002</v>
          </cell>
          <cell r="K25">
            <v>827853700.19000006</v>
          </cell>
          <cell r="L25">
            <v>949314310.5</v>
          </cell>
          <cell r="M25">
            <v>824671705.72000003</v>
          </cell>
          <cell r="N25">
            <v>1036558543.99</v>
          </cell>
          <cell r="O25">
            <v>921412882.70000005</v>
          </cell>
          <cell r="P25">
            <v>989557786.60000002</v>
          </cell>
          <cell r="Q25">
            <v>1115915065.9000001</v>
          </cell>
          <cell r="R25">
            <v>1206767924.2</v>
          </cell>
          <cell r="S25">
            <v>1308849574.0699999</v>
          </cell>
          <cell r="T25">
            <v>1308585287.1199999</v>
          </cell>
          <cell r="U25">
            <v>1550282951.0999999</v>
          </cell>
          <cell r="V25">
            <v>1525677268</v>
          </cell>
          <cell r="W25">
            <v>1548751854</v>
          </cell>
          <cell r="X25">
            <v>1538633207</v>
          </cell>
          <cell r="Y25">
            <v>1572647948.3599999</v>
          </cell>
          <cell r="Z25">
            <v>1607127657.75</v>
          </cell>
          <cell r="AA25">
            <v>1636247118.73</v>
          </cell>
          <cell r="AB25">
            <v>1670740596.71</v>
          </cell>
          <cell r="AC25">
            <v>1711084692.01</v>
          </cell>
          <cell r="AD25">
            <v>1745849788.4400001</v>
          </cell>
          <cell r="AE25">
            <v>1793842788.48</v>
          </cell>
        </row>
        <row r="26">
          <cell r="H26" t="str">
            <v>Montana</v>
          </cell>
          <cell r="I26">
            <v>157306078.61199999</v>
          </cell>
          <cell r="J26">
            <v>158988866.479</v>
          </cell>
          <cell r="K26">
            <v>148022659.32499999</v>
          </cell>
          <cell r="L26">
            <v>155196955.574</v>
          </cell>
          <cell r="M26">
            <v>150797506.91999999</v>
          </cell>
          <cell r="N26">
            <v>196689240.5</v>
          </cell>
          <cell r="O26">
            <v>190677159.15799999</v>
          </cell>
          <cell r="P26">
            <v>182341406.83200002</v>
          </cell>
          <cell r="Q26">
            <v>229853474.61199999</v>
          </cell>
          <cell r="R26">
            <v>168291733.711</v>
          </cell>
          <cell r="S26">
            <v>185044294.19700003</v>
          </cell>
          <cell r="T26">
            <v>230868388.64999998</v>
          </cell>
          <cell r="U26">
            <v>238708494.85599998</v>
          </cell>
          <cell r="V26">
            <v>318134630.06999993</v>
          </cell>
          <cell r="W26">
            <v>310634073.77999997</v>
          </cell>
          <cell r="X26">
            <v>320834983.16000003</v>
          </cell>
          <cell r="Y26">
            <v>323015623.47000003</v>
          </cell>
          <cell r="Z26">
            <v>319071472.87</v>
          </cell>
          <cell r="AA26">
            <v>320041493.44999999</v>
          </cell>
          <cell r="AB26">
            <v>321220236.61000001</v>
          </cell>
          <cell r="AC26">
            <v>317274315.14999998</v>
          </cell>
          <cell r="AD26">
            <v>317242678.67000002</v>
          </cell>
          <cell r="AE26">
            <v>314343281.5</v>
          </cell>
        </row>
        <row r="27">
          <cell r="H27" t="str">
            <v>Oregon</v>
          </cell>
          <cell r="I27">
            <v>1023141844.83</v>
          </cell>
          <cell r="J27">
            <v>1032526028.86</v>
          </cell>
          <cell r="K27">
            <v>962715823.98000002</v>
          </cell>
          <cell r="L27">
            <v>1076032289.2</v>
          </cell>
          <cell r="M27">
            <v>1134553263.6399999</v>
          </cell>
          <cell r="N27">
            <v>1277568570.9000001</v>
          </cell>
          <cell r="O27">
            <v>1325282272.8</v>
          </cell>
          <cell r="P27">
            <v>1385460617.0999999</v>
          </cell>
          <cell r="Q27">
            <v>1327843272.4000001</v>
          </cell>
          <cell r="R27">
            <v>1262279512.3</v>
          </cell>
          <cell r="S27">
            <v>1527455277.2</v>
          </cell>
          <cell r="T27">
            <v>1481428474.1000001</v>
          </cell>
          <cell r="U27">
            <v>1611305885.4000001</v>
          </cell>
          <cell r="V27">
            <v>1703912175.9000001</v>
          </cell>
          <cell r="W27">
            <v>1822716919.9000001</v>
          </cell>
          <cell r="X27">
            <v>1863138987.4000001</v>
          </cell>
          <cell r="Y27">
            <v>1934947194.0999999</v>
          </cell>
          <cell r="Z27">
            <v>2020589620.3999999</v>
          </cell>
          <cell r="AA27">
            <v>2083950219.9000001</v>
          </cell>
          <cell r="AB27">
            <v>2146630229.3</v>
          </cell>
          <cell r="AC27">
            <v>2204367746.5</v>
          </cell>
          <cell r="AD27">
            <v>2262579257.1000004</v>
          </cell>
          <cell r="AE27">
            <v>2319287101.8000002</v>
          </cell>
        </row>
        <row r="28">
          <cell r="H28" t="str">
            <v>Washington</v>
          </cell>
          <cell r="I28">
            <v>1273438305.8</v>
          </cell>
          <cell r="J28">
            <v>1241509549.7</v>
          </cell>
          <cell r="K28">
            <v>1106339290.4000001</v>
          </cell>
          <cell r="L28">
            <v>1131175190.4000001</v>
          </cell>
          <cell r="M28">
            <v>972920477.39999998</v>
          </cell>
          <cell r="N28">
            <v>1033088739</v>
          </cell>
          <cell r="O28">
            <v>855709439</v>
          </cell>
          <cell r="P28">
            <v>854666682</v>
          </cell>
          <cell r="Q28">
            <v>802092945.5</v>
          </cell>
          <cell r="R28">
            <v>821693254.89999998</v>
          </cell>
          <cell r="S28">
            <v>979969830</v>
          </cell>
          <cell r="T28">
            <v>938821206.89999998</v>
          </cell>
          <cell r="U28">
            <v>1005210320.2</v>
          </cell>
          <cell r="V28">
            <v>1020262416.5</v>
          </cell>
          <cell r="W28">
            <v>1129759628</v>
          </cell>
          <cell r="X28">
            <v>1167452880</v>
          </cell>
          <cell r="Y28">
            <v>1221862862</v>
          </cell>
          <cell r="Z28">
            <v>1302082730</v>
          </cell>
          <cell r="AA28">
            <v>1366273724</v>
          </cell>
          <cell r="AB28">
            <v>1436489624</v>
          </cell>
          <cell r="AC28">
            <v>1503739491</v>
          </cell>
          <cell r="AD28">
            <v>1577162726</v>
          </cell>
          <cell r="AE28">
            <v>1639676320</v>
          </cell>
        </row>
        <row r="30">
          <cell r="G30" t="str">
            <v>2 Digit NAICS descp.</v>
          </cell>
          <cell r="H30" t="str">
            <v>3 digit nics descp</v>
          </cell>
          <cell r="I30" t="str">
            <v>Building type</v>
          </cell>
          <cell r="J30" t="str">
            <v>Mapping to 2020 ECCs</v>
          </cell>
          <cell r="K30" t="str">
            <v>Mapping to 2020 Transportation</v>
          </cell>
          <cell r="L30" t="str">
            <v>Mapping</v>
          </cell>
          <cell r="M30" t="str">
            <v>State</v>
          </cell>
          <cell r="N30" t="str">
            <v>Regions</v>
          </cell>
          <cell r="O30">
            <v>1997</v>
          </cell>
          <cell r="P30">
            <v>1998</v>
          </cell>
          <cell r="Q30">
            <v>1999</v>
          </cell>
          <cell r="R30">
            <v>2000</v>
          </cell>
          <cell r="S30">
            <v>2001</v>
          </cell>
          <cell r="T30">
            <v>2002</v>
          </cell>
          <cell r="U30">
            <v>2003</v>
          </cell>
          <cell r="V30">
            <v>2004</v>
          </cell>
          <cell r="W30">
            <v>2005</v>
          </cell>
          <cell r="X30">
            <v>2006</v>
          </cell>
          <cell r="Y30">
            <v>2007</v>
          </cell>
          <cell r="Z30">
            <v>2008</v>
          </cell>
          <cell r="AA30">
            <v>2009</v>
          </cell>
          <cell r="AB30">
            <v>2010</v>
          </cell>
          <cell r="AC30">
            <v>2011</v>
          </cell>
          <cell r="AD30">
            <v>2012</v>
          </cell>
          <cell r="AE30">
            <v>2013</v>
          </cell>
        </row>
        <row r="31">
          <cell r="G31" t="str">
            <v>Manufacturing</v>
          </cell>
          <cell r="H31" t="str">
            <v>Food Manufacturing</v>
          </cell>
          <cell r="I31" t="str">
            <v>Manufacturing</v>
          </cell>
          <cell r="J31" t="str">
            <v>Food &amp; Tobacco</v>
          </cell>
          <cell r="K31" t="str">
            <v>Freight</v>
          </cell>
          <cell r="L31" t="str">
            <v>Sales (Inflation Adjusted - 2000$)_ID_3115</v>
          </cell>
          <cell r="M31" t="str">
            <v>ID</v>
          </cell>
          <cell r="N31" t="str">
            <v>Idaho</v>
          </cell>
          <cell r="O31">
            <v>629803398</v>
          </cell>
          <cell r="P31">
            <v>642873377.35000002</v>
          </cell>
          <cell r="Q31">
            <v>827853700.19000006</v>
          </cell>
          <cell r="R31">
            <v>949314310.5</v>
          </cell>
          <cell r="S31">
            <v>824671705.72000003</v>
          </cell>
          <cell r="T31">
            <v>1036558543.99</v>
          </cell>
          <cell r="U31">
            <v>921412882.70000005</v>
          </cell>
          <cell r="V31">
            <v>989557786.60000002</v>
          </cell>
          <cell r="W31">
            <v>1115915065.9000001</v>
          </cell>
          <cell r="X31">
            <v>1206767924.2</v>
          </cell>
          <cell r="Y31">
            <v>1308849574.0699999</v>
          </cell>
          <cell r="Z31">
            <v>1308585287.1199999</v>
          </cell>
          <cell r="AA31">
            <v>1550282951.0999999</v>
          </cell>
          <cell r="AB31">
            <v>1525677268</v>
          </cell>
          <cell r="AC31">
            <v>1548751854</v>
          </cell>
          <cell r="AD31">
            <v>1538633207</v>
          </cell>
          <cell r="AE31">
            <v>1572647948.3599999</v>
          </cell>
        </row>
        <row r="32">
          <cell r="G32" t="str">
            <v>Manufacturing</v>
          </cell>
          <cell r="H32" t="str">
            <v>Food Manufacturing</v>
          </cell>
          <cell r="I32" t="str">
            <v>Manufacturing</v>
          </cell>
          <cell r="J32" t="str">
            <v>Food &amp; Tobacco</v>
          </cell>
          <cell r="K32" t="str">
            <v>Freight</v>
          </cell>
          <cell r="L32" t="str">
            <v>Sales (Inflation Adjusted - 2000$)_MT_3115</v>
          </cell>
          <cell r="M32" t="str">
            <v>MT</v>
          </cell>
          <cell r="N32" t="str">
            <v>Montana</v>
          </cell>
          <cell r="O32">
            <v>157306078.61199999</v>
          </cell>
          <cell r="P32">
            <v>158988866.479</v>
          </cell>
          <cell r="Q32">
            <v>148022659.32499999</v>
          </cell>
          <cell r="R32">
            <v>155196955.574</v>
          </cell>
          <cell r="S32">
            <v>150797506.91999999</v>
          </cell>
          <cell r="T32">
            <v>196689240.5</v>
          </cell>
          <cell r="U32">
            <v>190677159.15799999</v>
          </cell>
          <cell r="V32">
            <v>182341406.83200002</v>
          </cell>
          <cell r="W32">
            <v>229853474.61199999</v>
          </cell>
          <cell r="X32">
            <v>168291733.711</v>
          </cell>
          <cell r="Y32">
            <v>185044294.19700003</v>
          </cell>
          <cell r="Z32">
            <v>230868388.64999998</v>
          </cell>
          <cell r="AA32">
            <v>238708494.85599998</v>
          </cell>
          <cell r="AB32">
            <v>318134630.06999993</v>
          </cell>
          <cell r="AC32">
            <v>310634073.77999997</v>
          </cell>
          <cell r="AD32">
            <v>320834983.16000003</v>
          </cell>
          <cell r="AE32">
            <v>323015623.47000003</v>
          </cell>
        </row>
        <row r="33">
          <cell r="G33" t="str">
            <v>Manufacturing</v>
          </cell>
          <cell r="H33" t="str">
            <v>Food Manufacturing</v>
          </cell>
          <cell r="I33" t="str">
            <v>Manufacturing</v>
          </cell>
          <cell r="J33" t="str">
            <v>Food &amp; Tobacco</v>
          </cell>
          <cell r="K33" t="str">
            <v>Freight</v>
          </cell>
          <cell r="L33" t="str">
            <v>Sales (Inflation Adjusted - 2000$)_OR_3115</v>
          </cell>
          <cell r="M33" t="str">
            <v>OR</v>
          </cell>
          <cell r="N33" t="str">
            <v>Oregon</v>
          </cell>
          <cell r="O33">
            <v>1023141844.83</v>
          </cell>
          <cell r="P33">
            <v>1032526028.86</v>
          </cell>
          <cell r="Q33">
            <v>962715823.98000002</v>
          </cell>
          <cell r="R33">
            <v>1076032289.2</v>
          </cell>
          <cell r="S33">
            <v>1134553263.6399999</v>
          </cell>
          <cell r="T33">
            <v>1277568570.9000001</v>
          </cell>
          <cell r="U33">
            <v>1325282272.8</v>
          </cell>
          <cell r="V33">
            <v>1385460617.0999999</v>
          </cell>
          <cell r="W33">
            <v>1327843272.4000001</v>
          </cell>
          <cell r="X33">
            <v>1262279512.3</v>
          </cell>
          <cell r="Y33">
            <v>1527455277.2</v>
          </cell>
          <cell r="Z33">
            <v>1481428474.1000001</v>
          </cell>
          <cell r="AA33">
            <v>1611305885.4000001</v>
          </cell>
          <cell r="AB33">
            <v>1703912175.9000001</v>
          </cell>
          <cell r="AC33">
            <v>1822716919.9000001</v>
          </cell>
          <cell r="AD33">
            <v>1863138987.4000001</v>
          </cell>
          <cell r="AE33">
            <v>1934947194.0999999</v>
          </cell>
        </row>
        <row r="34">
          <cell r="G34" t="str">
            <v>Manufacturing</v>
          </cell>
          <cell r="H34" t="str">
            <v>Food Manufacturing</v>
          </cell>
          <cell r="I34" t="str">
            <v>Manufacturing</v>
          </cell>
          <cell r="J34" t="str">
            <v>Food &amp; Tobacco</v>
          </cell>
          <cell r="K34" t="str">
            <v>Freight</v>
          </cell>
          <cell r="L34" t="str">
            <v>Sales (Inflation Adjusted - 2000$)_WA_3115</v>
          </cell>
          <cell r="M34" t="str">
            <v>WA</v>
          </cell>
          <cell r="N34" t="str">
            <v>Washington</v>
          </cell>
          <cell r="O34">
            <v>1273438305.8</v>
          </cell>
          <cell r="P34">
            <v>1241509549.7</v>
          </cell>
          <cell r="Q34">
            <v>1106339290.4000001</v>
          </cell>
          <cell r="R34">
            <v>1131175190.4000001</v>
          </cell>
          <cell r="S34">
            <v>972920477.39999998</v>
          </cell>
          <cell r="T34">
            <v>1033088739</v>
          </cell>
          <cell r="U34">
            <v>855709439</v>
          </cell>
          <cell r="V34">
            <v>854666682</v>
          </cell>
          <cell r="W34">
            <v>802092945.5</v>
          </cell>
          <cell r="X34">
            <v>821693254.89999998</v>
          </cell>
          <cell r="Y34">
            <v>979969830</v>
          </cell>
          <cell r="Z34">
            <v>938821206.89999998</v>
          </cell>
          <cell r="AA34">
            <v>1005210320.2</v>
          </cell>
          <cell r="AB34">
            <v>1020262416.5</v>
          </cell>
          <cell r="AC34">
            <v>1129759628</v>
          </cell>
          <cell r="AD34">
            <v>1167452880</v>
          </cell>
          <cell r="AE34">
            <v>1221862862</v>
          </cell>
        </row>
        <row r="36">
          <cell r="G36">
            <v>1711084692.01</v>
          </cell>
          <cell r="H36">
            <v>1745849788.4400001</v>
          </cell>
          <cell r="I36">
            <v>1793842788.48</v>
          </cell>
          <cell r="J36">
            <v>1844031455.0799999</v>
          </cell>
          <cell r="K36">
            <v>1900640702.6900001</v>
          </cell>
          <cell r="L36">
            <v>1957464654.45</v>
          </cell>
          <cell r="M36">
            <v>2024591449.8199999</v>
          </cell>
          <cell r="N36">
            <v>2099484002.3499999</v>
          </cell>
          <cell r="O36">
            <v>2182153011.5999999</v>
          </cell>
          <cell r="P36">
            <v>2284892178.5</v>
          </cell>
          <cell r="Q36">
            <v>2378940927.7800002</v>
          </cell>
          <cell r="R36">
            <v>2484467592.8899999</v>
          </cell>
          <cell r="S36">
            <v>2575806943.77</v>
          </cell>
          <cell r="T36">
            <v>2675193452.4000001</v>
          </cell>
          <cell r="U36">
            <v>2783592126.4000001</v>
          </cell>
          <cell r="V36">
            <v>2887561973.1999998</v>
          </cell>
          <cell r="W36">
            <v>2987701908</v>
          </cell>
          <cell r="X36">
            <v>3105538699.9000001</v>
          </cell>
          <cell r="Y36">
            <v>3188441716.3000002</v>
          </cell>
        </row>
        <row r="37">
          <cell r="G37">
            <v>317274315.14999998</v>
          </cell>
          <cell r="H37">
            <v>317242678.67000002</v>
          </cell>
          <cell r="I37">
            <v>314343281.5</v>
          </cell>
          <cell r="J37">
            <v>315500155.42000002</v>
          </cell>
          <cell r="K37">
            <v>316604185.17000002</v>
          </cell>
          <cell r="L37">
            <v>314025803.90000004</v>
          </cell>
          <cell r="M37">
            <v>312165770.96000004</v>
          </cell>
          <cell r="N37">
            <v>316846772.75</v>
          </cell>
          <cell r="O37">
            <v>317154017.94000006</v>
          </cell>
          <cell r="P37">
            <v>317132831.70999998</v>
          </cell>
          <cell r="Q37">
            <v>329619379.67999995</v>
          </cell>
          <cell r="R37">
            <v>331066865.50999999</v>
          </cell>
          <cell r="S37">
            <v>333952763.74000001</v>
          </cell>
          <cell r="T37">
            <v>338486759.89000005</v>
          </cell>
          <cell r="U37">
            <v>344005985.83999997</v>
          </cell>
          <cell r="V37">
            <v>344015536.36000001</v>
          </cell>
          <cell r="W37">
            <v>352166717.38</v>
          </cell>
          <cell r="X37">
            <v>360257472.30000007</v>
          </cell>
          <cell r="Y37">
            <v>360167672.44999999</v>
          </cell>
        </row>
        <row r="38">
          <cell r="G38">
            <v>2204367746.5</v>
          </cell>
          <cell r="H38">
            <v>2262579257.1000004</v>
          </cell>
          <cell r="I38">
            <v>2319287101.8000002</v>
          </cell>
          <cell r="J38">
            <v>2377721823.3000002</v>
          </cell>
          <cell r="K38">
            <v>2439565476.5999999</v>
          </cell>
          <cell r="L38">
            <v>2511493504.3000002</v>
          </cell>
          <cell r="M38">
            <v>2591814073.3999996</v>
          </cell>
          <cell r="N38">
            <v>2679434278</v>
          </cell>
          <cell r="O38">
            <v>2774540250.3000002</v>
          </cell>
          <cell r="P38">
            <v>2879612349.6999998</v>
          </cell>
          <cell r="Q38">
            <v>2984193071.1999998</v>
          </cell>
          <cell r="R38">
            <v>3092428874</v>
          </cell>
          <cell r="S38">
            <v>3202917778.5999999</v>
          </cell>
          <cell r="T38">
            <v>3332498384.6999998</v>
          </cell>
          <cell r="U38">
            <v>3442249037.4000001</v>
          </cell>
          <cell r="V38">
            <v>3565172330.5999999</v>
          </cell>
          <cell r="W38">
            <v>3708165815.2000003</v>
          </cell>
          <cell r="X38">
            <v>3837626194.8000002</v>
          </cell>
          <cell r="Y38">
            <v>3986119730.8000002</v>
          </cell>
        </row>
        <row r="39">
          <cell r="G39">
            <v>1503739491</v>
          </cell>
          <cell r="H39">
            <v>1577162726</v>
          </cell>
          <cell r="I39">
            <v>1639676320</v>
          </cell>
          <cell r="J39">
            <v>1705797870</v>
          </cell>
          <cell r="K39">
            <v>1761876129</v>
          </cell>
          <cell r="L39">
            <v>1832353919</v>
          </cell>
          <cell r="M39">
            <v>1885834558</v>
          </cell>
          <cell r="N39">
            <v>1950702973</v>
          </cell>
          <cell r="O39">
            <v>2024878252</v>
          </cell>
          <cell r="P39">
            <v>2106253871</v>
          </cell>
          <cell r="Q39">
            <v>2193325448</v>
          </cell>
          <cell r="R39">
            <v>2273964959</v>
          </cell>
          <cell r="S39">
            <v>2356511431</v>
          </cell>
          <cell r="T39">
            <v>2435921000</v>
          </cell>
          <cell r="U39">
            <v>2531172713</v>
          </cell>
          <cell r="V39">
            <v>2621004345</v>
          </cell>
          <cell r="W39">
            <v>2698900541</v>
          </cell>
          <cell r="X39">
            <v>2796518159</v>
          </cell>
          <cell r="Y39">
            <v>2869362843</v>
          </cell>
        </row>
        <row r="40">
          <cell r="G40">
            <v>5736466244.6599998</v>
          </cell>
          <cell r="H40">
            <v>5902834450.210001</v>
          </cell>
          <cell r="I40">
            <v>6067149491.7800007</v>
          </cell>
          <cell r="J40">
            <v>6243051303.8000002</v>
          </cell>
          <cell r="K40">
            <v>6418686493.46</v>
          </cell>
          <cell r="L40">
            <v>6615337881.6499996</v>
          </cell>
          <cell r="M40">
            <v>6814405852.1799994</v>
          </cell>
          <cell r="N40">
            <v>7046468026.1000004</v>
          </cell>
          <cell r="O40">
            <v>7298725531.8400002</v>
          </cell>
          <cell r="P40">
            <v>7587891230.9099998</v>
          </cell>
          <cell r="Q40">
            <v>7886078826.6599998</v>
          </cell>
          <cell r="R40">
            <v>8181928291.3999996</v>
          </cell>
          <cell r="S40">
            <v>8469188917.1100006</v>
          </cell>
          <cell r="T40">
            <v>8782099596.9899998</v>
          </cell>
          <cell r="U40">
            <v>9101019862.6399994</v>
          </cell>
          <cell r="V40">
            <v>9417754185.1599998</v>
          </cell>
          <cell r="W40">
            <v>9746934981.5799999</v>
          </cell>
          <cell r="X40">
            <v>10099940526</v>
          </cell>
          <cell r="Y40">
            <v>10404091962.549999</v>
          </cell>
          <cell r="AB40">
            <v>0</v>
          </cell>
        </row>
        <row r="45">
          <cell r="G45" t="str">
            <v>Montana - Sales</v>
          </cell>
          <cell r="H45" t="str">
            <v>Montana - Production</v>
          </cell>
          <cell r="I45" t="str">
            <v>Oregon - Employment</v>
          </cell>
          <cell r="J45" t="str">
            <v>Oregon - Sales</v>
          </cell>
          <cell r="K45" t="str">
            <v>Oregon - Production</v>
          </cell>
          <cell r="L45" t="str">
            <v>Washington - Employment</v>
          </cell>
          <cell r="M45" t="str">
            <v>Washington - Sales</v>
          </cell>
          <cell r="N45" t="str">
            <v>Washington - Production</v>
          </cell>
          <cell r="S45" t="str">
            <v>Milk cows and production by State and region, 2009-2013 (cont.)</v>
          </cell>
        </row>
        <row r="46">
          <cell r="G46">
            <v>157306078.61199999</v>
          </cell>
          <cell r="H46">
            <v>295</v>
          </cell>
          <cell r="J46">
            <v>1023141844.83</v>
          </cell>
          <cell r="K46">
            <v>1610</v>
          </cell>
          <cell r="M46">
            <v>1273438305.8</v>
          </cell>
          <cell r="N46">
            <v>5305</v>
          </cell>
        </row>
        <row r="47">
          <cell r="G47">
            <v>158988866.479</v>
          </cell>
          <cell r="H47">
            <v>291</v>
          </cell>
          <cell r="J47">
            <v>1032526028.86</v>
          </cell>
          <cell r="K47">
            <v>1583</v>
          </cell>
          <cell r="M47">
            <v>1241509549.7</v>
          </cell>
          <cell r="N47">
            <v>5326</v>
          </cell>
          <cell r="R47" t="str">
            <v>State and region</v>
          </cell>
          <cell r="T47" t="str">
            <v>Milk production</v>
          </cell>
        </row>
        <row r="48">
          <cell r="G48">
            <v>148022659.32499999</v>
          </cell>
          <cell r="H48">
            <v>303</v>
          </cell>
          <cell r="J48">
            <v>962715823.98000002</v>
          </cell>
          <cell r="K48">
            <v>1665</v>
          </cell>
          <cell r="M48">
            <v>1106339290.4000001</v>
          </cell>
          <cell r="N48">
            <v>5535</v>
          </cell>
          <cell r="T48">
            <v>2008</v>
          </cell>
          <cell r="V48">
            <v>2009</v>
          </cell>
          <cell r="X48">
            <v>2010</v>
          </cell>
          <cell r="Z48" t="str">
            <v xml:space="preserve">2011  </v>
          </cell>
          <cell r="AB48" t="str">
            <v>2012</v>
          </cell>
          <cell r="AD48" t="str">
            <v>2013 1/</v>
          </cell>
        </row>
        <row r="49">
          <cell r="G49">
            <v>155196955.574</v>
          </cell>
          <cell r="H49">
            <v>338</v>
          </cell>
          <cell r="J49">
            <v>1076032289.2</v>
          </cell>
          <cell r="K49">
            <v>1640</v>
          </cell>
          <cell r="M49">
            <v>1131175190.4000001</v>
          </cell>
          <cell r="N49">
            <v>5593</v>
          </cell>
        </row>
        <row r="50">
          <cell r="G50">
            <v>150797506.91999999</v>
          </cell>
          <cell r="H50">
            <v>346</v>
          </cell>
          <cell r="J50">
            <v>1134553263.6399999</v>
          </cell>
          <cell r="K50">
            <v>1717</v>
          </cell>
          <cell r="M50">
            <v>972920477.39999998</v>
          </cell>
          <cell r="N50">
            <v>5514</v>
          </cell>
          <cell r="T50" t="str">
            <v>mil. pounds</v>
          </cell>
          <cell r="U50" t="str">
            <v>% US</v>
          </cell>
          <cell r="V50" t="str">
            <v>mil. pounds</v>
          </cell>
          <cell r="W50" t="str">
            <v>% US</v>
          </cell>
          <cell r="X50" t="str">
            <v>mil. pounds</v>
          </cell>
          <cell r="Y50" t="str">
            <v>% US</v>
          </cell>
          <cell r="Z50" t="str">
            <v>mil. pounds</v>
          </cell>
          <cell r="AA50" t="str">
            <v>% US</v>
          </cell>
          <cell r="AB50" t="str">
            <v>mil. pounds</v>
          </cell>
          <cell r="AC50" t="str">
            <v>% US</v>
          </cell>
          <cell r="AD50" t="str">
            <v>mil. pounds</v>
          </cell>
          <cell r="AE50" t="str">
            <v>% US</v>
          </cell>
        </row>
        <row r="51">
          <cell r="G51">
            <v>196689240.5</v>
          </cell>
          <cell r="H51">
            <v>341</v>
          </cell>
          <cell r="J51">
            <v>1277568570.9000001</v>
          </cell>
          <cell r="K51">
            <v>2093</v>
          </cell>
          <cell r="M51">
            <v>1033088739</v>
          </cell>
          <cell r="N51">
            <v>5620</v>
          </cell>
          <cell r="R51" t="str">
            <v xml:space="preserve">  Mountain</v>
          </cell>
          <cell r="T51">
            <v>30247.7</v>
          </cell>
          <cell r="U51">
            <v>0.15921325302409753</v>
          </cell>
          <cell r="V51">
            <v>29750.7</v>
          </cell>
          <cell r="W51">
            <v>0.15713375755808795</v>
          </cell>
          <cell r="X51">
            <v>30359.9</v>
          </cell>
          <cell r="Y51">
            <v>0.15823747061052451</v>
          </cell>
          <cell r="Z51">
            <v>31780.1</v>
          </cell>
          <cell r="AA51">
            <v>0.1620073142656728</v>
          </cell>
          <cell r="AB51">
            <v>32550</v>
          </cell>
          <cell r="AC51">
            <v>0.16231418640949052</v>
          </cell>
          <cell r="AD51">
            <v>32405</v>
          </cell>
          <cell r="AE51">
            <v>0.1610450409259655</v>
          </cell>
        </row>
        <row r="52">
          <cell r="G52">
            <v>190677159.15799999</v>
          </cell>
          <cell r="H52">
            <v>345</v>
          </cell>
          <cell r="J52">
            <v>1325282272.8</v>
          </cell>
          <cell r="K52">
            <v>2177</v>
          </cell>
          <cell r="M52">
            <v>855709439</v>
          </cell>
          <cell r="N52">
            <v>5581</v>
          </cell>
          <cell r="S52" t="str">
            <v>Montana</v>
          </cell>
          <cell r="T52">
            <v>313</v>
          </cell>
          <cell r="U52">
            <v>1.6475219007244361E-3</v>
          </cell>
          <cell r="V52">
            <v>299</v>
          </cell>
          <cell r="W52">
            <v>1.5792231278547494E-3</v>
          </cell>
          <cell r="X52">
            <v>284</v>
          </cell>
          <cell r="Y52">
            <v>1.4802236388587893E-3</v>
          </cell>
          <cell r="Z52">
            <v>288</v>
          </cell>
          <cell r="AA52">
            <v>1.4681548046895311E-3</v>
          </cell>
          <cell r="AB52">
            <v>299</v>
          </cell>
          <cell r="AC52">
            <v>1.4909966739304966E-3</v>
          </cell>
          <cell r="AD52">
            <v>298</v>
          </cell>
          <cell r="AE52">
            <v>1.480988186882818E-3</v>
          </cell>
        </row>
        <row r="53">
          <cell r="G53">
            <v>182341406.83200002</v>
          </cell>
          <cell r="H53">
            <v>348</v>
          </cell>
          <cell r="J53">
            <v>1385460617.0999999</v>
          </cell>
          <cell r="K53">
            <v>2270</v>
          </cell>
          <cell r="M53">
            <v>854666682</v>
          </cell>
          <cell r="N53">
            <v>5416</v>
          </cell>
          <cell r="S53" t="str">
            <v>Idaho</v>
          </cell>
          <cell r="T53">
            <v>12315</v>
          </cell>
          <cell r="U53">
            <v>6.4821828138726612E-2</v>
          </cell>
          <cell r="V53">
            <v>12150</v>
          </cell>
          <cell r="W53">
            <v>6.4172444827542488E-2</v>
          </cell>
          <cell r="X53">
            <v>12746</v>
          </cell>
          <cell r="Y53">
            <v>6.6432853876387782E-2</v>
          </cell>
          <cell r="Z53">
            <v>13256</v>
          </cell>
          <cell r="AA53">
            <v>6.7575903093626474E-2</v>
          </cell>
          <cell r="AB53">
            <v>13558</v>
          </cell>
          <cell r="AC53">
            <v>6.7608471254681182E-2</v>
          </cell>
          <cell r="AD53">
            <v>13431</v>
          </cell>
          <cell r="AE53">
            <v>6.6748833349070905E-2</v>
          </cell>
        </row>
        <row r="54">
          <cell r="G54">
            <v>229853474.61199999</v>
          </cell>
          <cell r="H54">
            <v>372</v>
          </cell>
          <cell r="J54">
            <v>1327843272.4000001</v>
          </cell>
          <cell r="K54">
            <v>2284</v>
          </cell>
          <cell r="M54">
            <v>802092945.5</v>
          </cell>
          <cell r="N54">
            <v>5608</v>
          </cell>
        </row>
        <row r="55">
          <cell r="G55">
            <v>168291733.711</v>
          </cell>
          <cell r="H55">
            <v>354</v>
          </cell>
          <cell r="J55">
            <v>1262279512.3</v>
          </cell>
          <cell r="K55">
            <v>2242</v>
          </cell>
          <cell r="M55">
            <v>821693254.89999998</v>
          </cell>
          <cell r="N55">
            <v>5464</v>
          </cell>
          <cell r="R55" t="str">
            <v xml:space="preserve">  Pacific</v>
          </cell>
          <cell r="T55">
            <v>49178.7</v>
          </cell>
          <cell r="U55">
            <v>0.25885937795257769</v>
          </cell>
          <cell r="V55">
            <v>47348.3</v>
          </cell>
          <cell r="W55">
            <v>0.25007869707225766</v>
          </cell>
          <cell r="X55">
            <v>48650.6</v>
          </cell>
          <cell r="Y55">
            <v>0.25356960621360358</v>
          </cell>
          <cell r="Z55">
            <v>50144.3</v>
          </cell>
          <cell r="AA55">
            <v>0.25562359365553217</v>
          </cell>
          <cell r="AB55">
            <v>50582</v>
          </cell>
          <cell r="AC55">
            <v>0.25223275505268355</v>
          </cell>
          <cell r="AD55">
            <v>50139</v>
          </cell>
          <cell r="AE55">
            <v>0.24917874732254233</v>
          </cell>
        </row>
        <row r="56">
          <cell r="G56">
            <v>185044294.19700003</v>
          </cell>
          <cell r="H56">
            <v>333</v>
          </cell>
          <cell r="J56">
            <v>1527455277.2</v>
          </cell>
          <cell r="K56">
            <v>2233</v>
          </cell>
          <cell r="M56">
            <v>979969830</v>
          </cell>
          <cell r="N56">
            <v>5531</v>
          </cell>
          <cell r="S56" t="str">
            <v>Washington</v>
          </cell>
          <cell r="T56">
            <v>5696</v>
          </cell>
          <cell r="U56">
            <v>2.998174040423766E-2</v>
          </cell>
          <cell r="V56">
            <v>5561</v>
          </cell>
          <cell r="W56">
            <v>2.9371437505017597E-2</v>
          </cell>
          <cell r="X56">
            <v>5885</v>
          </cell>
          <cell r="Y56">
            <v>3.0672944065788646E-2</v>
          </cell>
          <cell r="Z56">
            <v>6169</v>
          </cell>
          <cell r="AA56">
            <v>3.1448079826839295E-2</v>
          </cell>
          <cell r="AB56">
            <v>6234</v>
          </cell>
          <cell r="AC56">
            <v>3.1086532659808413E-2</v>
          </cell>
          <cell r="AD56">
            <v>6336</v>
          </cell>
          <cell r="AE56">
            <v>3.1488393127817232E-2</v>
          </cell>
        </row>
        <row r="57">
          <cell r="G57">
            <v>230868388.64999998</v>
          </cell>
          <cell r="H57">
            <v>313</v>
          </cell>
          <cell r="J57">
            <v>1481428474.1000001</v>
          </cell>
          <cell r="K57">
            <v>2254</v>
          </cell>
          <cell r="M57">
            <v>938821206.89999998</v>
          </cell>
          <cell r="N57">
            <v>5696</v>
          </cell>
          <cell r="S57" t="str">
            <v>Oregon</v>
          </cell>
          <cell r="T57">
            <v>2254</v>
          </cell>
          <cell r="U57">
            <v>1.1864263144513989E-2</v>
          </cell>
          <cell r="V57">
            <v>2248</v>
          </cell>
          <cell r="W57">
            <v>1.1873222713770825E-2</v>
          </cell>
          <cell r="X57">
            <v>2379</v>
          </cell>
          <cell r="Y57">
            <v>1.2399479002975562E-2</v>
          </cell>
          <cell r="Z57">
            <v>2479</v>
          </cell>
          <cell r="AA57">
            <v>1.263734639175468E-2</v>
          </cell>
          <cell r="AB57">
            <v>2513</v>
          </cell>
          <cell r="AC57">
            <v>1.2531353316345611E-2</v>
          </cell>
          <cell r="AD57">
            <v>2514</v>
          </cell>
          <cell r="AE57">
            <v>1.2493974167192633E-2</v>
          </cell>
        </row>
        <row r="58">
          <cell r="G58">
            <v>238708494.85599998</v>
          </cell>
          <cell r="H58">
            <v>299</v>
          </cell>
          <cell r="J58">
            <v>1611305885.4000001</v>
          </cell>
          <cell r="K58">
            <v>2248</v>
          </cell>
          <cell r="M58">
            <v>1005210320.2</v>
          </cell>
          <cell r="N58">
            <v>5561</v>
          </cell>
        </row>
        <row r="59">
          <cell r="G59">
            <v>318134630.06999993</v>
          </cell>
          <cell r="H59">
            <v>284</v>
          </cell>
          <cell r="J59">
            <v>1703912175.9000001</v>
          </cell>
          <cell r="K59">
            <v>2379</v>
          </cell>
          <cell r="M59">
            <v>1020262416.5</v>
          </cell>
          <cell r="N59">
            <v>5885</v>
          </cell>
          <cell r="R59" t="str">
            <v xml:space="preserve">  United States</v>
          </cell>
          <cell r="T59">
            <v>189982.3</v>
          </cell>
          <cell r="U59">
            <v>1</v>
          </cell>
          <cell r="V59">
            <v>189333.6</v>
          </cell>
          <cell r="W59">
            <v>1</v>
          </cell>
          <cell r="X59">
            <v>191862.9</v>
          </cell>
          <cell r="Y59">
            <v>1</v>
          </cell>
          <cell r="Z59">
            <v>196164.6</v>
          </cell>
          <cell r="AA59">
            <v>1</v>
          </cell>
          <cell r="AB59">
            <v>200537</v>
          </cell>
          <cell r="AC59">
            <v>1</v>
          </cell>
          <cell r="AD59">
            <v>201217</v>
          </cell>
          <cell r="AE59">
            <v>1</v>
          </cell>
        </row>
        <row r="60">
          <cell r="G60">
            <v>310634073.77999997</v>
          </cell>
          <cell r="H60">
            <v>288</v>
          </cell>
          <cell r="J60">
            <v>1822716919.9000001</v>
          </cell>
          <cell r="K60">
            <v>2479</v>
          </cell>
          <cell r="M60">
            <v>1129759628</v>
          </cell>
          <cell r="N60">
            <v>6169</v>
          </cell>
        </row>
        <row r="61">
          <cell r="G61">
            <v>320834983.16000003</v>
          </cell>
          <cell r="H61">
            <v>299</v>
          </cell>
          <cell r="J61">
            <v>1863138987.4000001</v>
          </cell>
          <cell r="K61">
            <v>2513</v>
          </cell>
          <cell r="M61">
            <v>1167452880</v>
          </cell>
          <cell r="N61">
            <v>6234</v>
          </cell>
          <cell r="R61" t="str">
            <v>Source:  USDA/NASS Annual Milk Production, Disposition, and Income (PDI) and  Milk Production, various years.</v>
          </cell>
        </row>
        <row r="62">
          <cell r="G62">
            <v>323015623.47000003</v>
          </cell>
          <cell r="H62">
            <v>298</v>
          </cell>
          <cell r="J62">
            <v>1934947194.0999999</v>
          </cell>
          <cell r="K62">
            <v>2514</v>
          </cell>
          <cell r="M62">
            <v>1221862862</v>
          </cell>
          <cell r="N62">
            <v>6336</v>
          </cell>
        </row>
        <row r="63">
          <cell r="G63">
            <v>319071472.87</v>
          </cell>
          <cell r="J63">
            <v>2020589620.3999999</v>
          </cell>
          <cell r="M63">
            <v>1302082730</v>
          </cell>
          <cell r="S63" t="str">
            <v>http://www.ers.usda.gov/data-products/dairy-data.aspx</v>
          </cell>
        </row>
        <row r="64">
          <cell r="G64">
            <v>320041493.44999999</v>
          </cell>
          <cell r="J64">
            <v>2083950219.9000001</v>
          </cell>
          <cell r="M64">
            <v>1366273724</v>
          </cell>
        </row>
        <row r="65">
          <cell r="G65">
            <v>321220236.61000001</v>
          </cell>
          <cell r="J65">
            <v>2146630229.3</v>
          </cell>
          <cell r="M65">
            <v>1436489624</v>
          </cell>
        </row>
        <row r="66">
          <cell r="G66">
            <v>317274315.14999998</v>
          </cell>
          <cell r="J66">
            <v>2204367746.5</v>
          </cell>
          <cell r="M66">
            <v>1503739491</v>
          </cell>
        </row>
        <row r="67">
          <cell r="G67">
            <v>317242678.67000002</v>
          </cell>
          <cell r="J67">
            <v>2262579257.1000004</v>
          </cell>
          <cell r="M67">
            <v>1577162726</v>
          </cell>
        </row>
        <row r="68">
          <cell r="G68">
            <v>314343281.5</v>
          </cell>
          <cell r="J68">
            <v>2319287101.8000002</v>
          </cell>
          <cell r="M68">
            <v>1639676320</v>
          </cell>
        </row>
        <row r="69">
          <cell r="G69">
            <v>315500155.42000002</v>
          </cell>
          <cell r="J69">
            <v>2377721823.3000002</v>
          </cell>
          <cell r="M69">
            <v>1705797870</v>
          </cell>
        </row>
        <row r="70">
          <cell r="G70">
            <v>316604185.17000002</v>
          </cell>
          <cell r="J70">
            <v>2439565476.5999999</v>
          </cell>
          <cell r="M70">
            <v>1761876129</v>
          </cell>
        </row>
        <row r="71">
          <cell r="G71">
            <v>314025803.90000004</v>
          </cell>
          <cell r="J71">
            <v>2511493504.3000002</v>
          </cell>
          <cell r="M71">
            <v>1832353919</v>
          </cell>
        </row>
        <row r="72">
          <cell r="G72">
            <v>312165770.96000004</v>
          </cell>
          <cell r="J72">
            <v>2591814073.3999996</v>
          </cell>
          <cell r="M72">
            <v>1885834558</v>
          </cell>
        </row>
        <row r="73">
          <cell r="G73">
            <v>316846772.75</v>
          </cell>
          <cell r="J73">
            <v>2679434278</v>
          </cell>
          <cell r="M73">
            <v>1950702973</v>
          </cell>
        </row>
        <row r="74">
          <cell r="G74">
            <v>317154017.94000006</v>
          </cell>
          <cell r="J74">
            <v>2774540250.3000002</v>
          </cell>
          <cell r="M74">
            <v>2024878252</v>
          </cell>
        </row>
        <row r="75">
          <cell r="G75">
            <v>317132831.70999998</v>
          </cell>
          <cell r="J75">
            <v>2879612349.6999998</v>
          </cell>
          <cell r="M75">
            <v>2106253871</v>
          </cell>
        </row>
        <row r="76">
          <cell r="G76">
            <v>329619379.67999995</v>
          </cell>
          <cell r="J76">
            <v>2984193071.1999998</v>
          </cell>
          <cell r="M76">
            <v>2193325448</v>
          </cell>
        </row>
        <row r="77">
          <cell r="G77">
            <v>331066865.50999999</v>
          </cell>
          <cell r="J77">
            <v>3092428874</v>
          </cell>
          <cell r="M77">
            <v>2273964959</v>
          </cell>
        </row>
        <row r="78">
          <cell r="G78">
            <v>333952763.74000001</v>
          </cell>
          <cell r="J78">
            <v>3202917778.5999999</v>
          </cell>
          <cell r="M78">
            <v>2356511431</v>
          </cell>
        </row>
        <row r="79">
          <cell r="G79">
            <v>338486759.89000005</v>
          </cell>
          <cell r="J79">
            <v>3332498384.6999998</v>
          </cell>
          <cell r="M79">
            <v>2435921000</v>
          </cell>
        </row>
        <row r="80">
          <cell r="G80">
            <v>344005985.83999997</v>
          </cell>
          <cell r="J80">
            <v>3442249037.4000001</v>
          </cell>
          <cell r="M80">
            <v>2531172713</v>
          </cell>
        </row>
        <row r="81">
          <cell r="G81">
            <v>344015536.36000001</v>
          </cell>
          <cell r="J81">
            <v>3565172330.5999999</v>
          </cell>
          <cell r="M81">
            <v>2621004345</v>
          </cell>
        </row>
        <row r="82">
          <cell r="G82">
            <v>352166717.38</v>
          </cell>
          <cell r="J82">
            <v>3708165815.2000003</v>
          </cell>
          <cell r="M82">
            <v>2698900541</v>
          </cell>
        </row>
        <row r="83">
          <cell r="G83">
            <v>360257472.30000007</v>
          </cell>
          <cell r="J83">
            <v>3837626194.8000002</v>
          </cell>
          <cell r="M83">
            <v>2796518159</v>
          </cell>
        </row>
        <row r="84">
          <cell r="G84">
            <v>360167672.44999999</v>
          </cell>
          <cell r="J84">
            <v>3986119730.8000002</v>
          </cell>
          <cell r="M84">
            <v>2869362843</v>
          </cell>
        </row>
        <row r="88">
          <cell r="G88" t="str">
            <v>Sales</v>
          </cell>
          <cell r="H88" t="str">
            <v>Production</v>
          </cell>
          <cell r="J88" t="str">
            <v>Oregon</v>
          </cell>
          <cell r="K88" t="str">
            <v>Sales</v>
          </cell>
          <cell r="L88" t="str">
            <v>Production</v>
          </cell>
          <cell r="N88" t="str">
            <v>Washington</v>
          </cell>
          <cell r="O88" t="str">
            <v>Sales</v>
          </cell>
          <cell r="P88" t="str">
            <v>Production</v>
          </cell>
        </row>
        <row r="89">
          <cell r="G89">
            <v>157.30607861199999</v>
          </cell>
          <cell r="H89">
            <v>295</v>
          </cell>
          <cell r="J89">
            <v>1997</v>
          </cell>
          <cell r="K89">
            <v>1023.1418448300001</v>
          </cell>
          <cell r="L89">
            <v>1610</v>
          </cell>
          <cell r="N89">
            <v>1997</v>
          </cell>
          <cell r="O89">
            <v>1273.4383057999999</v>
          </cell>
          <cell r="P89">
            <v>5305</v>
          </cell>
        </row>
        <row r="90">
          <cell r="G90">
            <v>158.988866479</v>
          </cell>
          <cell r="H90">
            <v>291</v>
          </cell>
          <cell r="J90">
            <v>1998</v>
          </cell>
          <cell r="K90">
            <v>1032.52602886</v>
          </cell>
          <cell r="L90">
            <v>1583</v>
          </cell>
          <cell r="N90">
            <v>1998</v>
          </cell>
          <cell r="O90">
            <v>1241.5095497</v>
          </cell>
          <cell r="P90">
            <v>5326</v>
          </cell>
        </row>
        <row r="91">
          <cell r="G91">
            <v>148.02265932499998</v>
          </cell>
          <cell r="H91">
            <v>303</v>
          </cell>
          <cell r="J91">
            <v>1999</v>
          </cell>
          <cell r="K91">
            <v>962.71582397999998</v>
          </cell>
          <cell r="L91">
            <v>1665</v>
          </cell>
          <cell r="N91">
            <v>1999</v>
          </cell>
          <cell r="O91">
            <v>1106.3392904000002</v>
          </cell>
          <cell r="P91">
            <v>5535</v>
          </cell>
        </row>
        <row r="92">
          <cell r="G92">
            <v>155.19695557400001</v>
          </cell>
          <cell r="H92">
            <v>338</v>
          </cell>
          <cell r="J92">
            <v>2000</v>
          </cell>
          <cell r="K92">
            <v>1076.0322892000002</v>
          </cell>
          <cell r="L92">
            <v>1640</v>
          </cell>
          <cell r="N92">
            <v>2000</v>
          </cell>
          <cell r="O92">
            <v>1131.1751904</v>
          </cell>
          <cell r="P92">
            <v>5593</v>
          </cell>
        </row>
        <row r="93">
          <cell r="G93">
            <v>150.79750691999999</v>
          </cell>
          <cell r="H93">
            <v>346</v>
          </cell>
          <cell r="J93">
            <v>2001</v>
          </cell>
          <cell r="K93">
            <v>1134.5532636399998</v>
          </cell>
          <cell r="L93">
            <v>1717</v>
          </cell>
          <cell r="N93">
            <v>2001</v>
          </cell>
          <cell r="O93">
            <v>972.92047739999998</v>
          </cell>
          <cell r="P93">
            <v>5514</v>
          </cell>
        </row>
        <row r="94">
          <cell r="G94">
            <v>196.68924050000001</v>
          </cell>
          <cell r="H94">
            <v>341</v>
          </cell>
          <cell r="J94">
            <v>2002</v>
          </cell>
          <cell r="K94">
            <v>1277.5685709000002</v>
          </cell>
          <cell r="L94">
            <v>2093</v>
          </cell>
          <cell r="N94">
            <v>2002</v>
          </cell>
          <cell r="O94">
            <v>1033.088739</v>
          </cell>
          <cell r="P94">
            <v>5620</v>
          </cell>
        </row>
        <row r="95">
          <cell r="G95">
            <v>190.67715915799999</v>
          </cell>
          <cell r="H95">
            <v>345</v>
          </cell>
          <cell r="J95">
            <v>2003</v>
          </cell>
          <cell r="K95">
            <v>1325.2822727999999</v>
          </cell>
          <cell r="L95">
            <v>2177</v>
          </cell>
          <cell r="N95">
            <v>2003</v>
          </cell>
          <cell r="O95">
            <v>855.70943899999997</v>
          </cell>
          <cell r="P95">
            <v>5581</v>
          </cell>
        </row>
        <row r="96">
          <cell r="G96">
            <v>182.34140683200002</v>
          </cell>
          <cell r="H96">
            <v>348</v>
          </cell>
          <cell r="J96">
            <v>2004</v>
          </cell>
          <cell r="K96">
            <v>1385.4606170999998</v>
          </cell>
          <cell r="L96">
            <v>2270</v>
          </cell>
          <cell r="N96">
            <v>2004</v>
          </cell>
          <cell r="O96">
            <v>854.66668200000004</v>
          </cell>
          <cell r="P96">
            <v>5416</v>
          </cell>
        </row>
        <row r="97">
          <cell r="G97">
            <v>229.85347461199999</v>
          </cell>
          <cell r="H97">
            <v>372</v>
          </cell>
          <cell r="J97">
            <v>2005</v>
          </cell>
          <cell r="K97">
            <v>1327.8432724000002</v>
          </cell>
          <cell r="L97">
            <v>2284</v>
          </cell>
          <cell r="N97">
            <v>2005</v>
          </cell>
          <cell r="O97">
            <v>802.09294550000004</v>
          </cell>
          <cell r="P97">
            <v>5608</v>
          </cell>
        </row>
        <row r="98">
          <cell r="G98">
            <v>168.29173371100001</v>
          </cell>
          <cell r="H98">
            <v>354</v>
          </cell>
          <cell r="J98">
            <v>2006</v>
          </cell>
          <cell r="K98">
            <v>1262.2795122999999</v>
          </cell>
          <cell r="L98">
            <v>2242</v>
          </cell>
          <cell r="N98">
            <v>2006</v>
          </cell>
          <cell r="O98">
            <v>821.69325489999994</v>
          </cell>
          <cell r="P98">
            <v>5464</v>
          </cell>
        </row>
        <row r="99">
          <cell r="G99">
            <v>185.04429419700003</v>
          </cell>
          <cell r="H99">
            <v>333</v>
          </cell>
          <cell r="I99">
            <v>333</v>
          </cell>
          <cell r="J99">
            <v>2007</v>
          </cell>
          <cell r="K99">
            <v>1527.4552772</v>
          </cell>
          <cell r="L99">
            <v>2233</v>
          </cell>
          <cell r="M99">
            <v>2233</v>
          </cell>
          <cell r="N99">
            <v>2007</v>
          </cell>
          <cell r="O99">
            <v>979.96983</v>
          </cell>
          <cell r="P99">
            <v>5531</v>
          </cell>
        </row>
        <row r="100">
          <cell r="G100">
            <v>230.86838864999999</v>
          </cell>
          <cell r="H100">
            <v>313</v>
          </cell>
          <cell r="I100">
            <v>313</v>
          </cell>
          <cell r="J100">
            <v>2008</v>
          </cell>
          <cell r="K100">
            <v>1481.4284741000001</v>
          </cell>
          <cell r="L100">
            <v>2254</v>
          </cell>
          <cell r="M100">
            <v>2254</v>
          </cell>
          <cell r="N100">
            <v>2008</v>
          </cell>
          <cell r="O100">
            <v>938.82120689999999</v>
          </cell>
          <cell r="P100">
            <v>5696</v>
          </cell>
        </row>
        <row r="101">
          <cell r="G101">
            <v>238.70849485599999</v>
          </cell>
          <cell r="H101">
            <v>299</v>
          </cell>
          <cell r="I101">
            <v>299</v>
          </cell>
          <cell r="J101">
            <v>2009</v>
          </cell>
          <cell r="K101">
            <v>1611.3058854000001</v>
          </cell>
          <cell r="L101">
            <v>2248</v>
          </cell>
          <cell r="M101">
            <v>2248</v>
          </cell>
          <cell r="N101">
            <v>2009</v>
          </cell>
          <cell r="O101">
            <v>1005.2103202000001</v>
          </cell>
          <cell r="P101">
            <v>5561</v>
          </cell>
        </row>
        <row r="102">
          <cell r="G102">
            <v>318.13463006999996</v>
          </cell>
          <cell r="H102">
            <v>284</v>
          </cell>
          <cell r="I102">
            <v>284</v>
          </cell>
          <cell r="J102">
            <v>2010</v>
          </cell>
          <cell r="K102">
            <v>1703.9121759000002</v>
          </cell>
          <cell r="L102">
            <v>2379</v>
          </cell>
          <cell r="M102">
            <v>2379</v>
          </cell>
          <cell r="N102">
            <v>2010</v>
          </cell>
          <cell r="O102">
            <v>1020.2624165</v>
          </cell>
          <cell r="P102">
            <v>5885</v>
          </cell>
        </row>
        <row r="103">
          <cell r="G103">
            <v>310.63407377999999</v>
          </cell>
          <cell r="H103">
            <v>288</v>
          </cell>
          <cell r="I103">
            <v>288</v>
          </cell>
          <cell r="J103">
            <v>2011</v>
          </cell>
          <cell r="K103">
            <v>1822.7169199</v>
          </cell>
          <cell r="L103">
            <v>2479</v>
          </cell>
          <cell r="M103">
            <v>2479</v>
          </cell>
          <cell r="N103">
            <v>2011</v>
          </cell>
          <cell r="O103">
            <v>1129.759628</v>
          </cell>
          <cell r="P103">
            <v>6169</v>
          </cell>
        </row>
        <row r="104">
          <cell r="G104">
            <v>320.83498316000004</v>
          </cell>
          <cell r="H104">
            <v>299</v>
          </cell>
          <cell r="I104">
            <v>299</v>
          </cell>
          <cell r="J104">
            <v>2012</v>
          </cell>
          <cell r="K104">
            <v>1863.1389874000001</v>
          </cell>
          <cell r="L104">
            <v>2513</v>
          </cell>
          <cell r="M104">
            <v>2513</v>
          </cell>
          <cell r="N104">
            <v>2012</v>
          </cell>
          <cell r="O104">
            <v>1167.4528800000001</v>
          </cell>
          <cell r="P104">
            <v>6234</v>
          </cell>
        </row>
        <row r="105">
          <cell r="G105">
            <v>323.01562347000004</v>
          </cell>
          <cell r="H105">
            <v>298</v>
          </cell>
          <cell r="I105">
            <v>298</v>
          </cell>
          <cell r="J105">
            <v>2013</v>
          </cell>
          <cell r="K105">
            <v>1934.9471940999999</v>
          </cell>
          <cell r="L105">
            <v>2514</v>
          </cell>
          <cell r="M105">
            <v>2514</v>
          </cell>
          <cell r="N105">
            <v>2013</v>
          </cell>
          <cell r="O105">
            <v>1221.862862</v>
          </cell>
          <cell r="P105">
            <v>6336</v>
          </cell>
        </row>
        <row r="106">
          <cell r="G106">
            <v>319.07147286999998</v>
          </cell>
          <cell r="H106">
            <v>302.76131756126233</v>
          </cell>
          <cell r="I106">
            <v>299.47815459668072</v>
          </cell>
          <cell r="J106">
            <v>2014</v>
          </cell>
          <cell r="K106">
            <v>2020.5896203999998</v>
          </cell>
          <cell r="L106">
            <v>2659.4969224070219</v>
          </cell>
          <cell r="M106">
            <v>2721.6170570166196</v>
          </cell>
          <cell r="N106">
            <v>2014</v>
          </cell>
          <cell r="O106">
            <v>1302.0827300000001</v>
          </cell>
          <cell r="P106">
            <v>6195.1650315784418</v>
          </cell>
        </row>
        <row r="107">
          <cell r="G107">
            <v>320.04149344999996</v>
          </cell>
          <cell r="H107">
            <v>302.63604149212875</v>
          </cell>
          <cell r="I107">
            <v>299.28188401669991</v>
          </cell>
          <cell r="J107">
            <v>2015</v>
          </cell>
          <cell r="K107">
            <v>2083.9502199000003</v>
          </cell>
          <cell r="L107">
            <v>2702.7077118393454</v>
          </cell>
          <cell r="M107">
            <v>2783.5952297346525</v>
          </cell>
          <cell r="N107">
            <v>2015</v>
          </cell>
          <cell r="O107">
            <v>1366.2737239999999</v>
          </cell>
          <cell r="P107">
            <v>6297.8724834735058</v>
          </cell>
        </row>
        <row r="108">
          <cell r="G108">
            <v>321.22023661000003</v>
          </cell>
          <cell r="H108">
            <v>302.4843194019968</v>
          </cell>
          <cell r="I108">
            <v>299.0433812380665</v>
          </cell>
          <cell r="J108">
            <v>2016</v>
          </cell>
          <cell r="K108">
            <v>2146.6302292999999</v>
          </cell>
          <cell r="L108">
            <v>2744.180551622544</v>
          </cell>
          <cell r="M108">
            <v>2844.9076617384098</v>
          </cell>
          <cell r="N108">
            <v>2016</v>
          </cell>
          <cell r="O108">
            <v>1436.489624</v>
          </cell>
          <cell r="P108">
            <v>6410.2199596867358</v>
          </cell>
        </row>
        <row r="109">
          <cell r="G109">
            <v>317.27431514999995</v>
          </cell>
          <cell r="H109">
            <v>302.9944263448574</v>
          </cell>
          <cell r="I109">
            <v>299.84178521987985</v>
          </cell>
          <cell r="J109">
            <v>2017</v>
          </cell>
          <cell r="K109">
            <v>2204.3677465000001</v>
          </cell>
          <cell r="L109">
            <v>2781.3253166710429</v>
          </cell>
          <cell r="M109">
            <v>2901.3854388044556</v>
          </cell>
          <cell r="N109">
            <v>2017</v>
          </cell>
          <cell r="O109">
            <v>1503.739491</v>
          </cell>
          <cell r="P109">
            <v>6517.8216970870308</v>
          </cell>
        </row>
        <row r="110">
          <cell r="G110">
            <v>317.24267867000003</v>
          </cell>
          <cell r="H110">
            <v>302.99854171936556</v>
          </cell>
          <cell r="I110">
            <v>299.84818643487068</v>
          </cell>
          <cell r="J110">
            <v>2018</v>
          </cell>
          <cell r="K110">
            <v>2262.5792571000002</v>
          </cell>
          <cell r="L110">
            <v>2817.8028576592669</v>
          </cell>
          <cell r="M110">
            <v>2958.3268674938163</v>
          </cell>
          <cell r="N110">
            <v>2018</v>
          </cell>
          <cell r="O110">
            <v>1577.162726</v>
          </cell>
          <cell r="P110">
            <v>6635.301002310789</v>
          </cell>
        </row>
        <row r="111">
          <cell r="G111">
            <v>314.34328149999999</v>
          </cell>
          <cell r="H111">
            <v>303.37745755767685</v>
          </cell>
          <cell r="I111">
            <v>300.4348403429255</v>
          </cell>
          <cell r="J111">
            <v>2019</v>
          </cell>
          <cell r="K111">
            <v>2319.2871018000001</v>
          </cell>
          <cell r="L111">
            <v>2852.4466796581391</v>
          </cell>
          <cell r="M111">
            <v>3013.7974378643494</v>
          </cell>
          <cell r="N111">
            <v>2019</v>
          </cell>
          <cell r="O111">
            <v>1639.67632</v>
          </cell>
          <cell r="P111">
            <v>6735.3245655623969</v>
          </cell>
        </row>
        <row r="112">
          <cell r="G112">
            <v>315.50015542</v>
          </cell>
          <cell r="H112">
            <v>303.22585086442132</v>
          </cell>
          <cell r="I112">
            <v>300.20076251001694</v>
          </cell>
          <cell r="J112">
            <v>2020</v>
          </cell>
          <cell r="K112">
            <v>2377.7218233000003</v>
          </cell>
          <cell r="L112">
            <v>2887.2703785501863</v>
          </cell>
          <cell r="M112">
            <v>3070.9572073494401</v>
          </cell>
          <cell r="N112">
            <v>2020</v>
          </cell>
          <cell r="O112">
            <v>1705.7978700000001</v>
          </cell>
          <cell r="P112">
            <v>6841.1209630422682</v>
          </cell>
        </row>
        <row r="113">
          <cell r="G113">
            <v>316.60418516999999</v>
          </cell>
          <cell r="H113">
            <v>303.08168683583153</v>
          </cell>
          <cell r="I113">
            <v>299.97737698210523</v>
          </cell>
          <cell r="J113">
            <v>2021</v>
          </cell>
          <cell r="K113">
            <v>2439.5654765999998</v>
          </cell>
          <cell r="L113">
            <v>2923.2055190854799</v>
          </cell>
          <cell r="M113">
            <v>3131.4515312035173</v>
          </cell>
          <cell r="N113">
            <v>2021</v>
          </cell>
          <cell r="O113">
            <v>1761.876129</v>
          </cell>
          <cell r="P113">
            <v>6930.8478036735478</v>
          </cell>
        </row>
        <row r="114">
          <cell r="G114">
            <v>314.02580390000003</v>
          </cell>
          <cell r="H114">
            <v>303.41916012380017</v>
          </cell>
          <cell r="I114">
            <v>300.49907765290391</v>
          </cell>
          <cell r="J114">
            <v>2022</v>
          </cell>
          <cell r="K114">
            <v>2511.4935043</v>
          </cell>
          <cell r="L114">
            <v>2963.8717110873577</v>
          </cell>
          <cell r="M114">
            <v>3201.8102045626301</v>
          </cell>
          <cell r="N114">
            <v>2022</v>
          </cell>
          <cell r="O114">
            <v>1832.3539189999999</v>
          </cell>
          <cell r="P114">
            <v>7043.6143114814095</v>
          </cell>
        </row>
        <row r="115">
          <cell r="G115">
            <v>312.16577096000003</v>
          </cell>
          <cell r="H115">
            <v>303.66433680226078</v>
          </cell>
          <cell r="I115">
            <v>300.87543022876076</v>
          </cell>
          <cell r="J115">
            <v>2023</v>
          </cell>
          <cell r="K115">
            <v>2591.8140733999994</v>
          </cell>
          <cell r="L115">
            <v>3007.9285968792492</v>
          </cell>
          <cell r="M115">
            <v>3280.3783075126412</v>
          </cell>
          <cell r="N115">
            <v>2023</v>
          </cell>
          <cell r="O115">
            <v>1885.834558</v>
          </cell>
          <cell r="P115">
            <v>7129.184884783479</v>
          </cell>
        </row>
        <row r="116">
          <cell r="G116">
            <v>316.84677275000001</v>
          </cell>
          <cell r="H116">
            <v>303.05007715937325</v>
          </cell>
          <cell r="I116">
            <v>299.9282926574997</v>
          </cell>
          <cell r="J116">
            <v>2024</v>
          </cell>
          <cell r="K116">
            <v>2679.4342780000002</v>
          </cell>
          <cell r="L116">
            <v>3054.4586648127197</v>
          </cell>
          <cell r="M116">
            <v>3366.0867796095345</v>
          </cell>
          <cell r="N116">
            <v>2024</v>
          </cell>
          <cell r="O116">
            <v>1950.7029729999999</v>
          </cell>
          <cell r="P116">
            <v>7232.9762299232898</v>
          </cell>
        </row>
        <row r="117">
          <cell r="G117">
            <v>317.15401794000007</v>
          </cell>
          <cell r="H117">
            <v>303.01007717776395</v>
          </cell>
          <cell r="I117">
            <v>299.86612573766217</v>
          </cell>
          <cell r="J117">
            <v>2025</v>
          </cell>
          <cell r="K117">
            <v>2774.5402503</v>
          </cell>
          <cell r="L117">
            <v>3103.2723514737127</v>
          </cell>
          <cell r="M117">
            <v>3459.1176919468744</v>
          </cell>
          <cell r="N117">
            <v>2025</v>
          </cell>
          <cell r="O117">
            <v>2024.878252</v>
          </cell>
          <cell r="P117">
            <v>7351.6588273558118</v>
          </cell>
        </row>
        <row r="118">
          <cell r="G118">
            <v>317.13283171</v>
          </cell>
          <cell r="H118">
            <v>303.01283415030065</v>
          </cell>
          <cell r="I118">
            <v>299.87041248552657</v>
          </cell>
          <cell r="J118">
            <v>2026</v>
          </cell>
          <cell r="K118">
            <v>2879.6123496999999</v>
          </cell>
          <cell r="L118">
            <v>3155.2926430989965</v>
          </cell>
          <cell r="M118">
            <v>3561.8972864559109</v>
          </cell>
          <cell r="N118">
            <v>2026</v>
          </cell>
          <cell r="O118">
            <v>2106.2538709999999</v>
          </cell>
          <cell r="P118">
            <v>7481.8621775932852</v>
          </cell>
        </row>
        <row r="119">
          <cell r="G119">
            <v>329.61937967999995</v>
          </cell>
          <cell r="H119">
            <v>301.41907423058802</v>
          </cell>
          <cell r="I119">
            <v>297.34392793194127</v>
          </cell>
          <cell r="J119">
            <v>2027</v>
          </cell>
          <cell r="K119">
            <v>2984.1930711999998</v>
          </cell>
          <cell r="L119">
            <v>3205.2179835947745</v>
          </cell>
          <cell r="M119">
            <v>3664.196224143574</v>
          </cell>
          <cell r="N119">
            <v>2027</v>
          </cell>
          <cell r="O119">
            <v>2193.3254480000001</v>
          </cell>
          <cell r="P119">
            <v>7621.1792258096575</v>
          </cell>
        </row>
        <row r="120">
          <cell r="G120">
            <v>331.06686551000001</v>
          </cell>
          <cell r="H120">
            <v>301.23823851251768</v>
          </cell>
          <cell r="I120">
            <v>297.05104869904079</v>
          </cell>
          <cell r="J120">
            <v>2028</v>
          </cell>
          <cell r="K120">
            <v>3092.4288740000002</v>
          </cell>
          <cell r="L120">
            <v>3255.0785902298294</v>
          </cell>
          <cell r="M120">
            <v>3770.070495112448</v>
          </cell>
          <cell r="N120">
            <v>2028</v>
          </cell>
          <cell r="O120">
            <v>2273.9649589999999</v>
          </cell>
          <cell r="P120">
            <v>7750.2047819005002</v>
          </cell>
        </row>
        <row r="121">
          <cell r="G121">
            <v>333.95276374000002</v>
          </cell>
          <cell r="H121">
            <v>300.88004828067164</v>
          </cell>
          <cell r="I121">
            <v>296.46712611941098</v>
          </cell>
          <cell r="J121">
            <v>2029</v>
          </cell>
          <cell r="K121">
            <v>3202.9177786</v>
          </cell>
          <cell r="L121">
            <v>3304.2085620815005</v>
          </cell>
          <cell r="M121">
            <v>3878.1487088093527</v>
          </cell>
          <cell r="N121">
            <v>2029</v>
          </cell>
          <cell r="O121">
            <v>2356.5114309999999</v>
          </cell>
          <cell r="P121">
            <v>7882.2815308919107</v>
          </cell>
        </row>
        <row r="122">
          <cell r="G122">
            <v>338.48675989000003</v>
          </cell>
          <cell r="H122">
            <v>300.32350497753021</v>
          </cell>
          <cell r="I122">
            <v>295.54973315647896</v>
          </cell>
          <cell r="J122">
            <v>2030</v>
          </cell>
          <cell r="K122">
            <v>3332.4983846999999</v>
          </cell>
          <cell r="L122">
            <v>3359.7128554945239</v>
          </cell>
          <cell r="M122">
            <v>4004.90207366306</v>
          </cell>
          <cell r="N122">
            <v>2030</v>
          </cell>
          <cell r="O122">
            <v>2435.9209999999998</v>
          </cell>
          <cell r="P122">
            <v>8009.3391441152744</v>
          </cell>
        </row>
        <row r="123">
          <cell r="G123">
            <v>344.00598583999999</v>
          </cell>
          <cell r="H123">
            <v>299.65600067965477</v>
          </cell>
          <cell r="I123">
            <v>294.43299223305291</v>
          </cell>
          <cell r="J123">
            <v>2031</v>
          </cell>
          <cell r="K123">
            <v>3442.2490373999999</v>
          </cell>
          <cell r="L123">
            <v>3405.0605171911329</v>
          </cell>
          <cell r="M123">
            <v>4112.258142933797</v>
          </cell>
          <cell r="N123">
            <v>2031</v>
          </cell>
          <cell r="O123">
            <v>2531.1727129999999</v>
          </cell>
          <cell r="P123">
            <v>8161.7446471500134</v>
          </cell>
        </row>
        <row r="124">
          <cell r="G124">
            <v>344.01553636</v>
          </cell>
          <cell r="H124">
            <v>299.65485493072765</v>
          </cell>
          <cell r="I124">
            <v>294.43105981415562</v>
          </cell>
          <cell r="K124">
            <v>3565.1723305999999</v>
          </cell>
          <cell r="L124">
            <v>3454.1652559274162</v>
          </cell>
          <cell r="M124">
            <v>4232.4994467904453</v>
          </cell>
          <cell r="N124">
            <v>2032</v>
          </cell>
          <cell r="O124">
            <v>2621.0043449999998</v>
          </cell>
          <cell r="P124">
            <v>8305.4778634060985</v>
          </cell>
        </row>
        <row r="125">
          <cell r="G125">
            <v>352.16671738000002</v>
          </cell>
          <cell r="H125">
            <v>298.68839934499135</v>
          </cell>
          <cell r="I125">
            <v>292.78177828414539</v>
          </cell>
          <cell r="K125">
            <v>3708.1658152000005</v>
          </cell>
          <cell r="L125">
            <v>3509.2005551615157</v>
          </cell>
          <cell r="M125">
            <v>4372.3730426217498</v>
          </cell>
          <cell r="N125">
            <v>2033</v>
          </cell>
          <cell r="O125">
            <v>2698.900541</v>
          </cell>
          <cell r="P125">
            <v>8430.1140359426772</v>
          </cell>
        </row>
        <row r="126">
          <cell r="G126">
            <v>360.25747230000007</v>
          </cell>
          <cell r="H126">
            <v>297.75098083368539</v>
          </cell>
          <cell r="I126">
            <v>291.14472316039655</v>
          </cell>
          <cell r="K126">
            <v>3837.6261948000001</v>
          </cell>
          <cell r="L126">
            <v>3557.2266817524842</v>
          </cell>
          <cell r="M126">
            <v>4499.0088041250929</v>
          </cell>
          <cell r="N126">
            <v>2034</v>
          </cell>
          <cell r="O126">
            <v>2796.5181590000002</v>
          </cell>
          <cell r="P126">
            <v>8586.3050555870468</v>
          </cell>
        </row>
        <row r="127">
          <cell r="G127">
            <v>360.16767245</v>
          </cell>
          <cell r="H127">
            <v>297.76126931363558</v>
          </cell>
          <cell r="I127">
            <v>291.16289294875475</v>
          </cell>
          <cell r="K127">
            <v>3986.1197308000001</v>
          </cell>
          <cell r="L127">
            <v>3610.3576666465606</v>
          </cell>
          <cell r="M127">
            <v>4644.2624490455355</v>
          </cell>
          <cell r="N127">
            <v>2035</v>
          </cell>
          <cell r="O127">
            <v>2869.3628429999999</v>
          </cell>
          <cell r="P127">
            <v>8702.858662433222</v>
          </cell>
        </row>
        <row r="156">
          <cell r="G156">
            <v>2017</v>
          </cell>
          <cell r="H156">
            <v>2018</v>
          </cell>
          <cell r="I156">
            <v>2019</v>
          </cell>
          <cell r="J156">
            <v>2020</v>
          </cell>
          <cell r="K156">
            <v>2021</v>
          </cell>
          <cell r="L156">
            <v>2022</v>
          </cell>
          <cell r="M156">
            <v>2023</v>
          </cell>
          <cell r="N156">
            <v>2024</v>
          </cell>
          <cell r="O156">
            <v>2025</v>
          </cell>
          <cell r="P156">
            <v>2026</v>
          </cell>
          <cell r="Q156">
            <v>2027</v>
          </cell>
          <cell r="R156">
            <v>2028</v>
          </cell>
          <cell r="S156">
            <v>2029</v>
          </cell>
          <cell r="T156">
            <v>2030</v>
          </cell>
          <cell r="U156">
            <v>2031</v>
          </cell>
          <cell r="V156">
            <v>2032</v>
          </cell>
          <cell r="W156">
            <v>2033</v>
          </cell>
          <cell r="X156">
            <v>2034</v>
          </cell>
          <cell r="Y156">
            <v>2035</v>
          </cell>
        </row>
        <row r="157">
          <cell r="G157">
            <v>13842.907114251881</v>
          </cell>
          <cell r="H157">
            <v>14023.216425344392</v>
          </cell>
          <cell r="I157">
            <v>14266.319353967396</v>
          </cell>
          <cell r="J157">
            <v>14513.683501515552</v>
          </cell>
          <cell r="K157">
            <v>14784.738793280194</v>
          </cell>
          <cell r="L157">
            <v>15048.82150982591</v>
          </cell>
          <cell r="M157">
            <v>15351.081667959821</v>
          </cell>
          <cell r="N157">
            <v>15676.70161423125</v>
          </cell>
          <cell r="O157">
            <v>16022.910400199034</v>
          </cell>
          <cell r="P157">
            <v>16435.334001552066</v>
          </cell>
          <cell r="Q157">
            <v>16796.9270935268</v>
          </cell>
          <cell r="R157">
            <v>17186.008838626629</v>
          </cell>
          <cell r="S157">
            <v>17509.663776252026</v>
          </cell>
          <cell r="T157">
            <v>17849.045518001847</v>
          </cell>
          <cell r="U157">
            <v>18205.116228437721</v>
          </cell>
          <cell r="V157">
            <v>18533.843580326749</v>
          </cell>
          <cell r="W157">
            <v>18839.457555909743</v>
          </cell>
          <cell r="X157">
            <v>19186.22471079613</v>
          </cell>
          <cell r="Y157">
            <v>19422.392838095242</v>
          </cell>
        </row>
        <row r="158">
          <cell r="G158">
            <v>90.898327903457215</v>
          </cell>
          <cell r="H158">
            <v>90.899562515809663</v>
          </cell>
          <cell r="I158">
            <v>91.013237267303055</v>
          </cell>
          <cell r="J158">
            <v>90.967755259326395</v>
          </cell>
          <cell r="K158">
            <v>90.924506050749457</v>
          </cell>
          <cell r="L158">
            <v>91.025748037140048</v>
          </cell>
          <cell r="M158">
            <v>91.099301040678228</v>
          </cell>
          <cell r="N158">
            <v>90.915023147811965</v>
          </cell>
          <cell r="O158">
            <v>90.903023153329187</v>
          </cell>
          <cell r="P158">
            <v>90.903850245090197</v>
          </cell>
          <cell r="Q158">
            <v>90.425722269176404</v>
          </cell>
          <cell r="R158">
            <v>90.371471553755299</v>
          </cell>
          <cell r="S158">
            <v>90.264014484201496</v>
          </cell>
          <cell r="T158">
            <v>90.097051493259059</v>
          </cell>
          <cell r="U158">
            <v>89.896800203896433</v>
          </cell>
          <cell r="V158">
            <v>89.896456479218287</v>
          </cell>
          <cell r="W158">
            <v>89.606519803497406</v>
          </cell>
          <cell r="X158">
            <v>89.325294250105614</v>
          </cell>
          <cell r="Y158">
            <v>89.328380794090677</v>
          </cell>
        </row>
        <row r="159">
          <cell r="G159">
            <v>2781.3253166710429</v>
          </cell>
          <cell r="H159">
            <v>2817.8028576592669</v>
          </cell>
          <cell r="I159">
            <v>2852.4466796581391</v>
          </cell>
          <cell r="J159">
            <v>2887.2703785501863</v>
          </cell>
          <cell r="K159">
            <v>2923.2055190854799</v>
          </cell>
          <cell r="L159">
            <v>2963.8717110873577</v>
          </cell>
          <cell r="M159">
            <v>3007.9285968792492</v>
          </cell>
          <cell r="N159">
            <v>3054.4586648127197</v>
          </cell>
          <cell r="O159">
            <v>3103.2723514737127</v>
          </cell>
          <cell r="P159">
            <v>3155.2926430989965</v>
          </cell>
          <cell r="Q159">
            <v>3205.2179835947745</v>
          </cell>
          <cell r="R159">
            <v>3255.0785902298294</v>
          </cell>
          <cell r="S159">
            <v>3304.2085620815005</v>
          </cell>
          <cell r="T159">
            <v>3359.7128554945239</v>
          </cell>
          <cell r="U159">
            <v>3405.0605171911329</v>
          </cell>
          <cell r="V159">
            <v>3454.1652559274162</v>
          </cell>
          <cell r="W159">
            <v>3509.2005551615157</v>
          </cell>
          <cell r="X159">
            <v>3557.2266817524842</v>
          </cell>
          <cell r="Y159">
            <v>3610.3576666465606</v>
          </cell>
        </row>
        <row r="160">
          <cell r="G160">
            <v>6527.6845985495966</v>
          </cell>
          <cell r="H160">
            <v>6648.0748527559354</v>
          </cell>
          <cell r="I160">
            <v>6750.5768396680051</v>
          </cell>
          <cell r="J160">
            <v>6858.9947023924851</v>
          </cell>
          <cell r="K160">
            <v>6950.9448303929594</v>
          </cell>
          <cell r="L160">
            <v>7066.5055116132971</v>
          </cell>
          <cell r="M160">
            <v>7154.1963866384513</v>
          </cell>
          <cell r="N160">
            <v>7260.5595150379595</v>
          </cell>
          <cell r="O160">
            <v>7382.1828771063319</v>
          </cell>
          <cell r="P160">
            <v>7515.612457778011</v>
          </cell>
          <cell r="Q160">
            <v>7658.3815592644387</v>
          </cell>
          <cell r="R160">
            <v>7790.6041619373518</v>
          </cell>
          <cell r="S160">
            <v>7925.9535611829233</v>
          </cell>
          <cell r="T160">
            <v>8056.1594585167277</v>
          </cell>
          <cell r="U160">
            <v>8212.3413257643278</v>
          </cell>
          <cell r="V160">
            <v>8359.6360208598271</v>
          </cell>
          <cell r="W160">
            <v>8487.3604780857568</v>
          </cell>
          <cell r="X160">
            <v>8647.4216609802097</v>
          </cell>
          <cell r="Y160">
            <v>8766.8632794861296</v>
          </cell>
        </row>
        <row r="161">
          <cell r="G161">
            <v>23242.815357375977</v>
          </cell>
          <cell r="H161">
            <v>23579.993698275401</v>
          </cell>
          <cell r="I161">
            <v>23960.356110560846</v>
          </cell>
          <cell r="J161">
            <v>24350.91633771755</v>
          </cell>
          <cell r="K161">
            <v>24749.813648809384</v>
          </cell>
          <cell r="L161">
            <v>25170.224480563706</v>
          </cell>
          <cell r="M161">
            <v>25604.3059525182</v>
          </cell>
          <cell r="N161">
            <v>26082.63481722974</v>
          </cell>
          <cell r="O161">
            <v>26599.268651932405</v>
          </cell>
          <cell r="P161">
            <v>27197.142952674163</v>
          </cell>
          <cell r="Q161">
            <v>27750.952358655191</v>
          </cell>
          <cell r="R161">
            <v>28322.063062347566</v>
          </cell>
          <cell r="S161">
            <v>28830.089914000651</v>
          </cell>
          <cell r="T161">
            <v>29355.014883506359</v>
          </cell>
          <cell r="U161">
            <v>29912.41487159708</v>
          </cell>
          <cell r="V161">
            <v>30437.54131359321</v>
          </cell>
          <cell r="W161">
            <v>30925.62510896051</v>
          </cell>
          <cell r="X161">
            <v>31480.198347778929</v>
          </cell>
          <cell r="Y161">
            <v>31888.942165022021</v>
          </cell>
          <cell r="AB161">
            <v>0</v>
          </cell>
        </row>
      </sheetData>
      <sheetData sheetId="20">
        <row r="3">
          <cell r="H3">
            <v>2018</v>
          </cell>
        </row>
        <row r="4">
          <cell r="H4">
            <v>14023.216425344392</v>
          </cell>
        </row>
      </sheetData>
      <sheetData sheetId="21">
        <row r="3">
          <cell r="H3">
            <v>2018</v>
          </cell>
        </row>
        <row r="4">
          <cell r="H4">
            <v>14023.216425344392</v>
          </cell>
        </row>
      </sheetData>
      <sheetData sheetId="22">
        <row r="4">
          <cell r="H4">
            <v>2021</v>
          </cell>
        </row>
      </sheetData>
      <sheetData sheetId="23">
        <row r="4">
          <cell r="H4">
            <v>2021</v>
          </cell>
        </row>
      </sheetData>
      <sheetData sheetId="24">
        <row r="4">
          <cell r="H4">
            <v>2021</v>
          </cell>
        </row>
      </sheetData>
      <sheetData sheetId="25">
        <row r="21">
          <cell r="H21">
            <v>22551.94</v>
          </cell>
          <cell r="J21">
            <v>2021</v>
          </cell>
          <cell r="K21">
            <v>30579.58</v>
          </cell>
          <cell r="L21">
            <v>30284.62</v>
          </cell>
          <cell r="M21">
            <v>31379.48</v>
          </cell>
          <cell r="N21">
            <v>31076.62</v>
          </cell>
          <cell r="O21">
            <v>32325.31</v>
          </cell>
          <cell r="P21">
            <v>32016.73</v>
          </cell>
        </row>
        <row r="22">
          <cell r="G22">
            <v>22814.09</v>
          </cell>
          <cell r="H22">
            <v>22811.360000000001</v>
          </cell>
          <cell r="J22">
            <v>2022</v>
          </cell>
          <cell r="K22">
            <v>30652.03</v>
          </cell>
          <cell r="L22">
            <v>30355.66</v>
          </cell>
          <cell r="M22">
            <v>31536.59</v>
          </cell>
          <cell r="N22">
            <v>31231.13</v>
          </cell>
          <cell r="O22">
            <v>32611.46</v>
          </cell>
          <cell r="P22">
            <v>32299.52</v>
          </cell>
        </row>
        <row r="23">
          <cell r="G23">
            <v>23071.37</v>
          </cell>
          <cell r="H23">
            <v>23082.07</v>
          </cell>
          <cell r="J23">
            <v>2023</v>
          </cell>
          <cell r="K23">
            <v>30752.01</v>
          </cell>
          <cell r="L23">
            <v>30454.71</v>
          </cell>
          <cell r="M23">
            <v>31707.63</v>
          </cell>
          <cell r="N23">
            <v>31399.98</v>
          </cell>
          <cell r="O23">
            <v>32907.730000000003</v>
          </cell>
          <cell r="P23">
            <v>32592.82</v>
          </cell>
        </row>
        <row r="24">
          <cell r="G24">
            <v>23333.49</v>
          </cell>
          <cell r="H24">
            <v>23358.51</v>
          </cell>
          <cell r="J24">
            <v>2024</v>
          </cell>
          <cell r="K24">
            <v>30868.21</v>
          </cell>
          <cell r="L24">
            <v>30570.46</v>
          </cell>
          <cell r="M24">
            <v>31899.38</v>
          </cell>
          <cell r="N24">
            <v>31589.91</v>
          </cell>
          <cell r="O24">
            <v>33211.82</v>
          </cell>
          <cell r="P24">
            <v>32894.300000000003</v>
          </cell>
        </row>
        <row r="25">
          <cell r="G25">
            <v>23616.99</v>
          </cell>
          <cell r="H25">
            <v>23657.24</v>
          </cell>
          <cell r="J25">
            <v>2025</v>
          </cell>
          <cell r="K25">
            <v>30992.73</v>
          </cell>
          <cell r="L25">
            <v>30694.959999999999</v>
          </cell>
          <cell r="M25">
            <v>32111.85</v>
          </cell>
          <cell r="N25">
            <v>31800.86</v>
          </cell>
          <cell r="O25">
            <v>33537.67</v>
          </cell>
          <cell r="P25">
            <v>33217.839999999997</v>
          </cell>
        </row>
        <row r="26">
          <cell r="G26">
            <v>23909.86</v>
          </cell>
          <cell r="H26">
            <v>23966.37</v>
          </cell>
          <cell r="J26">
            <v>2026</v>
          </cell>
          <cell r="K26">
            <v>31142.31</v>
          </cell>
          <cell r="L26">
            <v>30845</v>
          </cell>
          <cell r="M26">
            <v>32344.22</v>
          </cell>
          <cell r="N26">
            <v>32032.07</v>
          </cell>
          <cell r="O26">
            <v>33886.93</v>
          </cell>
          <cell r="P26">
            <v>33565.1</v>
          </cell>
        </row>
        <row r="27">
          <cell r="G27">
            <v>24213.35</v>
          </cell>
          <cell r="H27">
            <v>24287.21</v>
          </cell>
          <cell r="J27">
            <v>2027</v>
          </cell>
          <cell r="K27">
            <v>31311.07</v>
          </cell>
          <cell r="L27">
            <v>31014.63</v>
          </cell>
          <cell r="M27">
            <v>32602.89</v>
          </cell>
          <cell r="N27">
            <v>32289.9</v>
          </cell>
          <cell r="O27">
            <v>34250.71</v>
          </cell>
          <cell r="P27">
            <v>33927.120000000003</v>
          </cell>
        </row>
        <row r="28">
          <cell r="G28">
            <v>24518.14</v>
          </cell>
          <cell r="H28">
            <v>24610.720000000001</v>
          </cell>
          <cell r="J28">
            <v>2028</v>
          </cell>
          <cell r="K28">
            <v>31474.38</v>
          </cell>
          <cell r="L28">
            <v>31220.240000000002</v>
          </cell>
          <cell r="M28">
            <v>32880.89</v>
          </cell>
          <cell r="N28">
            <v>32638.75</v>
          </cell>
          <cell r="O28">
            <v>34613.980000000003</v>
          </cell>
          <cell r="P28">
            <v>34347.769999999997</v>
          </cell>
        </row>
        <row r="29">
          <cell r="G29">
            <v>24827.279999999999</v>
          </cell>
          <cell r="H29">
            <v>24940.15</v>
          </cell>
          <cell r="J29">
            <v>2029</v>
          </cell>
          <cell r="K29">
            <v>31615.08</v>
          </cell>
          <cell r="L29">
            <v>31630.39</v>
          </cell>
          <cell r="M29">
            <v>33158.54</v>
          </cell>
          <cell r="N29">
            <v>33197.279999999999</v>
          </cell>
          <cell r="O29">
            <v>34983.39</v>
          </cell>
          <cell r="P29">
            <v>35004.050000000003</v>
          </cell>
        </row>
        <row r="30">
          <cell r="G30">
            <v>25156.76</v>
          </cell>
          <cell r="H30">
            <v>25291.09</v>
          </cell>
          <cell r="J30">
            <v>2030</v>
          </cell>
          <cell r="K30">
            <v>31763.1</v>
          </cell>
          <cell r="L30">
            <v>32066.36</v>
          </cell>
          <cell r="M30">
            <v>33454.04</v>
          </cell>
          <cell r="N30">
            <v>33796.879999999997</v>
          </cell>
          <cell r="O30">
            <v>35377.85</v>
          </cell>
          <cell r="P30">
            <v>35713.08</v>
          </cell>
        </row>
        <row r="31">
          <cell r="G31">
            <v>25446.54</v>
          </cell>
          <cell r="H31">
            <v>25603.18</v>
          </cell>
          <cell r="J31">
            <v>2031</v>
          </cell>
          <cell r="K31">
            <v>31871.77</v>
          </cell>
          <cell r="L31">
            <v>32466.51</v>
          </cell>
          <cell r="M31">
            <v>33712.21</v>
          </cell>
          <cell r="N31">
            <v>34363.79</v>
          </cell>
          <cell r="O31">
            <v>35731.08</v>
          </cell>
          <cell r="P31">
            <v>36389.129999999997</v>
          </cell>
        </row>
        <row r="32">
          <cell r="G32">
            <v>25765.17</v>
          </cell>
          <cell r="H32">
            <v>25945.39</v>
          </cell>
          <cell r="J32">
            <v>2032</v>
          </cell>
          <cell r="K32">
            <v>32050.880000000001</v>
          </cell>
          <cell r="L32">
            <v>32948.230000000003</v>
          </cell>
          <cell r="M32">
            <v>34014.519999999997</v>
          </cell>
          <cell r="N32">
            <v>34979.269999999997</v>
          </cell>
          <cell r="O32">
            <v>36125.57</v>
          </cell>
          <cell r="P32">
            <v>37113.089999999997</v>
          </cell>
        </row>
        <row r="33">
          <cell r="G33">
            <v>26094.06</v>
          </cell>
          <cell r="H33">
            <v>26299.41</v>
          </cell>
          <cell r="J33">
            <v>2033</v>
          </cell>
          <cell r="K33">
            <v>32239.52</v>
          </cell>
          <cell r="L33">
            <v>33458.04</v>
          </cell>
          <cell r="M33">
            <v>34316.910000000003</v>
          </cell>
          <cell r="N33">
            <v>35618.07</v>
          </cell>
          <cell r="O33">
            <v>36532.980000000003</v>
          </cell>
          <cell r="P33">
            <v>37875.54</v>
          </cell>
        </row>
        <row r="34">
          <cell r="G34">
            <v>26434.54</v>
          </cell>
          <cell r="H34">
            <v>26666.26</v>
          </cell>
          <cell r="J34">
            <v>2034</v>
          </cell>
          <cell r="K34">
            <v>32439.73</v>
          </cell>
          <cell r="L34">
            <v>33984.230000000003</v>
          </cell>
          <cell r="M34">
            <v>34625.449999999997</v>
          </cell>
          <cell r="N34">
            <v>36272.54</v>
          </cell>
          <cell r="O34">
            <v>36961.5</v>
          </cell>
          <cell r="P34">
            <v>38668.550000000003</v>
          </cell>
        </row>
        <row r="35">
          <cell r="G35">
            <v>26786.02</v>
          </cell>
          <cell r="H35">
            <v>27045.69</v>
          </cell>
          <cell r="J35">
            <v>2035</v>
          </cell>
          <cell r="K35">
            <v>32648.63</v>
          </cell>
          <cell r="L35">
            <v>34541.82</v>
          </cell>
          <cell r="M35">
            <v>34939.879999999997</v>
          </cell>
          <cell r="N35">
            <v>36961.300000000003</v>
          </cell>
          <cell r="O35">
            <v>37400.99</v>
          </cell>
          <cell r="P35">
            <v>39507.519999999997</v>
          </cell>
        </row>
      </sheetData>
      <sheetData sheetId="26"/>
      <sheetData sheetId="27"/>
      <sheetData sheetId="28">
        <row r="25">
          <cell r="G25">
            <v>2017</v>
          </cell>
          <cell r="H25">
            <v>2018</v>
          </cell>
          <cell r="I25">
            <v>2019</v>
          </cell>
          <cell r="J25">
            <v>2020</v>
          </cell>
          <cell r="K25">
            <v>2021</v>
          </cell>
          <cell r="L25">
            <v>2022</v>
          </cell>
          <cell r="M25">
            <v>2023</v>
          </cell>
          <cell r="N25">
            <v>2024</v>
          </cell>
          <cell r="O25">
            <v>2025</v>
          </cell>
          <cell r="P25">
            <v>2026</v>
          </cell>
          <cell r="Q25">
            <v>2027</v>
          </cell>
          <cell r="R25">
            <v>2028</v>
          </cell>
          <cell r="S25">
            <v>2029</v>
          </cell>
          <cell r="T25">
            <v>2030</v>
          </cell>
          <cell r="U25">
            <v>2031</v>
          </cell>
          <cell r="V25">
            <v>2032</v>
          </cell>
          <cell r="W25">
            <v>2033</v>
          </cell>
          <cell r="X25">
            <v>2034</v>
          </cell>
          <cell r="Y25">
            <v>2035</v>
          </cell>
        </row>
        <row r="26">
          <cell r="G26">
            <v>1812.1175799086759</v>
          </cell>
          <cell r="H26">
            <v>1848.224885844749</v>
          </cell>
          <cell r="I26">
            <v>1882.8139269406395</v>
          </cell>
          <cell r="J26">
            <v>1912.091324200913</v>
          </cell>
          <cell r="K26">
            <v>1938.2899543378994</v>
          </cell>
          <cell r="L26">
            <v>1965.4657534246576</v>
          </cell>
          <cell r="M26">
            <v>1991.3242009132421</v>
          </cell>
          <cell r="N26">
            <v>2018.0901826484021</v>
          </cell>
          <cell r="O26">
            <v>2046.033105022831</v>
          </cell>
          <cell r="P26">
            <v>2075.6232876712329</v>
          </cell>
          <cell r="Q26">
            <v>2108.1952054794524</v>
          </cell>
          <cell r="R26">
            <v>2143.4212328767121</v>
          </cell>
          <cell r="S26">
            <v>2176.6529680365297</v>
          </cell>
          <cell r="T26">
            <v>2211.5605022831051</v>
          </cell>
          <cell r="U26">
            <v>2244.461187214612</v>
          </cell>
          <cell r="V26">
            <v>2276.7397260273974</v>
          </cell>
          <cell r="W26">
            <v>2307.0559360730595</v>
          </cell>
          <cell r="X26">
            <v>2336.4189497716893</v>
          </cell>
          <cell r="Y26">
            <v>2365.7865296803657</v>
          </cell>
        </row>
        <row r="27">
          <cell r="G27">
            <v>1773.5022831050228</v>
          </cell>
          <cell r="H27">
            <v>1805.9029680365297</v>
          </cell>
          <cell r="I27">
            <v>1838.228310502283</v>
          </cell>
          <cell r="J27">
            <v>1866.4269406392693</v>
          </cell>
          <cell r="K27">
            <v>1889.961187214612</v>
          </cell>
          <cell r="L27">
            <v>1913.5993150684933</v>
          </cell>
          <cell r="M27">
            <v>1938.0319634703196</v>
          </cell>
          <cell r="N27">
            <v>1964.1392694063927</v>
          </cell>
          <cell r="O27">
            <v>1989.708904109589</v>
          </cell>
          <cell r="P27">
            <v>2015.8835616438355</v>
          </cell>
          <cell r="Q27">
            <v>2043.0970319634703</v>
          </cell>
          <cell r="R27">
            <v>2068.2260273972602</v>
          </cell>
          <cell r="S27">
            <v>2091.9132420091323</v>
          </cell>
          <cell r="T27">
            <v>2115.6894977168949</v>
          </cell>
          <cell r="U27">
            <v>2136.6301369863017</v>
          </cell>
          <cell r="V27">
            <v>2164.0182648401828</v>
          </cell>
          <cell r="W27">
            <v>2190.1484018264841</v>
          </cell>
          <cell r="X27">
            <v>2214.1107305936075</v>
          </cell>
          <cell r="Y27">
            <v>2238.9691780821918</v>
          </cell>
        </row>
        <row r="28">
          <cell r="G28">
            <v>1855.7283105022832</v>
          </cell>
          <cell r="H28">
            <v>1895.9817351598174</v>
          </cell>
          <cell r="I28">
            <v>1937.0627853881276</v>
          </cell>
          <cell r="J28">
            <v>1974.1712328767126</v>
          </cell>
          <cell r="K28">
            <v>2009.4657534246574</v>
          </cell>
          <cell r="L28">
            <v>2046.0616438356165</v>
          </cell>
          <cell r="M28">
            <v>2080.9794520547948</v>
          </cell>
          <cell r="N28">
            <v>2114.1872146118722</v>
          </cell>
          <cell r="O28">
            <v>2146.6244292237443</v>
          </cell>
          <cell r="P28">
            <v>2179.1723744292235</v>
          </cell>
          <cell r="Q28">
            <v>2213.3972602739727</v>
          </cell>
          <cell r="R28">
            <v>2250.9634703196348</v>
          </cell>
          <cell r="S28">
            <v>2286.4589041095892</v>
          </cell>
          <cell r="T28">
            <v>2323.2762557077626</v>
          </cell>
          <cell r="U28">
            <v>2358.0947488584475</v>
          </cell>
          <cell r="V28">
            <v>2393.0821917808221</v>
          </cell>
          <cell r="W28">
            <v>2426.994292237443</v>
          </cell>
          <cell r="X28">
            <v>2458.2031963470322</v>
          </cell>
          <cell r="Y28">
            <v>2489.7511415525114</v>
          </cell>
        </row>
        <row r="31">
          <cell r="G31">
            <v>1.0229263769326289</v>
          </cell>
          <cell r="H31">
            <v>1.0199254763247165</v>
          </cell>
          <cell r="I31">
            <v>1.0187147361561908</v>
          </cell>
          <cell r="J31">
            <v>1.015549809166669</v>
          </cell>
          <cell r="K31">
            <v>1.0137015579775903</v>
          </cell>
          <cell r="L31">
            <v>1.0140205024671043</v>
          </cell>
          <cell r="M31">
            <v>1.0131563968710868</v>
          </cell>
          <cell r="N31">
            <v>1.0134412978674616</v>
          </cell>
          <cell r="O31">
            <v>1.0138462208550851</v>
          </cell>
          <cell r="P31">
            <v>1.0144622208583822</v>
          </cell>
          <cell r="Q31">
            <v>1.0156925960513596</v>
          </cell>
          <cell r="R31">
            <v>1.0167090918837607</v>
          </cell>
          <cell r="S31">
            <v>1.0155040617542157</v>
          </cell>
          <cell r="T31">
            <v>1.0160372529563424</v>
          </cell>
          <cell r="U31">
            <v>1.01487668318255</v>
          </cell>
          <cell r="V31">
            <v>1.0143814199134551</v>
          </cell>
          <cell r="W31">
            <v>1.0133156239595993</v>
          </cell>
          <cell r="X31">
            <v>1.0127274823464445</v>
          </cell>
          <cell r="Y31">
            <v>1.0125694837013481</v>
          </cell>
        </row>
        <row r="32">
          <cell r="G32">
            <v>1.0216470371612512</v>
          </cell>
          <cell r="H32">
            <v>1.0182693223686075</v>
          </cell>
          <cell r="I32">
            <v>1.0178998224366944</v>
          </cell>
          <cell r="J32">
            <v>1.0153401130729409</v>
          </cell>
          <cell r="K32">
            <v>1.0126092514327305</v>
          </cell>
          <cell r="L32">
            <v>1.0125072028006663</v>
          </cell>
          <cell r="M32">
            <v>1.012767901937168</v>
          </cell>
          <cell r="N32">
            <v>1.0134710399148033</v>
          </cell>
          <cell r="O32">
            <v>1.0130182391348064</v>
          </cell>
          <cell r="P32">
            <v>1.0131550185457705</v>
          </cell>
          <cell r="Q32">
            <v>1.0134995248919256</v>
          </cell>
          <cell r="R32">
            <v>1.0122994625515365</v>
          </cell>
          <cell r="S32">
            <v>1.0114529138972692</v>
          </cell>
          <cell r="T32">
            <v>1.0113657943504997</v>
          </cell>
          <cell r="U32">
            <v>1.0098977847609512</v>
          </cell>
          <cell r="V32">
            <v>1.0128183757121914</v>
          </cell>
          <cell r="W32">
            <v>1.0120748227548952</v>
          </cell>
          <cell r="X32">
            <v>1.0109409612367546</v>
          </cell>
          <cell r="Y32">
            <v>1.0112272828748361</v>
          </cell>
        </row>
        <row r="33">
          <cell r="G33">
            <v>1.0255514422919205</v>
          </cell>
          <cell r="H33">
            <v>1.0216914428851058</v>
          </cell>
          <cell r="I33">
            <v>1.02166742931458</v>
          </cell>
          <cell r="J33">
            <v>1.019157070059115</v>
          </cell>
          <cell r="K33">
            <v>1.0178781455023607</v>
          </cell>
          <cell r="L33">
            <v>1.018211751232182</v>
          </cell>
          <cell r="M33">
            <v>1.0170658632521552</v>
          </cell>
          <cell r="N33">
            <v>1.0159577561058026</v>
          </cell>
          <cell r="O33">
            <v>1.0153426406080253</v>
          </cell>
          <cell r="P33">
            <v>1.0151623846083075</v>
          </cell>
          <cell r="Q33">
            <v>1.0157054514118984</v>
          </cell>
          <cell r="R33">
            <v>1.0169721950595585</v>
          </cell>
          <cell r="S33">
            <v>1.015768995924627</v>
          </cell>
          <cell r="T33">
            <v>1.016102345654234</v>
          </cell>
          <cell r="U33">
            <v>1.0149868071285728</v>
          </cell>
          <cell r="V33">
            <v>1.0148371658684674</v>
          </cell>
          <cell r="W33">
            <v>1.0141708883101024</v>
          </cell>
          <cell r="X33">
            <v>1.0128590760223082</v>
          </cell>
          <cell r="Y33">
            <v>1.0128337418372739</v>
          </cell>
        </row>
        <row r="35">
          <cell r="G35">
            <v>1</v>
          </cell>
          <cell r="H35">
            <v>1</v>
          </cell>
          <cell r="I35">
            <v>1</v>
          </cell>
          <cell r="J35">
            <v>1</v>
          </cell>
          <cell r="K35">
            <v>1</v>
          </cell>
          <cell r="L35">
            <v>1</v>
          </cell>
          <cell r="M35">
            <v>1</v>
          </cell>
          <cell r="N35">
            <v>1</v>
          </cell>
          <cell r="O35">
            <v>1</v>
          </cell>
          <cell r="P35">
            <v>1</v>
          </cell>
          <cell r="Q35">
            <v>1</v>
          </cell>
          <cell r="R35">
            <v>1</v>
          </cell>
          <cell r="S35">
            <v>1</v>
          </cell>
          <cell r="T35">
            <v>1</v>
          </cell>
          <cell r="U35">
            <v>1</v>
          </cell>
          <cell r="V35">
            <v>1</v>
          </cell>
          <cell r="W35">
            <v>1</v>
          </cell>
          <cell r="X35">
            <v>1</v>
          </cell>
          <cell r="Y35">
            <v>1</v>
          </cell>
        </row>
        <row r="36">
          <cell r="G36">
            <v>0.97869051256287731</v>
          </cell>
          <cell r="H36">
            <v>0.97710131589918747</v>
          </cell>
          <cell r="I36">
            <v>0.97631969054382173</v>
          </cell>
          <cell r="J36">
            <v>0.97611809489239354</v>
          </cell>
          <cell r="K36">
            <v>0.9750662861275593</v>
          </cell>
          <cell r="L36">
            <v>0.97361112079119594</v>
          </cell>
          <cell r="M36">
            <v>0.97323778949782158</v>
          </cell>
          <cell r="N36">
            <v>0.97326635166957309</v>
          </cell>
          <cell r="O36">
            <v>0.97247151046824654</v>
          </cell>
          <cell r="P36">
            <v>0.97121841598991543</v>
          </cell>
          <cell r="Q36">
            <v>0.96912137294175404</v>
          </cell>
          <cell r="R36">
            <v>0.96491813912912883</v>
          </cell>
          <cell r="S36">
            <v>0.96106879356894559</v>
          </cell>
          <cell r="T36">
            <v>0.95665006475416903</v>
          </cell>
          <cell r="U36">
            <v>0.95195682115486746</v>
          </cell>
          <cell r="V36">
            <v>0.95048996602527847</v>
          </cell>
          <cell r="W36">
            <v>0.94932609460455097</v>
          </cell>
          <cell r="X36">
            <v>0.94765141791456808</v>
          </cell>
          <cell r="Y36">
            <v>0.94639526854719735</v>
          </cell>
        </row>
        <row r="37">
          <cell r="G37">
            <v>1.0240661704721197</v>
          </cell>
          <cell r="H37">
            <v>1.0258393065047604</v>
          </cell>
          <cell r="I37">
            <v>1.0288126498700998</v>
          </cell>
          <cell r="J37">
            <v>1.0324670207380098</v>
          </cell>
          <cell r="K37">
            <v>1.0367209245074331</v>
          </cell>
          <cell r="L37">
            <v>1.0410060008781772</v>
          </cell>
          <cell r="M37">
            <v>1.045022930520523</v>
          </cell>
          <cell r="N37">
            <v>1.0476178085546994</v>
          </cell>
          <cell r="O37">
            <v>1.0491640745958462</v>
          </cell>
          <cell r="P37">
            <v>1.04988818894693</v>
          </cell>
          <cell r="Q37">
            <v>1.0499014771123127</v>
          </cell>
          <cell r="R37">
            <v>1.0501731697873447</v>
          </cell>
          <cell r="S37">
            <v>1.0504471487579901</v>
          </cell>
          <cell r="T37">
            <v>1.0505144459350435</v>
          </cell>
          <cell r="U37">
            <v>1.0506284369233647</v>
          </cell>
          <cell r="V37">
            <v>1.0511004681050771</v>
          </cell>
          <cell r="W37">
            <v>1.0519876238321884</v>
          </cell>
          <cell r="X37">
            <v>1.0521243189656733</v>
          </cell>
          <cell r="Y37">
            <v>1.0523989000346934</v>
          </cell>
        </row>
        <row r="40">
          <cell r="G40">
            <v>404.69885906229592</v>
          </cell>
          <cell r="H40">
            <v>421.46039895133885</v>
          </cell>
          <cell r="I40">
            <v>419.64642143844253</v>
          </cell>
          <cell r="J40">
            <v>423.66562864853898</v>
          </cell>
          <cell r="K40">
            <v>432.76092390952061</v>
          </cell>
          <cell r="L40">
            <v>446.31531189522576</v>
          </cell>
          <cell r="M40">
            <v>450.98222620533323</v>
          </cell>
          <cell r="N40">
            <v>459.05126073815245</v>
          </cell>
          <cell r="O40">
            <v>470.19601765719887</v>
          </cell>
          <cell r="P40">
            <v>484.16208251533135</v>
          </cell>
          <cell r="Q40">
            <v>494.21069266812788</v>
          </cell>
          <cell r="R40">
            <v>506.64189476780371</v>
          </cell>
          <cell r="S40">
            <v>521.35392484293436</v>
          </cell>
          <cell r="T40">
            <v>538.28523642117</v>
          </cell>
          <cell r="U40">
            <v>554.01935267425768</v>
          </cell>
          <cell r="V40">
            <v>571.88182312772415</v>
          </cell>
          <cell r="W40">
            <v>591.90212163156946</v>
          </cell>
          <cell r="X40">
            <v>614.13634434495953</v>
          </cell>
          <cell r="Y40">
            <v>636.87438282107769</v>
          </cell>
        </row>
        <row r="41">
          <cell r="G41">
            <v>396.07493380929003</v>
          </cell>
          <cell r="H41">
            <v>411.8095104147497</v>
          </cell>
          <cell r="I41">
            <v>409.70906431660239</v>
          </cell>
          <cell r="J41">
            <v>413.54768630780012</v>
          </cell>
          <cell r="K41">
            <v>421.97058685758753</v>
          </cell>
          <cell r="L41">
            <v>434.53755104058291</v>
          </cell>
          <cell r="M41">
            <v>438.91294493488505</v>
          </cell>
          <cell r="N41">
            <v>446.77914576793955</v>
          </cell>
          <cell r="O41">
            <v>457.25223150725049</v>
          </cell>
          <cell r="P41">
            <v>470.22713086291884</v>
          </cell>
          <cell r="Q41">
            <v>478.95014500103133</v>
          </cell>
          <cell r="R41">
            <v>488.86795430420506</v>
          </cell>
          <cell r="S41">
            <v>501.05698757123366</v>
          </cell>
          <cell r="T41">
            <v>514.95060627852547</v>
          </cell>
          <cell r="U41">
            <v>527.40250183006378</v>
          </cell>
          <cell r="V41">
            <v>543.56793463514487</v>
          </cell>
          <cell r="W41">
            <v>561.90812951664577</v>
          </cell>
          <cell r="X41">
            <v>581.98717751137031</v>
          </cell>
          <cell r="Y41">
            <v>602.73490256078435</v>
          </cell>
        </row>
        <row r="42">
          <cell r="G42">
            <v>414.43841079436146</v>
          </cell>
          <cell r="H42">
            <v>432.35064337946108</v>
          </cell>
          <cell r="I42">
            <v>431.73754684858869</v>
          </cell>
          <cell r="J42">
            <v>437.42078939985305</v>
          </cell>
          <cell r="K42">
            <v>448.65230512616915</v>
          </cell>
          <cell r="L42">
            <v>464.61691796674529</v>
          </cell>
          <cell r="M42">
            <v>471.28676764176674</v>
          </cell>
          <cell r="N42">
            <v>480.91027578877521</v>
          </cell>
          <cell r="O42">
            <v>493.31276974396718</v>
          </cell>
          <cell r="P42">
            <v>508.31605196879531</v>
          </cell>
          <cell r="Q42">
            <v>518.87253623696665</v>
          </cell>
          <cell r="R42">
            <v>532.0617245753707</v>
          </cell>
          <cell r="S42">
            <v>547.65474384504785</v>
          </cell>
          <cell r="T42">
            <v>565.47641689399927</v>
          </cell>
          <cell r="U42">
            <v>582.06848652544966</v>
          </cell>
          <cell r="V42">
            <v>601.10525199033577</v>
          </cell>
          <cell r="W42">
            <v>622.67370647642565</v>
          </cell>
          <cell r="X42">
            <v>646.14778304600873</v>
          </cell>
          <cell r="Y42">
            <v>670.24589994117639</v>
          </cell>
        </row>
        <row r="44">
          <cell r="G44">
            <v>404.69885906229592</v>
          </cell>
          <cell r="H44">
            <v>421.46039895133885</v>
          </cell>
          <cell r="I44">
            <v>419.64642143844253</v>
          </cell>
          <cell r="J44">
            <v>423.66562864853898</v>
          </cell>
          <cell r="K44">
            <v>432.76092390952061</v>
          </cell>
          <cell r="L44">
            <v>446.31531189522576</v>
          </cell>
          <cell r="M44">
            <v>450.98222620533323</v>
          </cell>
          <cell r="N44">
            <v>459.05126073815245</v>
          </cell>
          <cell r="O44">
            <v>470.19601765719887</v>
          </cell>
          <cell r="P44">
            <v>484.16208251533135</v>
          </cell>
          <cell r="Q44">
            <v>494.21069266812788</v>
          </cell>
          <cell r="R44">
            <v>506.64189476780371</v>
          </cell>
          <cell r="S44">
            <v>521.35392484293436</v>
          </cell>
          <cell r="T44">
            <v>538.28523642117</v>
          </cell>
          <cell r="U44">
            <v>554.01935267425768</v>
          </cell>
          <cell r="V44">
            <v>571.88182312772415</v>
          </cell>
          <cell r="W44">
            <v>591.90212163156946</v>
          </cell>
          <cell r="X44">
            <v>614.13634434495953</v>
          </cell>
          <cell r="Y44">
            <v>636.87438282107769</v>
          </cell>
        </row>
      </sheetData>
      <sheetData sheetId="29"/>
      <sheetData sheetId="30"/>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Overview"/>
      <sheetName val="MLIST"/>
      <sheetName val="FILES"/>
      <sheetName val="APPLIC"/>
      <sheetName val="BASE"/>
      <sheetName val="STOCK"/>
      <sheetName val="TURN"/>
      <sheetName val="ACHIEV"/>
      <sheetName val="FEAS"/>
      <sheetName val="RAMP"/>
      <sheetName val="CODE"/>
      <sheetName val="CHAR"/>
      <sheetName val="Floor"/>
      <sheetName val="Vars"/>
      <sheetName val="Labels"/>
      <sheetName val="Lookup"/>
      <sheetName val="EUI"/>
      <sheetName val="Measure Name List"/>
      <sheetName val="CBSA Data"/>
      <sheetName val="CBSA Data New"/>
      <sheetName val="BPA Taxonom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4">
          <cell r="C4" t="str">
            <v>PRE2002</v>
          </cell>
          <cell r="D4" t="str">
            <v>Com_Master_7P.xlsm!_PRE2002</v>
          </cell>
        </row>
        <row r="5">
          <cell r="C5" t="str">
            <v>PRE1987</v>
          </cell>
          <cell r="D5" t="str">
            <v>Com_Master_7P.xlsm!PRE1987</v>
          </cell>
        </row>
        <row r="6">
          <cell r="C6" t="str">
            <v>POST2002</v>
          </cell>
          <cell r="D6" t="str">
            <v>Com_Master_7P.xlsm!POST2002</v>
          </cell>
        </row>
        <row r="7">
          <cell r="C7" t="str">
            <v>V1987_2001</v>
          </cell>
          <cell r="D7" t="str">
            <v>Com_Master_7P.xlsm!V1987_2001</v>
          </cell>
        </row>
        <row r="8">
          <cell r="C8" t="str">
            <v>V1987_1994</v>
          </cell>
          <cell r="D8" t="str">
            <v>Com_Master_7P.xlsm!V1987_1994</v>
          </cell>
        </row>
        <row r="9">
          <cell r="C9" t="str">
            <v>V1995_2001</v>
          </cell>
          <cell r="D9" t="str">
            <v>Com_Master_7P.xlsm!V1995_2001</v>
          </cell>
        </row>
        <row r="10">
          <cell r="C10" t="str">
            <v>V2002_2006</v>
          </cell>
          <cell r="D10" t="str">
            <v>Com_Master_7P.xlsm!V2002_2006</v>
          </cell>
        </row>
        <row r="11">
          <cell r="C11" t="str">
            <v>POST2013</v>
          </cell>
          <cell r="D11" t="str">
            <v>Com_Master_7P.xlsm!POST2013</v>
          </cell>
        </row>
        <row r="12">
          <cell r="C12" t="str">
            <v>_PRE2013</v>
          </cell>
          <cell r="D12" t="str">
            <v>Com_Master_7P.xlsm!_PRE2013</v>
          </cell>
        </row>
      </sheetData>
      <sheetData sheetId="16"/>
      <sheetData sheetId="17"/>
      <sheetData sheetId="18"/>
      <sheetData sheetId="19"/>
      <sheetData sheetId="2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MLIST"/>
    </sheetNames>
    <sheetDataSet>
      <sheetData sheetId="0">
        <row r="2">
          <cell r="A2" t="str">
            <v>Distribution System Efficiency</v>
          </cell>
        </row>
      </sheetData>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Introduction"/>
      <sheetName val="GDP Deflator"/>
      <sheetName val="Labor"/>
      <sheetName val="Equipment Mark-ups"/>
      <sheetName val="Equipment Rental Costs"/>
      <sheetName val="Water and Wastewater"/>
      <sheetName val="Water Energy"/>
      <sheetName val="Detergent"/>
      <sheetName val="Wood Fuel Credit"/>
      <sheetName val="Residential Lighting"/>
      <sheetName val="SF Insulation"/>
      <sheetName val="MF Insulation"/>
      <sheetName val="SF Window "/>
      <sheetName val="MF Window"/>
      <sheetName val="Air Source HP"/>
      <sheetName val="PTCS Duct Sealing"/>
      <sheetName val="PTCS HPC"/>
      <sheetName val="HP Water Heater"/>
      <sheetName val="Tank Water Heater"/>
      <sheetName val="Weighting Factors"/>
      <sheetName val="Com HVAC Interaction Factors"/>
      <sheetName val="Res HVAC Interaction Factors"/>
      <sheetName val="EER Values"/>
      <sheetName val="Water Heater Recovery Eff."/>
      <sheetName val="Lifetime Reference Table"/>
      <sheetName val="Sheet1"/>
    </sheetNames>
    <sheetDataSet>
      <sheetData sheetId="0" refreshError="1"/>
      <sheetData sheetId="1">
        <row r="89">
          <cell r="E89">
            <v>0.90305488179949944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ummary"/>
      <sheetName val="Substations"/>
      <sheetName val="Cooperatives"/>
      <sheetName val="Public and Municipal Utilities"/>
      <sheetName val="IOUs"/>
      <sheetName val="SNO"/>
      <sheetName val="AVI"/>
      <sheetName val="Avista"/>
      <sheetName val="Idaho"/>
    </sheetNames>
    <sheetDataSet>
      <sheetData sheetId="0"/>
      <sheetData sheetId="1"/>
      <sheetData sheetId="2"/>
      <sheetData sheetId="3"/>
      <sheetData sheetId="4"/>
      <sheetData sheetId="5">
        <row r="2">
          <cell r="F2">
            <v>97212766</v>
          </cell>
        </row>
        <row r="3">
          <cell r="F3">
            <v>70017737</v>
          </cell>
        </row>
        <row r="4">
          <cell r="F4">
            <v>61964784</v>
          </cell>
        </row>
        <row r="5">
          <cell r="F5">
            <v>38494183</v>
          </cell>
        </row>
        <row r="6">
          <cell r="F6">
            <v>73260641</v>
          </cell>
        </row>
        <row r="7">
          <cell r="F7">
            <v>88663977</v>
          </cell>
        </row>
        <row r="8">
          <cell r="F8">
            <v>85473571</v>
          </cell>
        </row>
        <row r="9">
          <cell r="F9">
            <v>73875369</v>
          </cell>
        </row>
        <row r="10">
          <cell r="F10">
            <v>91069875</v>
          </cell>
        </row>
        <row r="11">
          <cell r="F11">
            <v>28305634</v>
          </cell>
        </row>
        <row r="12">
          <cell r="F12">
            <v>151120018</v>
          </cell>
        </row>
        <row r="13">
          <cell r="F13">
            <v>81929425</v>
          </cell>
        </row>
        <row r="14">
          <cell r="F14">
            <v>102219800</v>
          </cell>
        </row>
        <row r="15">
          <cell r="F15">
            <v>105145390</v>
          </cell>
        </row>
        <row r="16">
          <cell r="F16">
            <v>71273364</v>
          </cell>
        </row>
        <row r="17">
          <cell r="F17">
            <v>76632615</v>
          </cell>
        </row>
        <row r="18">
          <cell r="F18">
            <v>75153636</v>
          </cell>
        </row>
        <row r="19">
          <cell r="F19">
            <v>71691307</v>
          </cell>
        </row>
        <row r="20">
          <cell r="F20">
            <v>104754848</v>
          </cell>
        </row>
        <row r="21">
          <cell r="F21">
            <v>87655092</v>
          </cell>
        </row>
        <row r="22">
          <cell r="F22">
            <v>57383217</v>
          </cell>
        </row>
        <row r="23">
          <cell r="F23">
            <v>44030637</v>
          </cell>
        </row>
        <row r="24">
          <cell r="F24">
            <v>76377074</v>
          </cell>
        </row>
        <row r="25">
          <cell r="F25">
            <v>62538339</v>
          </cell>
        </row>
        <row r="26">
          <cell r="F26">
            <v>75914406</v>
          </cell>
        </row>
        <row r="27">
          <cell r="F27">
            <v>68542730</v>
          </cell>
        </row>
        <row r="28">
          <cell r="F28">
            <v>69989070</v>
          </cell>
        </row>
        <row r="29">
          <cell r="F29">
            <v>9632870</v>
          </cell>
        </row>
        <row r="30">
          <cell r="F30">
            <v>68749463</v>
          </cell>
        </row>
        <row r="31">
          <cell r="F31">
            <v>86455480</v>
          </cell>
        </row>
        <row r="32">
          <cell r="F32">
            <v>60092559</v>
          </cell>
        </row>
        <row r="33">
          <cell r="F33">
            <v>88237245</v>
          </cell>
        </row>
        <row r="34">
          <cell r="F34">
            <v>63318769</v>
          </cell>
        </row>
        <row r="35">
          <cell r="F35">
            <v>76131046</v>
          </cell>
        </row>
        <row r="36">
          <cell r="F36">
            <v>73576729</v>
          </cell>
        </row>
        <row r="37">
          <cell r="F37">
            <v>68376561</v>
          </cell>
        </row>
        <row r="38">
          <cell r="F38">
            <v>77019480</v>
          </cell>
        </row>
        <row r="39">
          <cell r="F39">
            <v>61051997</v>
          </cell>
        </row>
        <row r="40">
          <cell r="F40">
            <v>82524149</v>
          </cell>
        </row>
        <row r="41">
          <cell r="F41">
            <v>67543919</v>
          </cell>
        </row>
        <row r="42">
          <cell r="F42">
            <v>53132608</v>
          </cell>
        </row>
        <row r="43">
          <cell r="F43">
            <v>93481382</v>
          </cell>
        </row>
        <row r="44">
          <cell r="F44">
            <v>54028682</v>
          </cell>
        </row>
        <row r="45">
          <cell r="F45">
            <v>37327882</v>
          </cell>
        </row>
        <row r="46">
          <cell r="F46">
            <v>104228172</v>
          </cell>
        </row>
        <row r="47">
          <cell r="F47">
            <v>73270275</v>
          </cell>
        </row>
        <row r="48">
          <cell r="F48">
            <v>80219301</v>
          </cell>
        </row>
        <row r="49">
          <cell r="F49">
            <v>5325975</v>
          </cell>
        </row>
        <row r="50">
          <cell r="F50">
            <v>173037556</v>
          </cell>
        </row>
        <row r="51">
          <cell r="F51">
            <v>104150978</v>
          </cell>
        </row>
        <row r="52">
          <cell r="F52">
            <v>63397155</v>
          </cell>
        </row>
        <row r="53">
          <cell r="F53">
            <v>52280940</v>
          </cell>
        </row>
        <row r="54">
          <cell r="F54">
            <v>102936895</v>
          </cell>
        </row>
        <row r="55">
          <cell r="F55">
            <v>46519167</v>
          </cell>
        </row>
        <row r="56">
          <cell r="F56">
            <v>70205789</v>
          </cell>
        </row>
        <row r="57">
          <cell r="F57">
            <v>35284463</v>
          </cell>
        </row>
        <row r="58">
          <cell r="F58">
            <v>76412922</v>
          </cell>
        </row>
        <row r="59">
          <cell r="F59">
            <v>80125148</v>
          </cell>
        </row>
        <row r="60">
          <cell r="F60">
            <v>54358894</v>
          </cell>
        </row>
        <row r="61">
          <cell r="F61">
            <v>66610185</v>
          </cell>
        </row>
        <row r="62">
          <cell r="F62">
            <v>66135004</v>
          </cell>
        </row>
        <row r="63">
          <cell r="F63">
            <v>49449052</v>
          </cell>
        </row>
        <row r="64">
          <cell r="F64">
            <v>49934707</v>
          </cell>
        </row>
        <row r="65">
          <cell r="F65">
            <v>162713103</v>
          </cell>
        </row>
        <row r="66">
          <cell r="F66">
            <v>58213343</v>
          </cell>
        </row>
        <row r="67">
          <cell r="F67">
            <v>58069960</v>
          </cell>
        </row>
        <row r="68">
          <cell r="F68">
            <v>66331169</v>
          </cell>
        </row>
        <row r="69">
          <cell r="F69">
            <v>118952494</v>
          </cell>
        </row>
        <row r="70">
          <cell r="F70">
            <v>31794476</v>
          </cell>
        </row>
        <row r="71">
          <cell r="F71">
            <v>59639078</v>
          </cell>
        </row>
        <row r="72">
          <cell r="F72">
            <v>137971942</v>
          </cell>
        </row>
        <row r="73">
          <cell r="F73">
            <v>71430156</v>
          </cell>
        </row>
        <row r="74">
          <cell r="F74">
            <v>88915362</v>
          </cell>
        </row>
      </sheetData>
      <sheetData sheetId="6"/>
      <sheetData sheetId="7"/>
      <sheetData sheetId="8">
        <row r="2">
          <cell r="I2">
            <v>38743.148990339047</v>
          </cell>
        </row>
        <row r="3">
          <cell r="I3">
            <v>55308.01821311086</v>
          </cell>
        </row>
        <row r="4">
          <cell r="I4">
            <v>94381.839047423622</v>
          </cell>
        </row>
        <row r="5">
          <cell r="I5">
            <v>99920.022661692536</v>
          </cell>
        </row>
        <row r="7">
          <cell r="I7">
            <v>28769.442178172598</v>
          </cell>
        </row>
        <row r="8">
          <cell r="I8">
            <v>70797.920326677733</v>
          </cell>
        </row>
        <row r="9">
          <cell r="I9">
            <v>138837.35706232692</v>
          </cell>
        </row>
        <row r="10">
          <cell r="I10">
            <v>85548.263711291787</v>
          </cell>
        </row>
        <row r="11">
          <cell r="I11">
            <v>97972.885615522144</v>
          </cell>
        </row>
        <row r="13">
          <cell r="I13">
            <v>67438.712012253032</v>
          </cell>
        </row>
        <row r="14">
          <cell r="I14">
            <v>149423.09968252783</v>
          </cell>
        </row>
        <row r="15">
          <cell r="I15">
            <v>105798.91480051886</v>
          </cell>
        </row>
        <row r="16">
          <cell r="I16">
            <v>108512.05453462088</v>
          </cell>
        </row>
        <row r="17">
          <cell r="I17">
            <v>106219.80461111899</v>
          </cell>
        </row>
        <row r="19">
          <cell r="I19">
            <v>79076.189920168588</v>
          </cell>
        </row>
        <row r="20">
          <cell r="I20">
            <v>81698.650747997352</v>
          </cell>
        </row>
        <row r="21">
          <cell r="I21">
            <v>55588.013033125935</v>
          </cell>
        </row>
        <row r="22">
          <cell r="I22">
            <v>92332.106691653258</v>
          </cell>
        </row>
        <row r="25">
          <cell r="I25">
            <v>56730.968330825541</v>
          </cell>
        </row>
        <row r="26">
          <cell r="I26">
            <v>48313.920343306105</v>
          </cell>
        </row>
        <row r="28">
          <cell r="I28">
            <v>111800.36290702281</v>
          </cell>
        </row>
        <row r="29">
          <cell r="I29">
            <v>103316.6226190864</v>
          </cell>
        </row>
        <row r="30">
          <cell r="I30">
            <v>87795.662740342013</v>
          </cell>
        </row>
        <row r="31">
          <cell r="I31">
            <v>107896.56820745779</v>
          </cell>
        </row>
        <row r="34">
          <cell r="I34">
            <v>17783.252059203369</v>
          </cell>
        </row>
        <row r="35">
          <cell r="I35">
            <v>153067.94494220446</v>
          </cell>
        </row>
        <row r="36">
          <cell r="I36">
            <v>117974.21211545172</v>
          </cell>
        </row>
        <row r="37">
          <cell r="I37">
            <v>162431.41627367027</v>
          </cell>
        </row>
        <row r="42">
          <cell r="I42">
            <v>118415.82982529439</v>
          </cell>
        </row>
        <row r="43">
          <cell r="I43">
            <v>49894.357569476255</v>
          </cell>
        </row>
        <row r="44">
          <cell r="I44">
            <v>80470.279359580716</v>
          </cell>
        </row>
        <row r="45">
          <cell r="I45">
            <v>86704.797976333459</v>
          </cell>
        </row>
        <row r="46">
          <cell r="I46">
            <v>51095.960234321225</v>
          </cell>
        </row>
        <row r="47">
          <cell r="I47">
            <v>35736.062405415425</v>
          </cell>
        </row>
        <row r="48">
          <cell r="I48">
            <v>20440.986019099713</v>
          </cell>
        </row>
        <row r="49">
          <cell r="I49">
            <v>93995.319622767143</v>
          </cell>
        </row>
        <row r="50">
          <cell r="I50">
            <v>51568.221882245998</v>
          </cell>
        </row>
        <row r="51">
          <cell r="I51">
            <v>59867.615040568351</v>
          </cell>
        </row>
        <row r="52">
          <cell r="I52">
            <v>59864.319910498125</v>
          </cell>
        </row>
        <row r="53">
          <cell r="I53">
            <v>84237.085711026288</v>
          </cell>
        </row>
        <row r="54">
          <cell r="I54">
            <v>24894</v>
          </cell>
        </row>
        <row r="55">
          <cell r="I55">
            <v>116292.39631368125</v>
          </cell>
        </row>
        <row r="56">
          <cell r="I56">
            <v>129711.5951350695</v>
          </cell>
        </row>
        <row r="57">
          <cell r="I57">
            <v>59264.214903953653</v>
          </cell>
        </row>
        <row r="58">
          <cell r="I58">
            <v>132055.54319002177</v>
          </cell>
        </row>
        <row r="62">
          <cell r="I62">
            <v>107470.61535172256</v>
          </cell>
        </row>
        <row r="64">
          <cell r="I64">
            <v>114650.98022538358</v>
          </cell>
        </row>
        <row r="65">
          <cell r="I65">
            <v>37721.559746070394</v>
          </cell>
        </row>
        <row r="66">
          <cell r="I66">
            <v>36722.32107454248</v>
          </cell>
        </row>
        <row r="67">
          <cell r="I67">
            <v>62890.536772413507</v>
          </cell>
        </row>
        <row r="69">
          <cell r="I69">
            <v>35675.455635484861</v>
          </cell>
        </row>
        <row r="71">
          <cell r="I71">
            <v>-12982.451973890767</v>
          </cell>
        </row>
        <row r="72">
          <cell r="I72">
            <v>87862.880499839914</v>
          </cell>
        </row>
        <row r="73">
          <cell r="I73">
            <v>36706.776553403324</v>
          </cell>
        </row>
        <row r="74">
          <cell r="I74">
            <v>40492.868238111441</v>
          </cell>
        </row>
        <row r="75">
          <cell r="I75">
            <v>37723.448362093215</v>
          </cell>
        </row>
        <row r="77">
          <cell r="I77">
            <v>133863.11647609863</v>
          </cell>
        </row>
        <row r="79">
          <cell r="I79">
            <v>94211.064752903549</v>
          </cell>
        </row>
        <row r="80">
          <cell r="I80">
            <v>97137.884223502522</v>
          </cell>
        </row>
        <row r="81">
          <cell r="I81">
            <v>94575.409874811638</v>
          </cell>
        </row>
        <row r="82">
          <cell r="I82">
            <v>31907.417198913059</v>
          </cell>
        </row>
        <row r="83">
          <cell r="I83">
            <v>15059.182216021298</v>
          </cell>
        </row>
        <row r="84">
          <cell r="I84">
            <v>139669.3901853585</v>
          </cell>
        </row>
        <row r="85">
          <cell r="I85">
            <v>28656.720633319874</v>
          </cell>
        </row>
        <row r="86">
          <cell r="I86">
            <v>72374.975325828069</v>
          </cell>
        </row>
        <row r="87">
          <cell r="I87">
            <v>14401.159449121109</v>
          </cell>
        </row>
        <row r="88">
          <cell r="I88">
            <v>75998.709020681665</v>
          </cell>
        </row>
        <row r="89">
          <cell r="I89">
            <v>163164.14323675371</v>
          </cell>
        </row>
        <row r="90">
          <cell r="I90">
            <v>53243.565223141588</v>
          </cell>
        </row>
        <row r="92">
          <cell r="I92">
            <v>14149.351854111968</v>
          </cell>
        </row>
        <row r="93">
          <cell r="I93">
            <v>43849.702127633056</v>
          </cell>
        </row>
        <row r="95">
          <cell r="I95">
            <v>37882.853028259015</v>
          </cell>
        </row>
        <row r="96">
          <cell r="I96">
            <v>30079.410432061955</v>
          </cell>
        </row>
        <row r="97">
          <cell r="I97">
            <v>160915.80137869425</v>
          </cell>
        </row>
        <row r="99">
          <cell r="I99">
            <v>199934.01731256786</v>
          </cell>
        </row>
        <row r="100">
          <cell r="I100">
            <v>65042.074813757921</v>
          </cell>
        </row>
        <row r="101">
          <cell r="I101">
            <v>51329.344258210069</v>
          </cell>
        </row>
        <row r="102">
          <cell r="I102">
            <v>81054.8797173106</v>
          </cell>
        </row>
        <row r="106">
          <cell r="I106">
            <v>64456.090905808291</v>
          </cell>
        </row>
        <row r="107">
          <cell r="I107">
            <v>110408.59411837615</v>
          </cell>
        </row>
        <row r="108">
          <cell r="I108">
            <v>52468.806617962167</v>
          </cell>
        </row>
        <row r="109">
          <cell r="I109">
            <v>66163.590647324498</v>
          </cell>
        </row>
        <row r="110">
          <cell r="I110">
            <v>76818.514961668479</v>
          </cell>
        </row>
        <row r="113">
          <cell r="I113">
            <v>63900.084450374721</v>
          </cell>
        </row>
        <row r="115">
          <cell r="I115">
            <v>98446.322034725046</v>
          </cell>
        </row>
        <row r="116">
          <cell r="I116">
            <v>77594.425979574749</v>
          </cell>
        </row>
        <row r="117">
          <cell r="I117">
            <v>139096.45431560624</v>
          </cell>
        </row>
        <row r="118">
          <cell r="I118">
            <v>125825.47463856208</v>
          </cell>
        </row>
        <row r="120">
          <cell r="I120">
            <v>103206.85503287012</v>
          </cell>
        </row>
        <row r="121">
          <cell r="I121">
            <v>39173.839458457805</v>
          </cell>
        </row>
        <row r="125">
          <cell r="I125">
            <v>71597.715055315333</v>
          </cell>
        </row>
        <row r="126">
          <cell r="I126">
            <v>35668.872735060235</v>
          </cell>
        </row>
        <row r="127">
          <cell r="I127">
            <v>71593.83090136743</v>
          </cell>
        </row>
        <row r="128">
          <cell r="I128">
            <v>19108.612006758773</v>
          </cell>
        </row>
        <row r="129">
          <cell r="I129">
            <v>77134.483778896014</v>
          </cell>
        </row>
        <row r="130">
          <cell r="I130">
            <v>66849.420883432394</v>
          </cell>
        </row>
        <row r="134">
          <cell r="I134">
            <v>93113.129473757435</v>
          </cell>
        </row>
        <row r="135">
          <cell r="I135">
            <v>108476.83155285101</v>
          </cell>
        </row>
        <row r="136">
          <cell r="I136">
            <v>15761.655637050873</v>
          </cell>
        </row>
        <row r="137">
          <cell r="I137">
            <v>2847.6056540839636</v>
          </cell>
        </row>
        <row r="138">
          <cell r="I138">
            <v>83199.147849472414</v>
          </cell>
        </row>
        <row r="141">
          <cell r="I141">
            <v>97071.55894509115</v>
          </cell>
        </row>
        <row r="142">
          <cell r="I142">
            <v>129914.69793784399</v>
          </cell>
        </row>
        <row r="143">
          <cell r="I143">
            <v>36205.766054911255</v>
          </cell>
        </row>
        <row r="144">
          <cell r="I144">
            <v>33744.466360343838</v>
          </cell>
        </row>
        <row r="145">
          <cell r="I145">
            <v>46414.022966075972</v>
          </cell>
        </row>
        <row r="147">
          <cell r="I147">
            <v>31493.147007177427</v>
          </cell>
        </row>
        <row r="148">
          <cell r="I148">
            <v>62091.040712446054</v>
          </cell>
        </row>
        <row r="149">
          <cell r="I149">
            <v>63186.65005930933</v>
          </cell>
        </row>
        <row r="150">
          <cell r="I150">
            <v>52739.960461230628</v>
          </cell>
        </row>
        <row r="151">
          <cell r="I151">
            <v>39248.036241109497</v>
          </cell>
        </row>
        <row r="152">
          <cell r="I152">
            <v>39431.715538903176</v>
          </cell>
        </row>
        <row r="153">
          <cell r="I153">
            <v>40981.619912983522</v>
          </cell>
        </row>
        <row r="154">
          <cell r="I154">
            <v>31628.82019926983</v>
          </cell>
        </row>
        <row r="155">
          <cell r="I155">
            <v>17680.208087965857</v>
          </cell>
        </row>
        <row r="156">
          <cell r="I156">
            <v>52136.45928641325</v>
          </cell>
        </row>
        <row r="157">
          <cell r="I157">
            <v>32829.869381809178</v>
          </cell>
        </row>
        <row r="158">
          <cell r="I158">
            <v>45192.317808143147</v>
          </cell>
        </row>
        <row r="159">
          <cell r="I159">
            <v>49162.626619923452</v>
          </cell>
        </row>
        <row r="160">
          <cell r="I160">
            <v>66038.724958099643</v>
          </cell>
        </row>
        <row r="162">
          <cell r="I162">
            <v>19912.317710357951</v>
          </cell>
        </row>
        <row r="163">
          <cell r="I163">
            <v>4065.7537156706171</v>
          </cell>
        </row>
        <row r="165">
          <cell r="I165">
            <v>18587.54129110069</v>
          </cell>
        </row>
        <row r="166">
          <cell r="I166">
            <v>15880.24614923244</v>
          </cell>
        </row>
        <row r="167">
          <cell r="I167">
            <v>46273.189728206475</v>
          </cell>
        </row>
        <row r="168">
          <cell r="I168">
            <v>31821.389145591937</v>
          </cell>
        </row>
        <row r="169">
          <cell r="I169">
            <v>49101.829321585617</v>
          </cell>
        </row>
        <row r="170">
          <cell r="I170">
            <v>29068.555500826875</v>
          </cell>
        </row>
        <row r="172">
          <cell r="I172">
            <v>26890.194905414177</v>
          </cell>
        </row>
        <row r="173">
          <cell r="I173">
            <v>72868.712029150658</v>
          </cell>
        </row>
        <row r="175">
          <cell r="I175">
            <v>107999.91388132982</v>
          </cell>
        </row>
        <row r="176">
          <cell r="I176">
            <v>70034.861280389785</v>
          </cell>
        </row>
        <row r="178">
          <cell r="I178">
            <v>60403.709036295157</v>
          </cell>
        </row>
        <row r="179">
          <cell r="I179">
            <v>106847.40775651208</v>
          </cell>
        </row>
        <row r="180">
          <cell r="I180">
            <v>90807.510897659275</v>
          </cell>
        </row>
        <row r="181">
          <cell r="I181">
            <v>81739.295444288873</v>
          </cell>
        </row>
        <row r="183">
          <cell r="I183">
            <v>24037.366629460448</v>
          </cell>
        </row>
        <row r="184">
          <cell r="I184">
            <v>6470.5821690802759</v>
          </cell>
        </row>
        <row r="185">
          <cell r="I185">
            <v>75564.466705221334</v>
          </cell>
        </row>
        <row r="186">
          <cell r="I186">
            <v>72478.69006796756</v>
          </cell>
        </row>
        <row r="187">
          <cell r="I187">
            <v>51198.233285164344</v>
          </cell>
        </row>
        <row r="188">
          <cell r="I188">
            <v>67587.890555154547</v>
          </cell>
        </row>
        <row r="189">
          <cell r="I189">
            <v>115298.43105014929</v>
          </cell>
        </row>
        <row r="190">
          <cell r="I190">
            <v>164863.72168243118</v>
          </cell>
        </row>
        <row r="191">
          <cell r="I191">
            <v>133955.98894767312</v>
          </cell>
        </row>
        <row r="192">
          <cell r="I192">
            <v>118720.72809032122</v>
          </cell>
        </row>
        <row r="193">
          <cell r="I193">
            <v>113090.63395848213</v>
          </cell>
        </row>
        <row r="194">
          <cell r="I194">
            <v>64391.252381010265</v>
          </cell>
        </row>
        <row r="195">
          <cell r="I195">
            <v>168379.29218877634</v>
          </cell>
        </row>
        <row r="196">
          <cell r="I196">
            <v>40952.625466375161</v>
          </cell>
        </row>
        <row r="197">
          <cell r="I197">
            <v>48786.019093058014</v>
          </cell>
        </row>
        <row r="198">
          <cell r="I198">
            <v>49120.535142551525</v>
          </cell>
        </row>
        <row r="200">
          <cell r="I200">
            <v>64534.088875810055</v>
          </cell>
        </row>
        <row r="201">
          <cell r="I201">
            <v>128646.19397028832</v>
          </cell>
        </row>
        <row r="202">
          <cell r="I202">
            <v>118992.86777818539</v>
          </cell>
        </row>
        <row r="203">
          <cell r="I203">
            <v>77421.355292927939</v>
          </cell>
        </row>
        <row r="204">
          <cell r="I204">
            <v>122441.36083042959</v>
          </cell>
        </row>
        <row r="205">
          <cell r="I205">
            <v>73549.560820996194</v>
          </cell>
        </row>
        <row r="206">
          <cell r="I206">
            <v>27104.589042866359</v>
          </cell>
        </row>
        <row r="207">
          <cell r="I207">
            <v>47593.112553702085</v>
          </cell>
        </row>
        <row r="208">
          <cell r="I208">
            <v>34215.984139237182</v>
          </cell>
        </row>
        <row r="209">
          <cell r="I209">
            <v>65051.620326896591</v>
          </cell>
        </row>
        <row r="210">
          <cell r="I210">
            <v>126258.77723032462</v>
          </cell>
        </row>
        <row r="212">
          <cell r="I212">
            <v>148944.04329729275</v>
          </cell>
        </row>
        <row r="213">
          <cell r="I213">
            <v>51052.088350971942</v>
          </cell>
        </row>
      </sheetData>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LO Generic"/>
      <sheetName val="Retro Generic"/>
      <sheetName val="Proposed"/>
      <sheetName val="Sheet1"/>
    </sheetNames>
    <sheetDataSet>
      <sheetData sheetId="0">
        <row r="19">
          <cell r="D19">
            <v>0.03</v>
          </cell>
          <cell r="E19">
            <v>8.1052631578947362E-2</v>
          </cell>
          <cell r="F19">
            <v>0.13210526315789473</v>
          </cell>
          <cell r="G19">
            <v>0.1831578947368421</v>
          </cell>
          <cell r="H19">
            <v>0.23421052631578945</v>
          </cell>
          <cell r="I19">
            <v>0.28526315789473677</v>
          </cell>
          <cell r="J19">
            <v>0.33631578947368423</v>
          </cell>
          <cell r="K19">
            <v>0.38736842105263158</v>
          </cell>
          <cell r="L19">
            <v>0.43842105263157893</v>
          </cell>
          <cell r="M19">
            <v>0.48947368421052628</v>
          </cell>
          <cell r="N19">
            <v>0.54052631578947363</v>
          </cell>
          <cell r="O19">
            <v>0.59157894736842109</v>
          </cell>
          <cell r="P19">
            <v>0.64263157894736844</v>
          </cell>
          <cell r="Q19">
            <v>0.69368421052631579</v>
          </cell>
          <cell r="R19">
            <v>0.74473684210526314</v>
          </cell>
          <cell r="S19">
            <v>0.79578947368421049</v>
          </cell>
          <cell r="T19">
            <v>0.84684210526315784</v>
          </cell>
          <cell r="U19">
            <v>0.8978947368421053</v>
          </cell>
          <cell r="V19">
            <v>0.94894736842105254</v>
          </cell>
          <cell r="W19">
            <v>1</v>
          </cell>
        </row>
        <row r="22">
          <cell r="D22">
            <v>0.43347012036671112</v>
          </cell>
          <cell r="E22">
            <v>0.62883693517987671</v>
          </cell>
          <cell r="F22">
            <v>0.78513038703040916</v>
          </cell>
          <cell r="G22">
            <v>0.8893260215974309</v>
          </cell>
          <cell r="H22">
            <v>0.94886638420715741</v>
          </cell>
          <cell r="I22">
            <v>0.97863656551202083</v>
          </cell>
          <cell r="J22">
            <v>0.99186775720307108</v>
          </cell>
          <cell r="K22">
            <v>0.99716023387949138</v>
          </cell>
          <cell r="L22">
            <v>0.99908477085273506</v>
          </cell>
          <cell r="M22">
            <v>0.99972628317714951</v>
          </cell>
          <cell r="N22">
            <v>0.99992367158466167</v>
          </cell>
          <cell r="O22">
            <v>0.99998006827252228</v>
          </cell>
          <cell r="P22">
            <v>0.99999510738928532</v>
          </cell>
          <cell r="Q22">
            <v>0.99999886716847586</v>
          </cell>
          <cell r="R22">
            <v>0.99999975182240319</v>
          </cell>
          <cell r="S22">
            <v>0.99999994841216466</v>
          </cell>
          <cell r="T22">
            <v>0.99999998979948301</v>
          </cell>
          <cell r="U22">
            <v>0.99999999807694662</v>
          </cell>
          <cell r="V22">
            <v>0.99999999965360642</v>
          </cell>
          <cell r="W22">
            <v>0.99999999994027178</v>
          </cell>
        </row>
        <row r="25">
          <cell r="D25">
            <v>0.13206185628772221</v>
          </cell>
          <cell r="E25">
            <v>0.24143645097027849</v>
          </cell>
          <cell r="F25">
            <v>0.37815469432347387</v>
          </cell>
          <cell r="G25">
            <v>0.52463852648761178</v>
          </cell>
          <cell r="H25">
            <v>0.66196711914149109</v>
          </cell>
          <cell r="I25">
            <v>0.77640761301972383</v>
          </cell>
          <cell r="J25">
            <v>0.86223798342839841</v>
          </cell>
          <cell r="K25">
            <v>0.92075869052522186</v>
          </cell>
          <cell r="L25">
            <v>0.95733413246073662</v>
          </cell>
          <cell r="M25">
            <v>0.97843534896199502</v>
          </cell>
          <cell r="N25">
            <v>0.98973957208766927</v>
          </cell>
          <cell r="O25">
            <v>0.99539168365050645</v>
          </cell>
          <cell r="P25">
            <v>0.99804111094558623</v>
          </cell>
          <cell r="Q25">
            <v>0.99920997592870975</v>
          </cell>
          <cell r="R25">
            <v>0.99969700300501119</v>
          </cell>
          <cell r="S25">
            <v>0.99988925053513023</v>
          </cell>
          <cell r="T25">
            <v>0.99996134335892484</v>
          </cell>
          <cell r="U25">
            <v>0.99998709079599435</v>
          </cell>
          <cell r="V25">
            <v>0.99999586833135901</v>
          </cell>
          <cell r="W25">
            <v>0.99999873057115185</v>
          </cell>
        </row>
        <row r="26">
          <cell r="D26">
            <v>6.4608251467478173E-2</v>
          </cell>
          <cell r="E26">
            <v>0.10290708810158078</v>
          </cell>
          <cell r="F26">
            <v>0.1557042303818591</v>
          </cell>
          <cell r="G26">
            <v>0.22475674884796315</v>
          </cell>
          <cell r="H26">
            <v>0.31030374631829671</v>
          </cell>
          <cell r="I26">
            <v>0.41031846935650318</v>
          </cell>
          <cell r="J26">
            <v>0.52003617370885391</v>
          </cell>
          <cell r="K26">
            <v>0.63212055882855767</v>
          </cell>
          <cell r="L26">
            <v>0.7377466404557862</v>
          </cell>
          <cell r="M26">
            <v>0.82854120445365853</v>
          </cell>
          <cell r="N26">
            <v>0.89880187144550783</v>
          </cell>
          <cell r="O26">
            <v>0.94702023185045237</v>
          </cell>
          <cell r="P26">
            <v>0.97587446646509246</v>
          </cell>
          <cell r="Q26">
            <v>0.99064843138989922</v>
          </cell>
          <cell r="R26">
            <v>0.99698696575801748</v>
          </cell>
          <cell r="S26">
            <v>0.99921382347764809</v>
          </cell>
          <cell r="T26">
            <v>0.99983853349728657</v>
          </cell>
          <cell r="U26">
            <v>0.99997469191618293</v>
          </cell>
          <cell r="V26">
            <v>0.99999707255280523</v>
          </cell>
          <cell r="W26">
            <v>0.9999997589911811</v>
          </cell>
        </row>
        <row r="27">
          <cell r="D27">
            <v>0.22119921692859512</v>
          </cell>
          <cell r="E27">
            <v>0.39346934028736658</v>
          </cell>
          <cell r="F27">
            <v>0.52763344725898531</v>
          </cell>
          <cell r="G27">
            <v>0.63212055882855767</v>
          </cell>
          <cell r="H27">
            <v>0.71349520313980985</v>
          </cell>
          <cell r="I27">
            <v>0.77686983985157021</v>
          </cell>
          <cell r="J27">
            <v>0.82622605654955483</v>
          </cell>
          <cell r="K27">
            <v>0.8646647167633873</v>
          </cell>
          <cell r="L27">
            <v>0.89460077543813565</v>
          </cell>
          <cell r="M27">
            <v>0.91791500137610116</v>
          </cell>
          <cell r="N27">
            <v>0.93607213879329243</v>
          </cell>
          <cell r="O27">
            <v>0.95021293163213605</v>
          </cell>
          <cell r="P27">
            <v>0.96122579216827797</v>
          </cell>
          <cell r="Q27">
            <v>0.96980261657768152</v>
          </cell>
          <cell r="R27">
            <v>0.97648225414399092</v>
          </cell>
          <cell r="S27">
            <v>0.98168436111126578</v>
          </cell>
          <cell r="T27">
            <v>0.98573576609100078</v>
          </cell>
          <cell r="U27">
            <v>0.98889100346175773</v>
          </cell>
          <cell r="V27">
            <v>0.99134830479687941</v>
          </cell>
          <cell r="W27">
            <v>0.99326205300091452</v>
          </cell>
        </row>
        <row r="28">
          <cell r="D28">
            <v>2.1485685902110623E-2</v>
          </cell>
          <cell r="E28">
            <v>2.4050082978948489E-2</v>
          </cell>
          <cell r="F28">
            <v>2.9176144531887088E-2</v>
          </cell>
          <cell r="G28">
            <v>3.8277698949530467E-2</v>
          </cell>
          <cell r="H28">
            <v>5.3082624679576126E-2</v>
          </cell>
          <cell r="I28">
            <v>7.5554434100062337E-2</v>
          </cell>
          <cell r="J28">
            <v>0.10773886691394473</v>
          </cell>
          <cell r="K28">
            <v>0.15151853408594881</v>
          </cell>
          <cell r="L28">
            <v>0.2082727948406938</v>
          </cell>
          <cell r="M28">
            <v>0.27846803390940134</v>
          </cell>
          <cell r="N28">
            <v>0.36124489575215812</v>
          </cell>
          <cell r="O28">
            <v>0.45411515525965296</v>
          </cell>
          <cell r="P28">
            <v>0.55291162593856868</v>
          </cell>
          <cell r="Q28">
            <v>0.65212055882855768</v>
          </cell>
          <cell r="R28">
            <v>0.74564170932280194</v>
          </cell>
          <cell r="S28">
            <v>0.82786771721966423</v>
          </cell>
          <cell r="T28">
            <v>0.8948012832470299</v>
          </cell>
          <cell r="U28">
            <v>0.94483084839047871</v>
          </cell>
          <cell r="V28">
            <v>0.97885571360941082</v>
          </cell>
          <cell r="W28">
            <v>0.99970177295018547</v>
          </cell>
        </row>
        <row r="29">
          <cell r="D29">
            <v>5.5320496977002724E-3</v>
          </cell>
          <cell r="E29">
            <v>1.4227918344261844E-2</v>
          </cell>
          <cell r="F29">
            <v>3.1619655637384989E-2</v>
          </cell>
          <cell r="G29">
            <v>6.2055195900350503E-2</v>
          </cell>
          <cell r="H29">
            <v>0.10939936964274129</v>
          </cell>
          <cell r="I29">
            <v>0.17568121288208835</v>
          </cell>
          <cell r="J29">
            <v>0.26003992245943919</v>
          </cell>
          <cell r="K29">
            <v>0.3584584169663485</v>
          </cell>
          <cell r="L29">
            <v>0.46444756489686617</v>
          </cell>
          <cell r="M29">
            <v>0.57043671282738384</v>
          </cell>
          <cell r="N29">
            <v>0.66935991756253377</v>
          </cell>
          <cell r="O29">
            <v>0.75591772170578986</v>
          </cell>
          <cell r="P29">
            <v>0.82720061923553012</v>
          </cell>
          <cell r="Q29">
            <v>0.88264287286977261</v>
          </cell>
          <cell r="R29">
            <v>0.92349505975816193</v>
          </cell>
          <cell r="S29">
            <v>0.95209159058003434</v>
          </cell>
          <cell r="T29">
            <v>0.97115594446128262</v>
          </cell>
          <cell r="U29">
            <v>0.98328780602207699</v>
          </cell>
          <cell r="V29">
            <v>0.99067241740690848</v>
          </cell>
          <cell r="W29">
            <v>0.99498010738139331</v>
          </cell>
        </row>
      </sheetData>
      <sheetData sheetId="1">
        <row r="48">
          <cell r="D48">
            <v>0.01</v>
          </cell>
          <cell r="E48">
            <v>2.98E-2</v>
          </cell>
          <cell r="F48">
            <v>5.8906E-2</v>
          </cell>
          <cell r="G48">
            <v>9.6549759999999998E-2</v>
          </cell>
          <cell r="H48">
            <v>0.14172227199999998</v>
          </cell>
          <cell r="I48">
            <v>0.19035800991999999</v>
          </cell>
          <cell r="J48">
            <v>0.2362377226912</v>
          </cell>
          <cell r="K48">
            <v>0.279517585072032</v>
          </cell>
          <cell r="L48">
            <v>0.32034492191795017</v>
          </cell>
          <cell r="M48">
            <v>0.35885870967593297</v>
          </cell>
          <cell r="N48">
            <v>0.39519004946096342</v>
          </cell>
          <cell r="O48">
            <v>0.42946261332484215</v>
          </cell>
          <cell r="P48">
            <v>0.46179306523643443</v>
          </cell>
          <cell r="Q48">
            <v>0.49229145820636983</v>
          </cell>
          <cell r="R48">
            <v>0.5210616089080089</v>
          </cell>
          <cell r="S48">
            <v>0.54820145106988838</v>
          </cell>
          <cell r="T48">
            <v>0.57380336884259475</v>
          </cell>
          <cell r="U48">
            <v>0.59795451127484767</v>
          </cell>
          <cell r="V48">
            <v>0.62073708896927293</v>
          </cell>
          <cell r="W48">
            <v>0.6422286539276808</v>
          </cell>
        </row>
      </sheetData>
      <sheetData sheetId="2">
        <row r="23">
          <cell r="B23" t="str">
            <v>Retro12Med</v>
          </cell>
          <cell r="C23">
            <v>0.10937459468255628</v>
          </cell>
          <cell r="D23">
            <v>0.125</v>
          </cell>
          <cell r="E23">
            <v>0.13671824335319538</v>
          </cell>
          <cell r="F23">
            <v>0.14299999999999999</v>
          </cell>
          <cell r="G23">
            <v>0.13732859265387931</v>
          </cell>
          <cell r="H23">
            <v>0.11444049387823274</v>
          </cell>
          <cell r="I23">
            <v>8.5830370408674583E-2</v>
          </cell>
          <cell r="J23">
            <v>5.8520707096823443E-2</v>
          </cell>
          <cell r="K23">
            <v>3.6575441935514763E-2</v>
          </cell>
          <cell r="L23">
            <v>2.1101216501258402E-2</v>
          </cell>
          <cell r="M23">
            <v>1.1304223125674251E-2</v>
          </cell>
          <cell r="N23">
            <v>5.652111562837181E-3</v>
          </cell>
          <cell r="O23">
            <v>2.6494272950797759E-3</v>
          </cell>
          <cell r="P23">
            <v>1.1688649831235187E-3</v>
          </cell>
          <cell r="Q23">
            <v>4.8702707630143838E-4</v>
          </cell>
          <cell r="R23">
            <v>1.922475301190385E-4</v>
          </cell>
          <cell r="S23">
            <v>7.2092823794611682E-5</v>
          </cell>
          <cell r="T23">
            <v>2.5747437069512102E-5</v>
          </cell>
          <cell r="U23">
            <v>8.7775353646568632E-6</v>
          </cell>
          <cell r="V23">
            <v>2.8622397928446119E-6</v>
          </cell>
        </row>
        <row r="24">
          <cell r="B24" t="str">
            <v>Retro5Med</v>
          </cell>
          <cell r="C24">
            <v>4.2999999999999997E-2</v>
          </cell>
          <cell r="D24">
            <v>5.279714228027832E-2</v>
          </cell>
          <cell r="E24">
            <v>6.4608251467478173E-2</v>
          </cell>
          <cell r="F24">
            <v>7.4999999999999997E-2</v>
          </cell>
          <cell r="G24">
            <v>8.5546997470333563E-2</v>
          </cell>
          <cell r="H24">
            <v>0.10001472303820647</v>
          </cell>
          <cell r="I24">
            <v>0.10971770435235073</v>
          </cell>
          <cell r="J24">
            <v>0.11208438511970376</v>
          </cell>
          <cell r="K24">
            <v>0.10562608162722853</v>
          </cell>
          <cell r="L24">
            <v>9.0794563997872335E-2</v>
          </cell>
          <cell r="M24">
            <v>7.0260666991849297E-2</v>
          </cell>
          <cell r="N24">
            <v>4.8218360404944538E-2</v>
          </cell>
          <cell r="O24">
            <v>2.8854234614640095E-2</v>
          </cell>
          <cell r="P24">
            <v>1.4773964924806759E-2</v>
          </cell>
          <cell r="Q24">
            <v>6.3385343681182649E-3</v>
          </cell>
          <cell r="R24">
            <v>2.2268577196306039E-3</v>
          </cell>
          <cell r="S24">
            <v>6.2471001963848583E-4</v>
          </cell>
          <cell r="T24">
            <v>1.3615841889635938E-4</v>
          </cell>
          <cell r="U24">
            <v>2.2380636622298944E-5</v>
          </cell>
          <cell r="V24">
            <v>2.68643837586513E-6</v>
          </cell>
        </row>
        <row r="25">
          <cell r="B25" t="str">
            <v>Retro1Slow</v>
          </cell>
          <cell r="C25">
            <v>2.5643970768378654E-3</v>
          </cell>
          <cell r="D25">
            <v>5.1260615529385989E-3</v>
          </cell>
          <cell r="E25">
            <v>9.1015544176433795E-3</v>
          </cell>
          <cell r="F25">
            <v>1.4804925730045659E-2</v>
          </cell>
          <cell r="G25">
            <v>2.2471809420486211E-2</v>
          </cell>
          <cell r="H25">
            <v>3.2184432813882391E-2</v>
          </cell>
          <cell r="I25">
            <v>4.3779667172004086E-2</v>
          </cell>
          <cell r="J25">
            <v>5.675426075474499E-2</v>
          </cell>
          <cell r="K25">
            <v>7.0195239068707532E-2</v>
          </cell>
          <cell r="L25">
            <v>8.2776861842756788E-2</v>
          </cell>
          <cell r="M25">
            <v>9.2870259507494834E-2</v>
          </cell>
          <cell r="N25">
            <v>9.8796470678915727E-2</v>
          </cell>
          <cell r="O25">
            <v>9.9208932889988999E-2</v>
          </cell>
          <cell r="P25">
            <v>9.3521150494244254E-2</v>
          </cell>
          <cell r="Q25">
            <v>8.2226007896862296E-2</v>
          </cell>
          <cell r="R25">
            <v>6.6933566027365665E-2</v>
          </cell>
          <cell r="S25">
            <v>5.0029565143448806E-2</v>
          </cell>
          <cell r="T25">
            <v>3.402486521893211E-2</v>
          </cell>
          <cell r="U25">
            <v>2.0846059340774659E-2</v>
          </cell>
          <cell r="V25">
            <v>0.01</v>
          </cell>
        </row>
        <row r="26">
          <cell r="B26" t="str">
            <v>Retro50Fast</v>
          </cell>
          <cell r="C26">
            <v>0.45</v>
          </cell>
          <cell r="D26">
            <v>0.21</v>
          </cell>
          <cell r="E26">
            <v>0.14000000000000001</v>
          </cell>
          <cell r="F26">
            <v>0.09</v>
          </cell>
          <cell r="G26">
            <v>5.9540362609726505E-2</v>
          </cell>
          <cell r="H26">
            <v>2.9770181304863419E-2</v>
          </cell>
          <cell r="I26">
            <v>1.3231191691050248E-2</v>
          </cell>
          <cell r="J26">
            <v>5.2924766764202991E-3</v>
          </cell>
          <cell r="K26">
            <v>1.9245369732436846E-3</v>
          </cell>
          <cell r="L26">
            <v>6.415123244144505E-4</v>
          </cell>
          <cell r="M26">
            <v>1.9738840751215569E-4</v>
          </cell>
          <cell r="N26">
            <v>5.6396687860615913E-5</v>
          </cell>
          <cell r="O26">
            <v>1.5039116763038152E-5</v>
          </cell>
          <cell r="P26">
            <v>3.7597791905374933E-6</v>
          </cell>
          <cell r="Q26">
            <v>8.8465392733549919E-7</v>
          </cell>
          <cell r="R26">
            <v>1.9658976146974538E-7</v>
          </cell>
          <cell r="S26">
            <v>4.13873183502389E-8</v>
          </cell>
          <cell r="T26">
            <v>8.2774636034343985E-9</v>
          </cell>
          <cell r="U26">
            <v>1.5766598027155965E-9</v>
          </cell>
          <cell r="V26">
            <v>2.8666535811794347E-10</v>
          </cell>
        </row>
        <row r="27">
          <cell r="B27" t="str">
            <v>Retro20Fast</v>
          </cell>
          <cell r="C27">
            <v>0.22119921692859512</v>
          </cell>
          <cell r="D27">
            <v>0.17227012335877145</v>
          </cell>
          <cell r="E27">
            <v>0.13416410697161874</v>
          </cell>
          <cell r="F27">
            <v>0.10448711156957236</v>
          </cell>
          <cell r="G27">
            <v>8.1374644311252187E-2</v>
          </cell>
          <cell r="H27">
            <v>6.3374636711760357E-2</v>
          </cell>
          <cell r="I27">
            <v>4.9356216697984623E-2</v>
          </cell>
          <cell r="J27">
            <v>3.8438660213832465E-2</v>
          </cell>
          <cell r="K27">
            <v>2.9936058674748356E-2</v>
          </cell>
          <cell r="L27">
            <v>2.3314225937965505E-2</v>
          </cell>
          <cell r="M27">
            <v>1.8157137417191271E-2</v>
          </cell>
          <cell r="N27">
            <v>1.4140792838843619E-2</v>
          </cell>
          <cell r="O27">
            <v>1.1012860536141922E-2</v>
          </cell>
          <cell r="P27">
            <v>8.5768244094035495E-3</v>
          </cell>
          <cell r="Q27">
            <v>6.6796375663094043E-3</v>
          </cell>
          <cell r="R27">
            <v>5.2021069672748554E-3</v>
          </cell>
          <cell r="S27">
            <v>4.051404979734996E-3</v>
          </cell>
          <cell r="T27">
            <v>3.1552373707569581E-3</v>
          </cell>
          <cell r="U27">
            <v>2.4573013351216755E-3</v>
          </cell>
          <cell r="V27">
            <v>1.913748204035115E-3</v>
          </cell>
        </row>
        <row r="28">
          <cell r="B28" t="str">
            <v>RetroEven20</v>
          </cell>
          <cell r="C28">
            <v>0.05</v>
          </cell>
          <cell r="D28">
            <v>0.05</v>
          </cell>
          <cell r="E28">
            <v>0.05</v>
          </cell>
          <cell r="F28">
            <v>0.05</v>
          </cell>
          <cell r="G28">
            <v>0.05</v>
          </cell>
          <cell r="H28">
            <v>0.05</v>
          </cell>
          <cell r="I28">
            <v>0.05</v>
          </cell>
          <cell r="J28">
            <v>0.05</v>
          </cell>
          <cell r="K28">
            <v>0.05</v>
          </cell>
          <cell r="L28">
            <v>0.05</v>
          </cell>
          <cell r="M28">
            <v>0.05</v>
          </cell>
          <cell r="N28">
            <v>0.05</v>
          </cell>
          <cell r="O28">
            <v>0.05</v>
          </cell>
          <cell r="P28">
            <v>0.05</v>
          </cell>
          <cell r="Q28">
            <v>0.05</v>
          </cell>
          <cell r="R28">
            <v>0.05</v>
          </cell>
          <cell r="S28">
            <v>0.05</v>
          </cell>
          <cell r="T28">
            <v>0.05</v>
          </cell>
          <cell r="U28">
            <v>0.05</v>
          </cell>
          <cell r="V28">
            <v>0.05</v>
          </cell>
        </row>
        <row r="29">
          <cell r="B29" t="str">
            <v>RetroMax60</v>
          </cell>
          <cell r="C29">
            <v>0.01</v>
          </cell>
          <cell r="D29">
            <v>1.9799999999999998E-2</v>
          </cell>
          <cell r="E29">
            <v>2.9106E-2</v>
          </cell>
          <cell r="F29">
            <v>3.7643759999999998E-2</v>
          </cell>
          <cell r="G29">
            <v>4.5172511999999984E-2</v>
          </cell>
          <cell r="H29">
            <v>4.8635737920000005E-2</v>
          </cell>
          <cell r="I29">
            <v>4.587971277120001E-2</v>
          </cell>
          <cell r="J29">
            <v>4.3279862380832007E-2</v>
          </cell>
          <cell r="K29">
            <v>4.0827336845918161E-2</v>
          </cell>
          <cell r="L29">
            <v>3.8513787757982809E-2</v>
          </cell>
          <cell r="M29">
            <v>3.6331339785030448E-2</v>
          </cell>
          <cell r="N29">
            <v>3.4272563863878724E-2</v>
          </cell>
          <cell r="O29">
            <v>3.2330451911592284E-2</v>
          </cell>
          <cell r="P29">
            <v>3.0498392969935395E-2</v>
          </cell>
          <cell r="Q29">
            <v>2.8770150701639075E-2</v>
          </cell>
          <cell r="R29">
            <v>2.7139842161879479E-2</v>
          </cell>
          <cell r="S29">
            <v>2.5601917772706373E-2</v>
          </cell>
          <cell r="T29">
            <v>2.4151142432252914E-2</v>
          </cell>
          <cell r="U29">
            <v>2.2782577694425266E-2</v>
          </cell>
          <cell r="V29">
            <v>2.1491564958407872E-2</v>
          </cell>
        </row>
        <row r="30">
          <cell r="B30" t="str">
            <v>Retro3Slow</v>
          </cell>
          <cell r="C30">
            <v>5.5320496977002724E-3</v>
          </cell>
          <cell r="D30">
            <v>8.6958686465615706E-3</v>
          </cell>
          <cell r="E30">
            <v>1.7391737293123145E-2</v>
          </cell>
          <cell r="F30">
            <v>3.0435540262965514E-2</v>
          </cell>
          <cell r="G30">
            <v>4.7344173742390784E-2</v>
          </cell>
          <cell r="H30">
            <v>6.6281843239347063E-2</v>
          </cell>
          <cell r="I30">
            <v>8.4358709577350838E-2</v>
          </cell>
          <cell r="J30">
            <v>9.8418494506909315E-2</v>
          </cell>
          <cell r="K30">
            <v>0.10598914793051767</v>
          </cell>
          <cell r="L30">
            <v>0.10598914793051767</v>
          </cell>
          <cell r="M30">
            <v>9.8923204735149928E-2</v>
          </cell>
          <cell r="N30">
            <v>8.655780414325609E-2</v>
          </cell>
          <cell r="O30">
            <v>7.1282897529740263E-2</v>
          </cell>
          <cell r="P30">
            <v>5.5442253634242489E-2</v>
          </cell>
          <cell r="Q30">
            <v>4.0852186888389319E-2</v>
          </cell>
          <cell r="R30">
            <v>2.8596530821872412E-2</v>
          </cell>
          <cell r="S30">
            <v>1.9064353881248275E-2</v>
          </cell>
          <cell r="T30">
            <v>1.2131861560794377E-2</v>
          </cell>
          <cell r="U30">
            <v>7.3846113848314854E-3</v>
          </cell>
          <cell r="V30">
            <v>4.3076899744848296E-3</v>
          </cell>
        </row>
        <row r="32">
          <cell r="B32" t="str">
            <v>LO12Med</v>
          </cell>
          <cell r="W32">
            <v>0.10937459468255628</v>
          </cell>
          <cell r="X32">
            <v>0.23437459468255628</v>
          </cell>
          <cell r="Y32">
            <v>0.37109283803575166</v>
          </cell>
          <cell r="Z32">
            <v>0.51409283803575168</v>
          </cell>
          <cell r="AA32">
            <v>0.65142143068963099</v>
          </cell>
          <cell r="AB32">
            <v>0.76586192456786373</v>
          </cell>
          <cell r="AC32">
            <v>0.85169229497653831</v>
          </cell>
          <cell r="AD32">
            <v>0.91021300207336175</v>
          </cell>
          <cell r="AE32">
            <v>0.94678844400887652</v>
          </cell>
          <cell r="AF32">
            <v>0.96788966051013492</v>
          </cell>
          <cell r="AG32">
            <v>0.97919388363580917</v>
          </cell>
          <cell r="AH32">
            <v>0.98484599519864635</v>
          </cell>
          <cell r="AI32">
            <v>0.98749542249372613</v>
          </cell>
          <cell r="AJ32">
            <v>0.98866428747684965</v>
          </cell>
          <cell r="AK32">
            <v>0.98915131455315108</v>
          </cell>
          <cell r="AL32">
            <v>0.98934356208327012</v>
          </cell>
          <cell r="AM32">
            <v>0.98941565490706473</v>
          </cell>
          <cell r="AN32">
            <v>0.98944140234413425</v>
          </cell>
          <cell r="AO32">
            <v>0.9894501798794989</v>
          </cell>
          <cell r="AP32">
            <v>0.98945304211929175</v>
          </cell>
        </row>
        <row r="33">
          <cell r="B33" t="str">
            <v>LO5Med</v>
          </cell>
          <cell r="W33">
            <v>4.2999999999999997E-2</v>
          </cell>
          <cell r="X33">
            <v>9.5797142280278316E-2</v>
          </cell>
          <cell r="Y33">
            <v>0.16040539374775648</v>
          </cell>
          <cell r="Z33">
            <v>0.23540539374775649</v>
          </cell>
          <cell r="AA33">
            <v>0.32095239121809005</v>
          </cell>
          <cell r="AB33">
            <v>0.42096711425629652</v>
          </cell>
          <cell r="AC33">
            <v>0.53068481860864725</v>
          </cell>
          <cell r="AD33">
            <v>0.642769203728351</v>
          </cell>
          <cell r="AE33">
            <v>0.74839528535557953</v>
          </cell>
          <cell r="AF33">
            <v>0.83918984935345187</v>
          </cell>
          <cell r="AG33">
            <v>0.90945051634530116</v>
          </cell>
          <cell r="AH33">
            <v>0.9576688767502457</v>
          </cell>
          <cell r="AI33">
            <v>0.9865231113648858</v>
          </cell>
          <cell r="AJ33">
            <v>1.0012970762896924</v>
          </cell>
          <cell r="AK33">
            <v>1.0076356106578106</v>
          </cell>
          <cell r="AL33">
            <v>1.0098624683774413</v>
          </cell>
          <cell r="AM33">
            <v>1.0104871783970797</v>
          </cell>
          <cell r="AN33">
            <v>1.010623336815976</v>
          </cell>
          <cell r="AO33">
            <v>1.0106457174525985</v>
          </cell>
          <cell r="AP33">
            <v>1.0106484038909742</v>
          </cell>
        </row>
        <row r="34">
          <cell r="B34" t="str">
            <v>LO1Slow</v>
          </cell>
          <cell r="W34">
            <v>2.5643970768378654E-3</v>
          </cell>
          <cell r="X34">
            <v>7.6904586297764643E-3</v>
          </cell>
          <cell r="Y34">
            <v>1.6792013047419844E-2</v>
          </cell>
          <cell r="Z34">
            <v>3.15969387774655E-2</v>
          </cell>
          <cell r="AA34">
            <v>5.406874819795171E-2</v>
          </cell>
          <cell r="AB34">
            <v>8.6253181011834101E-2</v>
          </cell>
          <cell r="AC34">
            <v>0.1300328481838382</v>
          </cell>
          <cell r="AD34">
            <v>0.18678710893858319</v>
          </cell>
          <cell r="AE34">
            <v>0.2569823480072907</v>
          </cell>
          <cell r="AF34">
            <v>0.33975920985004748</v>
          </cell>
          <cell r="AG34">
            <v>0.43262946935754232</v>
          </cell>
          <cell r="AH34">
            <v>0.53142594003645804</v>
          </cell>
          <cell r="AI34">
            <v>0.63063487292644704</v>
          </cell>
          <cell r="AJ34">
            <v>0.7241560234206913</v>
          </cell>
          <cell r="AK34">
            <v>0.80638203131755359</v>
          </cell>
          <cell r="AL34">
            <v>0.87331559734491926</v>
          </cell>
          <cell r="AM34">
            <v>0.92334516248836807</v>
          </cell>
          <cell r="AN34">
            <v>0.95737002770730018</v>
          </cell>
          <cell r="AO34">
            <v>0.97821608704807483</v>
          </cell>
          <cell r="AP34">
            <v>0.98821608704807484</v>
          </cell>
        </row>
        <row r="35">
          <cell r="B35" t="str">
            <v>LO50Fast</v>
          </cell>
          <cell r="W35">
            <v>0.45</v>
          </cell>
          <cell r="X35">
            <v>0.66</v>
          </cell>
          <cell r="Y35">
            <v>0.8</v>
          </cell>
          <cell r="Z35">
            <v>0.89</v>
          </cell>
          <cell r="AA35">
            <v>0.94954036260972652</v>
          </cell>
          <cell r="AB35">
            <v>0.97931054391458994</v>
          </cell>
          <cell r="AC35">
            <v>0.99254173560564019</v>
          </cell>
          <cell r="AD35">
            <v>0.99783421228206048</v>
          </cell>
          <cell r="AE35">
            <v>0.99975874925530417</v>
          </cell>
          <cell r="AF35">
            <v>1.0004002615797187</v>
          </cell>
          <cell r="AG35">
            <v>1.0005976499872309</v>
          </cell>
          <cell r="AH35">
            <v>1.0006540466750915</v>
          </cell>
          <cell r="AI35">
            <v>1.0006690857918545</v>
          </cell>
          <cell r="AJ35">
            <v>1.000672845571045</v>
          </cell>
          <cell r="AK35">
            <v>1.0006737302249724</v>
          </cell>
          <cell r="AL35">
            <v>1.0006739268147338</v>
          </cell>
          <cell r="AM35">
            <v>1.0006739682020522</v>
          </cell>
          <cell r="AN35">
            <v>1.0006739764795158</v>
          </cell>
          <cell r="AO35">
            <v>1.0006739780561755</v>
          </cell>
          <cell r="AP35">
            <v>1.0006739783428409</v>
          </cell>
        </row>
        <row r="36">
          <cell r="B36" t="str">
            <v>LO20Fast</v>
          </cell>
          <cell r="W36">
            <v>0.22119921692859512</v>
          </cell>
          <cell r="X36">
            <v>0.39346934028736658</v>
          </cell>
          <cell r="Y36">
            <v>0.52763344725898531</v>
          </cell>
          <cell r="Z36">
            <v>0.63212055882855767</v>
          </cell>
          <cell r="AA36">
            <v>0.71349520313980985</v>
          </cell>
          <cell r="AB36">
            <v>0.77686983985157021</v>
          </cell>
          <cell r="AC36">
            <v>0.82622605654955483</v>
          </cell>
          <cell r="AD36">
            <v>0.8646647167633873</v>
          </cell>
          <cell r="AE36">
            <v>0.89460077543813565</v>
          </cell>
          <cell r="AF36">
            <v>0.91791500137610116</v>
          </cell>
          <cell r="AG36">
            <v>0.93607213879329243</v>
          </cell>
          <cell r="AH36">
            <v>0.95021293163213605</v>
          </cell>
          <cell r="AI36">
            <v>0.96122579216827797</v>
          </cell>
          <cell r="AJ36">
            <v>0.96980261657768152</v>
          </cell>
          <cell r="AK36">
            <v>0.97648225414399092</v>
          </cell>
          <cell r="AL36">
            <v>0.98168436111126578</v>
          </cell>
          <cell r="AM36">
            <v>0.98573576609100078</v>
          </cell>
          <cell r="AN36">
            <v>0.98889100346175773</v>
          </cell>
          <cell r="AO36">
            <v>0.99134830479687941</v>
          </cell>
          <cell r="AP36">
            <v>0.99326205300091452</v>
          </cell>
        </row>
        <row r="37">
          <cell r="B37" t="str">
            <v>LOEven20</v>
          </cell>
          <cell r="W37">
            <v>0.05</v>
          </cell>
          <cell r="X37">
            <v>0.1</v>
          </cell>
          <cell r="Y37">
            <v>0.15000000000000002</v>
          </cell>
          <cell r="Z37">
            <v>0.2</v>
          </cell>
          <cell r="AA37">
            <v>0.25</v>
          </cell>
          <cell r="AB37">
            <v>0.3</v>
          </cell>
          <cell r="AC37">
            <v>0.35</v>
          </cell>
          <cell r="AD37">
            <v>0.39999999999999997</v>
          </cell>
          <cell r="AE37">
            <v>0.44999999999999996</v>
          </cell>
          <cell r="AF37">
            <v>0.49999999999999994</v>
          </cell>
          <cell r="AG37">
            <v>0.54999999999999993</v>
          </cell>
          <cell r="AH37">
            <v>0.6</v>
          </cell>
          <cell r="AI37">
            <v>0.65</v>
          </cell>
          <cell r="AJ37">
            <v>0.70000000000000007</v>
          </cell>
          <cell r="AK37">
            <v>0.75000000000000011</v>
          </cell>
          <cell r="AL37">
            <v>0.80000000000000016</v>
          </cell>
          <cell r="AM37">
            <v>0.8500000000000002</v>
          </cell>
          <cell r="AN37">
            <v>0.90000000000000024</v>
          </cell>
          <cell r="AO37">
            <v>0.95000000000000029</v>
          </cell>
          <cell r="AP37">
            <v>1.0000000000000002</v>
          </cell>
        </row>
        <row r="38">
          <cell r="B38" t="str">
            <v>LOMax60</v>
          </cell>
          <cell r="W38">
            <v>0.01</v>
          </cell>
          <cell r="X38">
            <v>2.98E-2</v>
          </cell>
          <cell r="Y38">
            <v>5.8906E-2</v>
          </cell>
          <cell r="Z38">
            <v>9.6549759999999998E-2</v>
          </cell>
          <cell r="AA38">
            <v>0.14172227199999998</v>
          </cell>
          <cell r="AB38">
            <v>0.19035800991999999</v>
          </cell>
          <cell r="AC38">
            <v>0.2362377226912</v>
          </cell>
          <cell r="AD38">
            <v>0.279517585072032</v>
          </cell>
          <cell r="AE38">
            <v>0.32034492191795017</v>
          </cell>
          <cell r="AF38">
            <v>0.35885870967593297</v>
          </cell>
          <cell r="AG38">
            <v>0.39519004946096342</v>
          </cell>
          <cell r="AH38">
            <v>0.42946261332484215</v>
          </cell>
          <cell r="AI38">
            <v>0.46179306523643443</v>
          </cell>
          <cell r="AJ38">
            <v>0.49229145820636983</v>
          </cell>
          <cell r="AK38">
            <v>0.5210616089080089</v>
          </cell>
          <cell r="AL38">
            <v>0.54820145106988838</v>
          </cell>
          <cell r="AM38">
            <v>0.57380336884259475</v>
          </cell>
          <cell r="AN38">
            <v>0.59795451127484767</v>
          </cell>
          <cell r="AO38">
            <v>0.62073708896927293</v>
          </cell>
          <cell r="AP38">
            <v>0.6422286539276808</v>
          </cell>
        </row>
        <row r="39">
          <cell r="B39" t="str">
            <v>LO3Slow</v>
          </cell>
          <cell r="W39">
            <v>5.5320496977002724E-3</v>
          </cell>
          <cell r="X39">
            <v>1.4227918344261844E-2</v>
          </cell>
          <cell r="Y39">
            <v>3.1619655637384989E-2</v>
          </cell>
          <cell r="Z39">
            <v>6.2055195900350503E-2</v>
          </cell>
          <cell r="AA39">
            <v>0.10939936964274129</v>
          </cell>
          <cell r="AB39">
            <v>0.17568121288208835</v>
          </cell>
          <cell r="AC39">
            <v>0.26003992245943919</v>
          </cell>
          <cell r="AD39">
            <v>0.3584584169663485</v>
          </cell>
          <cell r="AE39">
            <v>0.46444756489686617</v>
          </cell>
          <cell r="AF39">
            <v>0.57043671282738384</v>
          </cell>
          <cell r="AG39">
            <v>0.66935991756253377</v>
          </cell>
          <cell r="AH39">
            <v>0.75591772170578986</v>
          </cell>
          <cell r="AI39">
            <v>0.82720061923553012</v>
          </cell>
          <cell r="AJ39">
            <v>0.88264287286977261</v>
          </cell>
          <cell r="AK39">
            <v>0.92349505975816193</v>
          </cell>
          <cell r="AL39">
            <v>0.95209159058003434</v>
          </cell>
          <cell r="AM39">
            <v>0.97115594446128262</v>
          </cell>
          <cell r="AN39">
            <v>0.98328780602207699</v>
          </cell>
          <cell r="AO39">
            <v>0.99067241740690848</v>
          </cell>
          <cell r="AP39">
            <v>0.99498010738139331</v>
          </cell>
        </row>
      </sheetData>
      <sheetData sheetId="3"/>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MLIST"/>
    </sheetNames>
    <sheetDataSet>
      <sheetData sheetId="0">
        <row r="6">
          <cell r="A6" t="str">
            <v>Utility Distribution Sytem</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codeName="Sheet2"/>
  <dimension ref="A1:BD33"/>
  <sheetViews>
    <sheetView workbookViewId="0">
      <selection activeCell="AF19" sqref="AF19"/>
    </sheetView>
  </sheetViews>
  <sheetFormatPr defaultRowHeight="12.75"/>
  <cols>
    <col min="1" max="1" width="16.140625" customWidth="1"/>
    <col min="2" max="2" width="21.85546875" customWidth="1"/>
    <col min="3" max="3" width="34.140625" customWidth="1"/>
    <col min="4" max="4" width="18.140625" customWidth="1"/>
    <col min="5" max="5" width="30.5703125" bestFit="1" customWidth="1"/>
    <col min="6" max="6" width="16.7109375" customWidth="1"/>
    <col min="7" max="7" width="13.7109375" customWidth="1"/>
    <col min="8" max="8" width="11.85546875" customWidth="1"/>
    <col min="9" max="9" width="11.5703125" customWidth="1"/>
    <col min="10" max="10" width="39.7109375" customWidth="1"/>
    <col min="32" max="32" width="17" customWidth="1"/>
    <col min="33" max="56" width="17.5703125" customWidth="1"/>
  </cols>
  <sheetData>
    <row r="1" spans="1:56" ht="15.75" thickBot="1">
      <c r="A1" s="234" t="s">
        <v>506</v>
      </c>
      <c r="B1" s="234" t="s">
        <v>507</v>
      </c>
      <c r="C1" s="234" t="s">
        <v>508</v>
      </c>
      <c r="D1" s="234" t="s">
        <v>408</v>
      </c>
      <c r="E1" s="234" t="s">
        <v>509</v>
      </c>
      <c r="F1" s="234" t="s">
        <v>510</v>
      </c>
      <c r="G1" s="234" t="s">
        <v>511</v>
      </c>
      <c r="H1" s="234" t="s">
        <v>512</v>
      </c>
      <c r="I1" s="234" t="s">
        <v>513</v>
      </c>
      <c r="J1" s="234" t="s">
        <v>514</v>
      </c>
      <c r="K1" s="235">
        <v>2016</v>
      </c>
      <c r="L1" s="236">
        <v>2017</v>
      </c>
      <c r="M1" s="236">
        <v>2018</v>
      </c>
      <c r="N1" s="236">
        <v>2019</v>
      </c>
      <c r="O1" s="236">
        <v>2020</v>
      </c>
      <c r="P1" s="236">
        <v>2021</v>
      </c>
      <c r="Q1" s="236">
        <v>2022</v>
      </c>
      <c r="R1" s="236">
        <v>2023</v>
      </c>
      <c r="S1" s="236">
        <v>2024</v>
      </c>
      <c r="T1" s="236">
        <v>2025</v>
      </c>
      <c r="U1" s="236">
        <v>2026</v>
      </c>
      <c r="V1" s="236">
        <v>2027</v>
      </c>
      <c r="W1" s="236">
        <v>2028</v>
      </c>
      <c r="X1" s="236">
        <v>2029</v>
      </c>
      <c r="Y1" s="236">
        <v>2030</v>
      </c>
      <c r="Z1" s="236">
        <v>2031</v>
      </c>
      <c r="AA1" s="236">
        <v>2032</v>
      </c>
      <c r="AB1" s="236">
        <v>2033</v>
      </c>
      <c r="AC1" s="236">
        <v>2034</v>
      </c>
      <c r="AD1" s="236">
        <v>2035</v>
      </c>
      <c r="AE1" s="237" t="s">
        <v>515</v>
      </c>
      <c r="AF1" s="238" t="s">
        <v>516</v>
      </c>
      <c r="AG1" s="239"/>
      <c r="AH1" s="239"/>
      <c r="AI1" s="239"/>
      <c r="AJ1" s="239"/>
      <c r="AK1" s="239"/>
      <c r="AL1" s="239"/>
      <c r="AM1" s="239"/>
      <c r="AN1" s="239"/>
      <c r="AO1" s="239"/>
      <c r="AP1" s="239"/>
      <c r="AQ1" s="240"/>
      <c r="AR1" s="241"/>
      <c r="AS1" s="238" t="s">
        <v>517</v>
      </c>
      <c r="AT1" s="239"/>
      <c r="AU1" s="239"/>
      <c r="AV1" s="239"/>
      <c r="AW1" s="239"/>
      <c r="AX1" s="239"/>
      <c r="AY1" s="239"/>
      <c r="AZ1" s="239"/>
      <c r="BA1" s="239"/>
      <c r="BB1" s="239"/>
      <c r="BC1" s="239"/>
      <c r="BD1" s="240"/>
    </row>
    <row r="2" spans="1:56" ht="15">
      <c r="A2" s="234"/>
      <c r="B2" s="234"/>
      <c r="C2" s="234"/>
      <c r="D2" s="234"/>
      <c r="E2" s="234"/>
      <c r="F2" s="234" t="s">
        <v>518</v>
      </c>
      <c r="G2" s="234" t="s">
        <v>519</v>
      </c>
      <c r="H2" s="234" t="s">
        <v>520</v>
      </c>
      <c r="I2" s="234"/>
      <c r="J2" s="234"/>
      <c r="K2" s="242" t="str">
        <f t="shared" ref="K2:AD2" si="0">CONCATENATE("aMW_",K$1)</f>
        <v>aMW_2016</v>
      </c>
      <c r="L2" s="243" t="str">
        <f t="shared" si="0"/>
        <v>aMW_2017</v>
      </c>
      <c r="M2" s="243" t="str">
        <f t="shared" si="0"/>
        <v>aMW_2018</v>
      </c>
      <c r="N2" s="243" t="str">
        <f t="shared" si="0"/>
        <v>aMW_2019</v>
      </c>
      <c r="O2" s="243" t="str">
        <f t="shared" si="0"/>
        <v>aMW_2020</v>
      </c>
      <c r="P2" s="243" t="str">
        <f t="shared" si="0"/>
        <v>aMW_2021</v>
      </c>
      <c r="Q2" s="243" t="str">
        <f t="shared" si="0"/>
        <v>aMW_2022</v>
      </c>
      <c r="R2" s="243" t="str">
        <f t="shared" si="0"/>
        <v>aMW_2023</v>
      </c>
      <c r="S2" s="243" t="str">
        <f t="shared" si="0"/>
        <v>aMW_2024</v>
      </c>
      <c r="T2" s="243" t="str">
        <f t="shared" si="0"/>
        <v>aMW_2025</v>
      </c>
      <c r="U2" s="243" t="str">
        <f t="shared" si="0"/>
        <v>aMW_2026</v>
      </c>
      <c r="V2" s="243" t="str">
        <f t="shared" si="0"/>
        <v>aMW_2027</v>
      </c>
      <c r="W2" s="243" t="str">
        <f t="shared" si="0"/>
        <v>aMW_2028</v>
      </c>
      <c r="X2" s="243" t="str">
        <f t="shared" si="0"/>
        <v>aMW_2029</v>
      </c>
      <c r="Y2" s="243" t="str">
        <f t="shared" si="0"/>
        <v>aMW_2030</v>
      </c>
      <c r="Z2" s="243" t="str">
        <f t="shared" si="0"/>
        <v>aMW_2031</v>
      </c>
      <c r="AA2" s="243" t="str">
        <f t="shared" si="0"/>
        <v>aMW_2032</v>
      </c>
      <c r="AB2" s="243" t="str">
        <f t="shared" si="0"/>
        <v>aMW_2033</v>
      </c>
      <c r="AC2" s="243" t="str">
        <f t="shared" si="0"/>
        <v>aMW_2034</v>
      </c>
      <c r="AD2" s="243" t="str">
        <f t="shared" si="0"/>
        <v>aMW_2035</v>
      </c>
      <c r="AE2" s="244" t="s">
        <v>515</v>
      </c>
      <c r="AF2" s="245" t="s">
        <v>521</v>
      </c>
      <c r="AG2" s="246" t="s">
        <v>522</v>
      </c>
      <c r="AH2" s="246" t="s">
        <v>523</v>
      </c>
      <c r="AI2" s="246" t="s">
        <v>524</v>
      </c>
      <c r="AJ2" s="246" t="s">
        <v>525</v>
      </c>
      <c r="AK2" s="246" t="s">
        <v>526</v>
      </c>
      <c r="AL2" s="246" t="s">
        <v>527</v>
      </c>
      <c r="AM2" s="246" t="s">
        <v>528</v>
      </c>
      <c r="AN2" s="246" t="s">
        <v>529</v>
      </c>
      <c r="AO2" s="246" t="s">
        <v>530</v>
      </c>
      <c r="AP2" s="246" t="s">
        <v>531</v>
      </c>
      <c r="AQ2" s="246" t="s">
        <v>532</v>
      </c>
      <c r="AR2" s="247"/>
      <c r="AS2" s="247" t="s">
        <v>521</v>
      </c>
      <c r="AT2" s="247" t="s">
        <v>522</v>
      </c>
      <c r="AU2" s="247" t="s">
        <v>523</v>
      </c>
      <c r="AV2" s="247" t="s">
        <v>524</v>
      </c>
      <c r="AW2" s="247" t="s">
        <v>525</v>
      </c>
      <c r="AX2" s="247" t="s">
        <v>526</v>
      </c>
      <c r="AY2" s="247" t="s">
        <v>527</v>
      </c>
      <c r="AZ2" s="247" t="s">
        <v>528</v>
      </c>
      <c r="BA2" s="247" t="s">
        <v>529</v>
      </c>
      <c r="BB2" s="247" t="s">
        <v>530</v>
      </c>
      <c r="BC2" s="247" t="s">
        <v>531</v>
      </c>
      <c r="BD2" s="247" t="s">
        <v>532</v>
      </c>
    </row>
    <row r="3" spans="1:56" ht="15">
      <c r="A3" s="234" t="str">
        <f>'SC-Retro'!$D$19</f>
        <v>DEI</v>
      </c>
      <c r="B3" s="234" t="s">
        <v>505</v>
      </c>
      <c r="C3" s="248" t="str">
        <f>'SC-Retro'!$C$8</f>
        <v>Distribution System Efficiency</v>
      </c>
      <c r="D3" s="234" t="s">
        <v>897</v>
      </c>
      <c r="E3" s="249" t="s">
        <v>648</v>
      </c>
      <c r="F3" s="412">
        <f t="shared" ref="F3:F7" si="1">VLOOKUP(J3,M_Out,14,FALSE)</f>
        <v>6.2864537280676771E-4</v>
      </c>
      <c r="G3" s="413">
        <f>VLOOKUP(J3,M_Out,3,FALSE)</f>
        <v>4.4347105597087273</v>
      </c>
      <c r="H3" s="250">
        <f>VLOOKUP(J3,M_Out,11,FALSE)</f>
        <v>-2.4129262646443115</v>
      </c>
      <c r="I3" s="251"/>
      <c r="J3" s="252" t="str">
        <f>'SC-Retro'!D26</f>
        <v>1 - LDC voltage control method</v>
      </c>
      <c r="K3" s="253">
        <f ca="1">VLOOKUP($J3,SCRetro,COLUMN()-9,FALSE)</f>
        <v>0.79429706145703194</v>
      </c>
      <c r="L3" s="253">
        <f t="shared" ref="K3:T7" ca="1" si="2">VLOOKUP($J3,SCRetro,COLUMN()-9,FALSE)</f>
        <v>1.2783467567715106</v>
      </c>
      <c r="M3" s="253">
        <f t="shared" ca="1" si="2"/>
        <v>1.7755117626589036</v>
      </c>
      <c r="N3" s="253">
        <f t="shared" ca="1" si="2"/>
        <v>2.4371460320444984</v>
      </c>
      <c r="O3" s="253">
        <f t="shared" ca="1" si="2"/>
        <v>2.8602521210508409</v>
      </c>
      <c r="P3" s="253">
        <f t="shared" ca="1" si="2"/>
        <v>3.2911961396739651</v>
      </c>
      <c r="Q3" s="253">
        <f t="shared" ca="1" si="2"/>
        <v>3.730278894331136</v>
      </c>
      <c r="R3" s="253">
        <f t="shared" ca="1" si="2"/>
        <v>4.0110369031408224</v>
      </c>
      <c r="S3" s="253">
        <f t="shared" ca="1" si="2"/>
        <v>4.2989279820188626</v>
      </c>
      <c r="T3" s="253">
        <f t="shared" ca="1" si="2"/>
        <v>4.5953176337804766</v>
      </c>
      <c r="U3" s="253">
        <f t="shared" ref="U3:AE7" ca="1" si="3">VLOOKUP($J3,SCRetro,COLUMN()-9,FALSE)</f>
        <v>4.8988344751842456</v>
      </c>
      <c r="V3" s="253">
        <f t="shared" ca="1" si="3"/>
        <v>5.2119664919392825</v>
      </c>
      <c r="W3" s="253">
        <f t="shared" ca="1" si="3"/>
        <v>5.2710421582472753</v>
      </c>
      <c r="X3" s="253">
        <f t="shared" ca="1" si="3"/>
        <v>5.3301856756268311</v>
      </c>
      <c r="Y3" s="253">
        <f t="shared" ca="1" si="3"/>
        <v>5.3927828125489699</v>
      </c>
      <c r="Z3" s="253">
        <f t="shared" ca="1" si="3"/>
        <v>5.4472423442882558</v>
      </c>
      <c r="AA3" s="253">
        <f t="shared" ca="1" si="3"/>
        <v>5.5093509534951384</v>
      </c>
      <c r="AB3" s="253">
        <f t="shared" ca="1" si="3"/>
        <v>5.5720340351079249</v>
      </c>
      <c r="AC3" s="253">
        <f t="shared" ca="1" si="3"/>
        <v>5.6358660615325205</v>
      </c>
      <c r="AD3" s="253">
        <f t="shared" ca="1" si="3"/>
        <v>5.7011093902456391</v>
      </c>
      <c r="AE3" s="253">
        <f ca="1">VLOOKUP($J3,SCRetro,COLUMN()-9,FALSE)</f>
        <v>83.042725685144134</v>
      </c>
      <c r="AF3" s="414">
        <f t="shared" ref="AF3:AQ7" si="4">VLOOKUP($J3,M_Out,COLUMN()-17,FALSE)</f>
        <v>0.25037430408192124</v>
      </c>
      <c r="AG3" s="414">
        <f t="shared" si="4"/>
        <v>0.22874096499170543</v>
      </c>
      <c r="AH3" s="414">
        <f t="shared" si="4"/>
        <v>0.26635346160543677</v>
      </c>
      <c r="AI3" s="414">
        <f t="shared" si="4"/>
        <v>0.18203542930463648</v>
      </c>
      <c r="AJ3" s="414">
        <f t="shared" si="4"/>
        <v>0.18930166780215291</v>
      </c>
      <c r="AK3" s="414">
        <f t="shared" si="4"/>
        <v>0.189427127991179</v>
      </c>
      <c r="AL3" s="414">
        <f t="shared" si="4"/>
        <v>0.22227287006362287</v>
      </c>
      <c r="AM3" s="414">
        <f t="shared" si="4"/>
        <v>0.23932024449822009</v>
      </c>
      <c r="AN3" s="414">
        <f t="shared" si="4"/>
        <v>0.21223510430637763</v>
      </c>
      <c r="AO3" s="414">
        <f t="shared" si="4"/>
        <v>0.22450489131090487</v>
      </c>
      <c r="AP3" s="414">
        <f t="shared" si="4"/>
        <v>0.20131992894894754</v>
      </c>
      <c r="AQ3" s="414">
        <f t="shared" si="4"/>
        <v>0.2495296038132005</v>
      </c>
      <c r="AR3" s="414"/>
      <c r="AS3" s="414">
        <f t="shared" ref="AS3:BD7" si="5">VLOOKUP($J3,M_Out,COLUMN()-17,FALSE)</f>
        <v>0.1797079577224357</v>
      </c>
      <c r="AT3" s="414">
        <f t="shared" si="5"/>
        <v>0.1576114043619814</v>
      </c>
      <c r="AU3" s="414">
        <f t="shared" si="5"/>
        <v>0.15869735956466033</v>
      </c>
      <c r="AV3" s="414">
        <f t="shared" si="5"/>
        <v>0.12168821438038409</v>
      </c>
      <c r="AW3" s="414">
        <f t="shared" si="5"/>
        <v>0.12451272264166491</v>
      </c>
      <c r="AX3" s="414">
        <f t="shared" si="5"/>
        <v>0.11438252126778228</v>
      </c>
      <c r="AY3" s="414">
        <f t="shared" si="5"/>
        <v>0.1666001957831329</v>
      </c>
      <c r="AZ3" s="414">
        <f t="shared" si="5"/>
        <v>0.14917791739287353</v>
      </c>
      <c r="BA3" s="414">
        <f t="shared" si="5"/>
        <v>0.1622588202106244</v>
      </c>
      <c r="BB3" s="414">
        <f t="shared" si="5"/>
        <v>0.1255084549451812</v>
      </c>
      <c r="BC3" s="414">
        <f t="shared" si="5"/>
        <v>0.1401216482229645</v>
      </c>
      <c r="BD3" s="414">
        <f t="shared" si="5"/>
        <v>0.17902774449673775</v>
      </c>
    </row>
    <row r="4" spans="1:56" ht="15">
      <c r="A4" s="234" t="str">
        <f>'SC-Retro'!$D$19</f>
        <v>DEI</v>
      </c>
      <c r="B4" s="234" t="s">
        <v>505</v>
      </c>
      <c r="C4" s="248" t="str">
        <f>'SC-Retro'!$C$8</f>
        <v>Distribution System Efficiency</v>
      </c>
      <c r="D4" s="234" t="s">
        <v>897</v>
      </c>
      <c r="E4" s="249" t="s">
        <v>648</v>
      </c>
      <c r="F4" s="412">
        <f t="shared" si="1"/>
        <v>3.7656387820444201E-4</v>
      </c>
      <c r="G4" s="413">
        <f>VLOOKUP(J4,M_Out,3,FALSE)</f>
        <v>2.6564290127868606</v>
      </c>
      <c r="H4" s="250">
        <f>VLOOKUP(J4,M_Out,11,FALSE)</f>
        <v>3.4416972773919268</v>
      </c>
      <c r="I4" s="251"/>
      <c r="J4" s="252" t="str">
        <f>'SC-Retro'!D27</f>
        <v>2 - Light system improvements</v>
      </c>
      <c r="K4" s="253">
        <f t="shared" ca="1" si="2"/>
        <v>0.47579063625843315</v>
      </c>
      <c r="L4" s="253">
        <f t="shared" ca="1" si="2"/>
        <v>0.76574048460850808</v>
      </c>
      <c r="M4" s="253">
        <f t="shared" ca="1" si="2"/>
        <v>1.063546514562437</v>
      </c>
      <c r="N4" s="253">
        <f t="shared" ca="1" si="2"/>
        <v>1.459871019935651</v>
      </c>
      <c r="O4" s="253">
        <f t="shared" ca="1" si="2"/>
        <v>1.7133151343125426</v>
      </c>
      <c r="P4" s="253">
        <f t="shared" ca="1" si="2"/>
        <v>1.9714542346087782</v>
      </c>
      <c r="Q4" s="253">
        <f t="shared" ca="1" si="2"/>
        <v>2.2344685064042964</v>
      </c>
      <c r="R4" s="253">
        <f t="shared" ca="1" si="2"/>
        <v>2.402644920655626</v>
      </c>
      <c r="S4" s="253">
        <f t="shared" ca="1" si="2"/>
        <v>2.5750941040143629</v>
      </c>
      <c r="T4" s="253">
        <f t="shared" ca="1" si="2"/>
        <v>2.7526340041789092</v>
      </c>
      <c r="U4" s="253">
        <f t="shared" ca="1" si="3"/>
        <v>2.9344431510259934</v>
      </c>
      <c r="V4" s="253">
        <f t="shared" ca="1" si="3"/>
        <v>3.1220118689707284</v>
      </c>
      <c r="W4" s="253">
        <f t="shared" ca="1" si="3"/>
        <v>3.1573986911358638</v>
      </c>
      <c r="X4" s="253">
        <f t="shared" ca="1" si="3"/>
        <v>3.1928261566648959</v>
      </c>
      <c r="Y4" s="253">
        <f t="shared" ca="1" si="3"/>
        <v>3.2303223694162164</v>
      </c>
      <c r="Z4" s="253">
        <f t="shared" ca="1" si="3"/>
        <v>3.2629440880576528</v>
      </c>
      <c r="AA4" s="253">
        <f t="shared" ca="1" si="3"/>
        <v>3.3001476685889251</v>
      </c>
      <c r="AB4" s="253">
        <f t="shared" ca="1" si="3"/>
        <v>3.3376953629345119</v>
      </c>
      <c r="AC4" s="253">
        <f t="shared" ca="1" si="3"/>
        <v>3.3759312849087322</v>
      </c>
      <c r="AD4" s="253">
        <f t="shared" ca="1" si="3"/>
        <v>3.4150125888519813</v>
      </c>
      <c r="AE4" s="253">
        <f t="shared" ca="1" si="3"/>
        <v>49.74329279009504</v>
      </c>
      <c r="AF4" s="414">
        <f t="shared" si="4"/>
        <v>0.14997631896482086</v>
      </c>
      <c r="AG4" s="414">
        <f t="shared" si="4"/>
        <v>0.13701776646653113</v>
      </c>
      <c r="AH4" s="414">
        <f t="shared" si="4"/>
        <v>0.15954796903619464</v>
      </c>
      <c r="AI4" s="414">
        <f t="shared" si="4"/>
        <v>0.10904075683164957</v>
      </c>
      <c r="AJ4" s="414">
        <f t="shared" si="4"/>
        <v>0.11339329495082259</v>
      </c>
      <c r="AK4" s="414">
        <f t="shared" si="4"/>
        <v>0.11346844666176099</v>
      </c>
      <c r="AL4" s="414">
        <f t="shared" si="4"/>
        <v>0.13314332307432322</v>
      </c>
      <c r="AM4" s="414">
        <f t="shared" si="4"/>
        <v>0.14335484408120477</v>
      </c>
      <c r="AN4" s="414">
        <f t="shared" si="4"/>
        <v>0.12713061676077836</v>
      </c>
      <c r="AO4" s="414">
        <f t="shared" si="4"/>
        <v>0.13448032261884954</v>
      </c>
      <c r="AP4" s="414">
        <f t="shared" si="4"/>
        <v>0.12059233469958384</v>
      </c>
      <c r="AQ4" s="414">
        <f t="shared" si="4"/>
        <v>0.14947033638247934</v>
      </c>
      <c r="AR4" s="414"/>
      <c r="AS4" s="414">
        <f t="shared" si="5"/>
        <v>0.10764658173179791</v>
      </c>
      <c r="AT4" s="414">
        <f t="shared" si="5"/>
        <v>9.4410559980434933E-2</v>
      </c>
      <c r="AU4" s="414">
        <f t="shared" si="5"/>
        <v>9.5061056302154889E-2</v>
      </c>
      <c r="AV4" s="414">
        <f t="shared" si="5"/>
        <v>7.289226632538362E-2</v>
      </c>
      <c r="AW4" s="414">
        <f t="shared" si="5"/>
        <v>7.458417058634971E-2</v>
      </c>
      <c r="AX4" s="414">
        <f t="shared" si="5"/>
        <v>6.8516094559146132E-2</v>
      </c>
      <c r="AY4" s="414">
        <f t="shared" si="5"/>
        <v>9.9794921823117347E-2</v>
      </c>
      <c r="AZ4" s="414">
        <f t="shared" si="5"/>
        <v>8.9358830186107727E-2</v>
      </c>
      <c r="BA4" s="414">
        <f t="shared" si="5"/>
        <v>9.7194401254538654E-2</v>
      </c>
      <c r="BB4" s="414">
        <f t="shared" si="5"/>
        <v>7.5180622630832972E-2</v>
      </c>
      <c r="BC4" s="414">
        <f t="shared" si="5"/>
        <v>8.3934048603037825E-2</v>
      </c>
      <c r="BD4" s="414">
        <f t="shared" si="5"/>
        <v>0.10723912827496081</v>
      </c>
    </row>
    <row r="5" spans="1:56" ht="15">
      <c r="A5" s="234" t="str">
        <f>'SC-Retro'!$D$19</f>
        <v>DEI</v>
      </c>
      <c r="B5" s="234" t="s">
        <v>505</v>
      </c>
      <c r="C5" s="248" t="str">
        <f>'SC-Retro'!$C$8</f>
        <v>Distribution System Efficiency</v>
      </c>
      <c r="D5" s="234" t="s">
        <v>897</v>
      </c>
      <c r="E5" s="249" t="s">
        <v>648</v>
      </c>
      <c r="F5" s="412">
        <f t="shared" si="1"/>
        <v>4.1362731134640516E-4</v>
      </c>
      <c r="G5" s="413">
        <f>VLOOKUP(J5,M_Out,3,FALSE)</f>
        <v>2.9178889796356824</v>
      </c>
      <c r="H5" s="250">
        <f>VLOOKUP(J5,M_Out,11,FALSE)</f>
        <v>59.902637657436337</v>
      </c>
      <c r="I5" s="251"/>
      <c r="J5" s="252" t="str">
        <f>'SC-Retro'!D28</f>
        <v>3 - Major system improvements</v>
      </c>
      <c r="K5" s="253">
        <f t="shared" ca="1" si="2"/>
        <v>0.52262049822135515</v>
      </c>
      <c r="L5" s="253">
        <f t="shared" ca="1" si="2"/>
        <v>0.84110876313461125</v>
      </c>
      <c r="M5" s="253">
        <f t="shared" ca="1" si="2"/>
        <v>1.1682264571097993</v>
      </c>
      <c r="N5" s="253">
        <f t="shared" ca="1" si="2"/>
        <v>1.6035593423559409</v>
      </c>
      <c r="O5" s="253">
        <f t="shared" ca="1" si="2"/>
        <v>1.8819487834944506</v>
      </c>
      <c r="P5" s="253">
        <f t="shared" ca="1" si="2"/>
        <v>2.1654953162050132</v>
      </c>
      <c r="Q5" s="253">
        <f t="shared" ca="1" si="2"/>
        <v>2.4543968608971176</v>
      </c>
      <c r="R5" s="253">
        <f t="shared" ca="1" si="2"/>
        <v>2.639126098311892</v>
      </c>
      <c r="S5" s="253">
        <f t="shared" ca="1" si="2"/>
        <v>2.828548653647462</v>
      </c>
      <c r="T5" s="253">
        <f t="shared" ca="1" si="2"/>
        <v>3.0235629813942708</v>
      </c>
      <c r="U5" s="253">
        <f t="shared" ca="1" si="3"/>
        <v>3.2232667579410887</v>
      </c>
      <c r="V5" s="253">
        <f t="shared" ca="1" si="3"/>
        <v>3.4292969934116604</v>
      </c>
      <c r="W5" s="253">
        <f t="shared" ca="1" si="3"/>
        <v>3.4681667760871839</v>
      </c>
      <c r="X5" s="253">
        <f t="shared" ca="1" si="3"/>
        <v>3.5070812024640952</v>
      </c>
      <c r="Y5" s="253">
        <f t="shared" ca="1" si="3"/>
        <v>3.5482679932416765</v>
      </c>
      <c r="Z5" s="253">
        <f t="shared" ca="1" si="3"/>
        <v>3.5841005160994071</v>
      </c>
      <c r="AA5" s="253">
        <f t="shared" ca="1" si="3"/>
        <v>3.6249658722269933</v>
      </c>
      <c r="AB5" s="253">
        <f t="shared" ca="1" si="3"/>
        <v>3.6662092116929998</v>
      </c>
      <c r="AC5" s="253">
        <f t="shared" ca="1" si="3"/>
        <v>3.7082085178358515</v>
      </c>
      <c r="AD5" s="253">
        <f t="shared" ca="1" si="3"/>
        <v>3.7511364129675817</v>
      </c>
      <c r="AE5" s="253">
        <f t="shared" ca="1" si="3"/>
        <v>54.63929400874045</v>
      </c>
      <c r="AF5" s="414">
        <f t="shared" si="4"/>
        <v>0.1647377913007641</v>
      </c>
      <c r="AG5" s="414">
        <f t="shared" si="4"/>
        <v>0.15050378868116396</v>
      </c>
      <c r="AH5" s="414">
        <f t="shared" si="4"/>
        <v>0.17525153442198169</v>
      </c>
      <c r="AI5" s="414">
        <f t="shared" si="4"/>
        <v>0.11977313195974075</v>
      </c>
      <c r="AJ5" s="414">
        <f t="shared" si="4"/>
        <v>0.12455407018554915</v>
      </c>
      <c r="AK5" s="414">
        <f t="shared" si="4"/>
        <v>0.12463661873026553</v>
      </c>
      <c r="AL5" s="414">
        <f t="shared" si="4"/>
        <v>0.14624800182522782</v>
      </c>
      <c r="AM5" s="414">
        <f t="shared" si="4"/>
        <v>0.15746459540550906</v>
      </c>
      <c r="AN5" s="414">
        <f t="shared" si="4"/>
        <v>0.13964349276226115</v>
      </c>
      <c r="AO5" s="414">
        <f t="shared" si="4"/>
        <v>0.14771659602366963</v>
      </c>
      <c r="AP5" s="414">
        <f t="shared" si="4"/>
        <v>0.13246167797245262</v>
      </c>
      <c r="AQ5" s="414">
        <f t="shared" si="4"/>
        <v>0.1641820072034684</v>
      </c>
      <c r="AR5" s="414"/>
      <c r="AS5" s="414">
        <f t="shared" si="5"/>
        <v>0.11824173468168141</v>
      </c>
      <c r="AT5" s="414">
        <f t="shared" si="5"/>
        <v>0.10370295279945727</v>
      </c>
      <c r="AU5" s="414">
        <f t="shared" si="5"/>
        <v>0.10441747445213599</v>
      </c>
      <c r="AV5" s="414">
        <f t="shared" si="5"/>
        <v>8.0066713466726974E-2</v>
      </c>
      <c r="AW5" s="414">
        <f t="shared" si="5"/>
        <v>8.1925144004079242E-2</v>
      </c>
      <c r="AX5" s="414">
        <f t="shared" si="5"/>
        <v>7.5259815443767558E-2</v>
      </c>
      <c r="AY5" s="414">
        <f t="shared" si="5"/>
        <v>0.10961727236437253</v>
      </c>
      <c r="AZ5" s="414">
        <f t="shared" si="5"/>
        <v>9.8154004710119674E-2</v>
      </c>
      <c r="BA5" s="414">
        <f t="shared" si="5"/>
        <v>0.1067607946373765</v>
      </c>
      <c r="BB5" s="414">
        <f t="shared" si="5"/>
        <v>8.2580302052384494E-2</v>
      </c>
      <c r="BC5" s="414">
        <f t="shared" si="5"/>
        <v>9.219528707754715E-2</v>
      </c>
      <c r="BD5" s="414">
        <f t="shared" si="5"/>
        <v>0.11779417747398017</v>
      </c>
    </row>
    <row r="6" spans="1:56" ht="15">
      <c r="A6" s="234" t="str">
        <f>'SC-Retro'!$D$19</f>
        <v>DEI</v>
      </c>
      <c r="B6" s="234" t="s">
        <v>505</v>
      </c>
      <c r="C6" s="248" t="str">
        <f>'SC-Retro'!$C$8</f>
        <v>Distribution System Efficiency</v>
      </c>
      <c r="D6" s="234" t="s">
        <v>897</v>
      </c>
      <c r="E6" s="249" t="s">
        <v>648</v>
      </c>
      <c r="F6" s="412">
        <f t="shared" si="1"/>
        <v>2.1198344247808546E-4</v>
      </c>
      <c r="G6" s="413">
        <f>VLOOKUP(J6,M_Out,3,FALSE)</f>
        <v>1.4954141897898539</v>
      </c>
      <c r="H6" s="250">
        <f>VLOOKUP(J6,M_Out,11,FALSE)</f>
        <v>96.719901846188563</v>
      </c>
      <c r="I6" s="251"/>
      <c r="J6" s="252" t="str">
        <f>'SC-Retro'!D29</f>
        <v>4 - EOL voltage control method</v>
      </c>
      <c r="K6" s="253">
        <f t="shared" ca="1" si="2"/>
        <v>0.26784230461463177</v>
      </c>
      <c r="L6" s="253">
        <f t="shared" ca="1" si="2"/>
        <v>0.43106711335711473</v>
      </c>
      <c r="M6" s="253">
        <f t="shared" ca="1" si="2"/>
        <v>0.59871449292359435</v>
      </c>
      <c r="N6" s="253">
        <f t="shared" ca="1" si="2"/>
        <v>0.8218220129227003</v>
      </c>
      <c r="O6" s="253">
        <f t="shared" ca="1" si="2"/>
        <v>0.96449622824468728</v>
      </c>
      <c r="P6" s="253">
        <f t="shared" ca="1" si="2"/>
        <v>1.1098134460827798</v>
      </c>
      <c r="Q6" s="253">
        <f t="shared" ca="1" si="2"/>
        <v>1.2578751003814717</v>
      </c>
      <c r="R6" s="253">
        <f t="shared" ca="1" si="2"/>
        <v>1.3525485868736149</v>
      </c>
      <c r="S6" s="253">
        <f t="shared" ca="1" si="2"/>
        <v>1.449627392507417</v>
      </c>
      <c r="T6" s="253">
        <f t="shared" ca="1" si="2"/>
        <v>1.5495719740045919</v>
      </c>
      <c r="U6" s="253">
        <f t="shared" ca="1" si="3"/>
        <v>1.6519198917242099</v>
      </c>
      <c r="V6" s="253">
        <f t="shared" ca="1" si="3"/>
        <v>1.7575101111598057</v>
      </c>
      <c r="W6" s="253">
        <f t="shared" ca="1" si="3"/>
        <v>1.7774308226648343</v>
      </c>
      <c r="X6" s="253">
        <f t="shared" ca="1" si="3"/>
        <v>1.797374414006967</v>
      </c>
      <c r="Y6" s="253">
        <f t="shared" ca="1" si="3"/>
        <v>1.8184825890576815</v>
      </c>
      <c r="Z6" s="253">
        <f t="shared" ca="1" si="3"/>
        <v>1.8368467089784164</v>
      </c>
      <c r="AA6" s="253">
        <f t="shared" ca="1" si="3"/>
        <v>1.8577901492019842</v>
      </c>
      <c r="AB6" s="253">
        <f t="shared" ca="1" si="3"/>
        <v>1.8789273053796971</v>
      </c>
      <c r="AC6" s="253">
        <f t="shared" ca="1" si="3"/>
        <v>1.9004518934657009</v>
      </c>
      <c r="AD6" s="253">
        <f t="shared" ca="1" si="3"/>
        <v>1.9224523821634636</v>
      </c>
      <c r="AE6" s="253">
        <f t="shared" ca="1" si="3"/>
        <v>28.002564919715361</v>
      </c>
      <c r="AF6" s="414">
        <f t="shared" si="4"/>
        <v>8.4427897163023929E-2</v>
      </c>
      <c r="AG6" s="414">
        <f t="shared" si="4"/>
        <v>7.7132989905272925E-2</v>
      </c>
      <c r="AH6" s="414">
        <f t="shared" si="4"/>
        <v>8.9816176415936866E-2</v>
      </c>
      <c r="AI6" s="414">
        <f t="shared" si="4"/>
        <v>6.1383569538869878E-2</v>
      </c>
      <c r="AJ6" s="414">
        <f t="shared" si="4"/>
        <v>6.3833793969367322E-2</v>
      </c>
      <c r="AK6" s="414">
        <f t="shared" si="4"/>
        <v>6.387609998785429E-2</v>
      </c>
      <c r="AL6" s="414">
        <f t="shared" si="4"/>
        <v>7.495190484771784E-2</v>
      </c>
      <c r="AM6" s="414">
        <f t="shared" si="4"/>
        <v>8.0700394018526744E-2</v>
      </c>
      <c r="AN6" s="414">
        <f t="shared" si="4"/>
        <v>7.1567102808200486E-2</v>
      </c>
      <c r="AO6" s="414">
        <f t="shared" si="4"/>
        <v>7.5704557405344319E-2</v>
      </c>
      <c r="AP6" s="414">
        <f t="shared" si="4"/>
        <v>6.7886432357721849E-2</v>
      </c>
      <c r="AQ6" s="414">
        <f t="shared" si="4"/>
        <v>8.4143058558349082E-2</v>
      </c>
      <c r="AR6" s="414"/>
      <c r="AS6" s="414">
        <f t="shared" si="5"/>
        <v>6.0598730487145085E-2</v>
      </c>
      <c r="AT6" s="414">
        <f t="shared" si="5"/>
        <v>5.3147624265943959E-2</v>
      </c>
      <c r="AU6" s="414">
        <f t="shared" si="5"/>
        <v>5.3513815654919035E-2</v>
      </c>
      <c r="AV6" s="414">
        <f t="shared" si="5"/>
        <v>4.1034083299129276E-2</v>
      </c>
      <c r="AW6" s="414">
        <f t="shared" si="5"/>
        <v>4.1986526457759098E-2</v>
      </c>
      <c r="AX6" s="414">
        <f t="shared" si="5"/>
        <v>3.8570554507398547E-2</v>
      </c>
      <c r="AY6" s="414">
        <f t="shared" si="5"/>
        <v>5.6178705113108449E-2</v>
      </c>
      <c r="AZ6" s="414">
        <f t="shared" si="5"/>
        <v>5.0303795810126978E-2</v>
      </c>
      <c r="BA6" s="414">
        <f t="shared" si="5"/>
        <v>5.4714764107956886E-2</v>
      </c>
      <c r="BB6" s="414">
        <f t="shared" si="5"/>
        <v>4.2322294079086838E-2</v>
      </c>
      <c r="BC6" s="414">
        <f t="shared" si="5"/>
        <v>4.7249961012816588E-2</v>
      </c>
      <c r="BD6" s="414">
        <f t="shared" si="5"/>
        <v>6.0369358018277981E-2</v>
      </c>
    </row>
    <row r="7" spans="1:56" ht="15">
      <c r="A7" s="234" t="str">
        <f>'SC-Retro'!$D$19</f>
        <v>DEI</v>
      </c>
      <c r="B7" s="234" t="s">
        <v>505</v>
      </c>
      <c r="C7" s="248" t="str">
        <f>'SC-Retro'!$C$8</f>
        <v>Distribution System Efficiency</v>
      </c>
      <c r="D7" s="234" t="s">
        <v>897</v>
      </c>
      <c r="E7" s="249" t="s">
        <v>648</v>
      </c>
      <c r="F7" s="412">
        <f t="shared" si="1"/>
        <v>1.6418902946376368E-5</v>
      </c>
      <c r="G7" s="413">
        <f>VLOOKUP(J7,M_Out,3,FALSE)</f>
        <v>0.11582536899942986</v>
      </c>
      <c r="H7" s="250">
        <f>VLOOKUP(J7,M_Out,11,FALSE)</f>
        <v>321.6199785595287</v>
      </c>
      <c r="I7" s="251"/>
      <c r="J7" s="252" t="str">
        <f>'SC-Retro'!D30</f>
        <v>A - SCL implement EOL w/ major system improvements</v>
      </c>
      <c r="K7" s="253">
        <f t="shared" ca="1" si="2"/>
        <v>2.0745378756909471E-2</v>
      </c>
      <c r="L7" s="253">
        <f t="shared" ca="1" si="2"/>
        <v>3.3387744886333587E-2</v>
      </c>
      <c r="M7" s="253">
        <f t="shared" ca="1" si="2"/>
        <v>4.6372655510194732E-2</v>
      </c>
      <c r="N7" s="253">
        <f t="shared" ca="1" si="2"/>
        <v>6.3653159471492263E-2</v>
      </c>
      <c r="O7" s="253">
        <f t="shared" ca="1" si="2"/>
        <v>7.4703806007550291E-2</v>
      </c>
      <c r="P7" s="253">
        <f t="shared" ca="1" si="2"/>
        <v>8.5959162879904766E-2</v>
      </c>
      <c r="Q7" s="253">
        <f t="shared" ca="1" si="2"/>
        <v>9.7427086523334885E-2</v>
      </c>
      <c r="R7" s="253">
        <f t="shared" ca="1" si="2"/>
        <v>0.1047598987851712</v>
      </c>
      <c r="S7" s="253">
        <f t="shared" ca="1" si="2"/>
        <v>0.11227901192541709</v>
      </c>
      <c r="T7" s="253">
        <f t="shared" ca="1" si="2"/>
        <v>0.12002009002300462</v>
      </c>
      <c r="U7" s="253">
        <f t="shared" ca="1" si="3"/>
        <v>0.1279473154145625</v>
      </c>
      <c r="V7" s="253">
        <f t="shared" ca="1" si="3"/>
        <v>0.13612566908564627</v>
      </c>
      <c r="W7" s="253">
        <f t="shared" ca="1" si="3"/>
        <v>0.13766860199116149</v>
      </c>
      <c r="X7" s="253">
        <f t="shared" ca="1" si="3"/>
        <v>0.13921330702482237</v>
      </c>
      <c r="Y7" s="253">
        <f t="shared" ca="1" si="3"/>
        <v>0.14084821338109896</v>
      </c>
      <c r="Z7" s="253">
        <f t="shared" ca="1" si="3"/>
        <v>0.14227058250176897</v>
      </c>
      <c r="AA7" s="253">
        <f t="shared" ca="1" si="3"/>
        <v>0.14389272953539659</v>
      </c>
      <c r="AB7" s="253">
        <f t="shared" ca="1" si="3"/>
        <v>0.14552988058732433</v>
      </c>
      <c r="AC7" s="253">
        <f t="shared" ca="1" si="3"/>
        <v>0.14719703967585251</v>
      </c>
      <c r="AD7" s="253">
        <f t="shared" ca="1" si="3"/>
        <v>0.14890105902981107</v>
      </c>
      <c r="AE7" s="253">
        <f t="shared" ca="1" si="3"/>
        <v>2.1689023929967584</v>
      </c>
      <c r="AF7" s="414">
        <f t="shared" si="4"/>
        <v>6.539253411877389E-3</v>
      </c>
      <c r="AG7" s="414">
        <f t="shared" si="4"/>
        <v>5.9742358196179729E-3</v>
      </c>
      <c r="AH7" s="414">
        <f t="shared" si="4"/>
        <v>6.9565956017547739E-3</v>
      </c>
      <c r="AI7" s="414">
        <f t="shared" si="4"/>
        <v>4.7543848660021619E-3</v>
      </c>
      <c r="AJ7" s="414">
        <f t="shared" si="4"/>
        <v>4.9441638253911093E-3</v>
      </c>
      <c r="AK7" s="414">
        <f t="shared" si="4"/>
        <v>4.9474405832523128E-3</v>
      </c>
      <c r="AL7" s="414">
        <f t="shared" si="4"/>
        <v>5.8053027017331135E-3</v>
      </c>
      <c r="AM7" s="414">
        <f t="shared" si="4"/>
        <v>6.2505444842065917E-3</v>
      </c>
      <c r="AN7" s="414">
        <f t="shared" si="4"/>
        <v>5.5431372442338684E-3</v>
      </c>
      <c r="AO7" s="414">
        <f t="shared" si="4"/>
        <v>5.8635984306426425E-3</v>
      </c>
      <c r="AP7" s="414">
        <f t="shared" si="4"/>
        <v>5.2580556822139878E-3</v>
      </c>
      <c r="AQ7" s="414">
        <f t="shared" si="4"/>
        <v>6.5171916067153128E-3</v>
      </c>
      <c r="AR7" s="414"/>
      <c r="AS7" s="414">
        <f t="shared" si="5"/>
        <v>4.6935961738847213E-3</v>
      </c>
      <c r="AT7" s="414">
        <f t="shared" si="5"/>
        <v>4.1164803932421381E-3</v>
      </c>
      <c r="AU7" s="414">
        <f t="shared" si="5"/>
        <v>4.1448432729326223E-3</v>
      </c>
      <c r="AV7" s="414">
        <f t="shared" si="5"/>
        <v>3.1782417688191694E-3</v>
      </c>
      <c r="AW7" s="414">
        <f t="shared" si="5"/>
        <v>3.2520120199325308E-3</v>
      </c>
      <c r="AX7" s="414">
        <f t="shared" si="5"/>
        <v>2.9874323373645772E-3</v>
      </c>
      <c r="AY7" s="414">
        <f t="shared" si="5"/>
        <v>4.3512488339771211E-3</v>
      </c>
      <c r="AZ7" s="414">
        <f t="shared" si="5"/>
        <v>3.8962153439233479E-3</v>
      </c>
      <c r="BA7" s="414">
        <f t="shared" si="5"/>
        <v>4.2378611797253551E-3</v>
      </c>
      <c r="BB7" s="414">
        <f t="shared" si="5"/>
        <v>3.2780184661090322E-3</v>
      </c>
      <c r="BC7" s="414">
        <f t="shared" si="5"/>
        <v>3.6596845254539302E-3</v>
      </c>
      <c r="BD7" s="414">
        <f t="shared" si="5"/>
        <v>4.6758304264240954E-3</v>
      </c>
    </row>
    <row r="8" spans="1:56" ht="15">
      <c r="A8" s="254"/>
      <c r="B8" s="254"/>
      <c r="C8" s="254"/>
      <c r="D8" s="254"/>
      <c r="E8" s="255"/>
      <c r="F8" s="256"/>
      <c r="G8" s="257"/>
      <c r="H8" s="257"/>
      <c r="I8" s="258"/>
      <c r="J8" s="258"/>
      <c r="K8" s="259"/>
      <c r="L8" s="259"/>
      <c r="M8" s="259"/>
      <c r="N8" s="259"/>
      <c r="O8" s="259"/>
      <c r="P8" s="259"/>
      <c r="Q8" s="259"/>
      <c r="R8" s="259"/>
      <c r="S8" s="259"/>
      <c r="T8" s="259"/>
      <c r="U8" s="259"/>
      <c r="V8" s="259"/>
      <c r="W8" s="259"/>
      <c r="X8" s="259"/>
      <c r="Y8" s="259"/>
      <c r="Z8" s="259"/>
      <c r="AA8" s="259"/>
      <c r="AB8" s="259"/>
      <c r="AC8" s="259"/>
      <c r="AD8" s="259"/>
      <c r="AE8" s="259"/>
      <c r="AF8" s="260"/>
      <c r="AG8" s="260"/>
      <c r="AH8" s="260"/>
      <c r="AI8" s="260"/>
      <c r="AJ8" s="260"/>
      <c r="AK8" s="260"/>
      <c r="AL8" s="260"/>
      <c r="AM8" s="260"/>
      <c r="AN8" s="260"/>
      <c r="AO8" s="260"/>
      <c r="AP8" s="260"/>
      <c r="AQ8" s="260"/>
      <c r="AR8" s="260"/>
      <c r="AS8" s="260"/>
      <c r="AT8" s="260"/>
      <c r="AU8" s="260"/>
      <c r="AV8" s="260"/>
      <c r="AW8" s="260"/>
      <c r="AX8" s="260"/>
      <c r="AY8" s="260"/>
      <c r="AZ8" s="260"/>
      <c r="BA8" s="260"/>
      <c r="BB8" s="260"/>
      <c r="BC8" s="260"/>
      <c r="BD8" s="260"/>
    </row>
    <row r="9" spans="1:56" ht="15">
      <c r="A9" s="254"/>
      <c r="B9" s="254"/>
      <c r="C9" s="254"/>
      <c r="D9" s="254"/>
      <c r="E9" s="255"/>
      <c r="F9" s="256"/>
      <c r="G9" s="257"/>
      <c r="H9" s="257"/>
      <c r="I9" s="258"/>
      <c r="J9" s="258"/>
      <c r="K9" s="259"/>
      <c r="L9" s="259"/>
      <c r="M9" s="259"/>
      <c r="N9" s="259"/>
      <c r="O9" s="259"/>
      <c r="P9" s="259"/>
      <c r="Q9" s="259"/>
      <c r="R9" s="259"/>
      <c r="S9" s="259"/>
      <c r="T9" s="259"/>
      <c r="U9" s="259"/>
      <c r="V9" s="259"/>
      <c r="W9" s="259"/>
      <c r="X9" s="259"/>
      <c r="Y9" s="259"/>
      <c r="Z9" s="259"/>
      <c r="AA9" s="259"/>
      <c r="AB9" s="259"/>
      <c r="AC9" s="259"/>
      <c r="AD9" s="259"/>
      <c r="AE9" s="259"/>
      <c r="AF9" s="260"/>
      <c r="AG9" s="260"/>
      <c r="AH9" s="260"/>
      <c r="AI9" s="260"/>
      <c r="AJ9" s="260"/>
      <c r="AK9" s="260"/>
      <c r="AL9" s="260"/>
      <c r="AM9" s="260"/>
      <c r="AN9" s="260"/>
      <c r="AO9" s="260"/>
      <c r="AP9" s="260"/>
      <c r="AQ9" s="260"/>
      <c r="AR9" s="260"/>
      <c r="AS9" s="260"/>
      <c r="AT9" s="260"/>
      <c r="AU9" s="260"/>
      <c r="AV9" s="260"/>
      <c r="AW9" s="260"/>
      <c r="AX9" s="260"/>
      <c r="AY9" s="260"/>
      <c r="AZ9" s="260"/>
      <c r="BA9" s="260"/>
      <c r="BB9" s="260"/>
      <c r="BC9" s="260"/>
      <c r="BD9" s="260"/>
    </row>
    <row r="10" spans="1:56" ht="15">
      <c r="A10" s="254"/>
      <c r="B10" s="254"/>
      <c r="C10" s="254"/>
      <c r="D10" s="254"/>
      <c r="E10" s="255"/>
      <c r="F10" s="256"/>
      <c r="G10" s="257"/>
      <c r="H10" s="257"/>
      <c r="I10" s="258"/>
      <c r="J10" s="258"/>
      <c r="K10" s="259"/>
      <c r="L10" s="259"/>
      <c r="M10" s="259"/>
      <c r="N10" s="259"/>
      <c r="O10" s="259"/>
      <c r="P10" s="259"/>
      <c r="Q10" s="259"/>
      <c r="R10" s="259"/>
      <c r="S10" s="259"/>
      <c r="T10" s="259"/>
      <c r="U10" s="259"/>
      <c r="V10" s="259"/>
      <c r="W10" s="259"/>
      <c r="X10" s="259"/>
      <c r="Y10" s="259"/>
      <c r="Z10" s="259"/>
      <c r="AA10" s="259"/>
      <c r="AB10" s="259"/>
      <c r="AC10" s="259"/>
      <c r="AD10" s="259"/>
      <c r="AE10" s="259"/>
      <c r="AF10" s="260"/>
      <c r="AG10" s="260"/>
      <c r="AH10" s="260"/>
      <c r="AI10" s="260"/>
      <c r="AJ10" s="260"/>
      <c r="AK10" s="260"/>
      <c r="AL10" s="260"/>
      <c r="AM10" s="260"/>
      <c r="AN10" s="260"/>
      <c r="AO10" s="260"/>
      <c r="AP10" s="260"/>
      <c r="AQ10" s="260"/>
      <c r="AR10" s="260"/>
      <c r="AS10" s="260"/>
      <c r="AT10" s="260"/>
      <c r="AU10" s="260"/>
      <c r="AV10" s="260"/>
      <c r="AW10" s="260"/>
      <c r="AX10" s="260"/>
      <c r="AY10" s="260"/>
      <c r="AZ10" s="260"/>
      <c r="BA10" s="260"/>
      <c r="BB10" s="260"/>
      <c r="BC10" s="260"/>
      <c r="BD10" s="260"/>
    </row>
    <row r="11" spans="1:56" ht="15">
      <c r="A11" s="254"/>
      <c r="B11" s="254"/>
      <c r="C11" s="254"/>
      <c r="D11" s="254"/>
      <c r="E11" s="255"/>
      <c r="F11" s="256"/>
      <c r="G11" s="257"/>
      <c r="H11" s="257"/>
      <c r="I11" s="258"/>
      <c r="J11" s="258"/>
      <c r="K11" s="259"/>
      <c r="L11" s="259"/>
      <c r="M11" s="259"/>
      <c r="N11" s="259"/>
      <c r="O11" s="259"/>
      <c r="P11" s="259"/>
      <c r="Q11" s="259"/>
      <c r="R11" s="259"/>
      <c r="S11" s="259"/>
      <c r="T11" s="259"/>
      <c r="U11" s="259"/>
      <c r="V11" s="259"/>
      <c r="W11" s="259"/>
      <c r="X11" s="259"/>
      <c r="Y11" s="259"/>
      <c r="Z11" s="259"/>
      <c r="AA11" s="259"/>
      <c r="AB11" s="259"/>
      <c r="AC11" s="259"/>
      <c r="AD11" s="259"/>
      <c r="AE11" s="259"/>
      <c r="AF11" s="260"/>
      <c r="AG11" s="260"/>
      <c r="AH11" s="260"/>
      <c r="AI11" s="260"/>
      <c r="AJ11" s="260"/>
      <c r="AK11" s="260"/>
      <c r="AL11" s="260"/>
      <c r="AM11" s="260"/>
      <c r="AN11" s="260"/>
      <c r="AO11" s="260"/>
      <c r="AP11" s="260"/>
      <c r="AQ11" s="260"/>
      <c r="AR11" s="260"/>
      <c r="AS11" s="260"/>
      <c r="AT11" s="260"/>
      <c r="AU11" s="260"/>
      <c r="AV11" s="260"/>
      <c r="AW11" s="260"/>
      <c r="AX11" s="260"/>
      <c r="AY11" s="260"/>
      <c r="AZ11" s="260"/>
      <c r="BA11" s="260"/>
      <c r="BB11" s="260"/>
      <c r="BC11" s="260"/>
      <c r="BD11" s="260"/>
    </row>
    <row r="12" spans="1:56" ht="15">
      <c r="A12" s="254"/>
      <c r="B12" s="254"/>
      <c r="C12" s="254"/>
      <c r="D12" s="254"/>
      <c r="E12" s="255"/>
      <c r="F12" s="256"/>
      <c r="G12" s="257"/>
      <c r="H12" s="257"/>
      <c r="I12" s="258"/>
      <c r="J12" s="258"/>
      <c r="K12" s="259"/>
      <c r="L12" s="259"/>
      <c r="M12" s="259"/>
      <c r="N12" s="259"/>
      <c r="O12" s="259"/>
      <c r="P12" s="259"/>
      <c r="Q12" s="259"/>
      <c r="R12" s="259"/>
      <c r="S12" s="259"/>
      <c r="T12" s="259"/>
      <c r="U12" s="259"/>
      <c r="V12" s="259"/>
      <c r="W12" s="259"/>
      <c r="X12" s="259"/>
      <c r="Y12" s="259"/>
      <c r="Z12" s="259"/>
      <c r="AA12" s="259"/>
      <c r="AB12" s="259"/>
      <c r="AC12" s="259"/>
      <c r="AD12" s="259"/>
      <c r="AE12" s="259"/>
      <c r="AF12" s="260"/>
      <c r="AG12" s="260"/>
      <c r="AH12" s="260"/>
      <c r="AI12" s="260"/>
      <c r="AJ12" s="260"/>
      <c r="AK12" s="260"/>
      <c r="AL12" s="260"/>
      <c r="AM12" s="260"/>
      <c r="AN12" s="260"/>
      <c r="AO12" s="260"/>
      <c r="AP12" s="260"/>
      <c r="AQ12" s="260"/>
      <c r="AR12" s="260"/>
      <c r="AS12" s="260"/>
      <c r="AT12" s="260"/>
      <c r="AU12" s="260"/>
      <c r="AV12" s="260"/>
      <c r="AW12" s="260"/>
      <c r="AX12" s="260"/>
      <c r="AY12" s="260"/>
      <c r="AZ12" s="260"/>
      <c r="BA12" s="260"/>
      <c r="BB12" s="260"/>
      <c r="BC12" s="260"/>
      <c r="BD12" s="260"/>
    </row>
    <row r="13" spans="1:56" ht="15">
      <c r="A13" s="254"/>
      <c r="B13" s="254"/>
      <c r="C13" s="254"/>
      <c r="D13" s="254"/>
      <c r="E13" s="255"/>
      <c r="F13" s="256"/>
      <c r="G13" s="257"/>
      <c r="H13" s="257"/>
      <c r="I13" s="258"/>
      <c r="J13" s="258"/>
      <c r="K13" s="259"/>
      <c r="L13" s="259"/>
      <c r="M13" s="259"/>
      <c r="N13" s="259"/>
      <c r="O13" s="259"/>
      <c r="P13" s="259"/>
      <c r="Q13" s="259"/>
      <c r="R13" s="259"/>
      <c r="S13" s="259"/>
      <c r="T13" s="259"/>
      <c r="U13" s="259"/>
      <c r="V13" s="259"/>
      <c r="W13" s="259"/>
      <c r="X13" s="259"/>
      <c r="Y13" s="259"/>
      <c r="Z13" s="259"/>
      <c r="AA13" s="259"/>
      <c r="AB13" s="259"/>
      <c r="AC13" s="259"/>
      <c r="AD13" s="259"/>
      <c r="AE13" s="259"/>
      <c r="AF13" s="260"/>
      <c r="AG13" s="260"/>
      <c r="AH13" s="260"/>
      <c r="AI13" s="260"/>
      <c r="AJ13" s="260"/>
      <c r="AK13" s="260"/>
      <c r="AL13" s="260"/>
      <c r="AM13" s="260"/>
      <c r="AN13" s="260"/>
      <c r="AO13" s="260"/>
      <c r="AP13" s="260"/>
      <c r="AQ13" s="260"/>
      <c r="AR13" s="260"/>
      <c r="AS13" s="260"/>
      <c r="AT13" s="260"/>
      <c r="AU13" s="260"/>
      <c r="AV13" s="260"/>
      <c r="AW13" s="260"/>
      <c r="AX13" s="260"/>
      <c r="AY13" s="260"/>
      <c r="AZ13" s="260"/>
      <c r="BA13" s="260"/>
      <c r="BB13" s="260"/>
      <c r="BC13" s="260"/>
      <c r="BD13" s="260"/>
    </row>
    <row r="14" spans="1:56" ht="15">
      <c r="A14" s="254"/>
      <c r="B14" s="254"/>
      <c r="C14" s="254"/>
      <c r="D14" s="254"/>
      <c r="E14" s="255"/>
      <c r="F14" s="256"/>
      <c r="G14" s="257"/>
      <c r="H14" s="257"/>
      <c r="I14" s="258"/>
      <c r="J14" s="258"/>
      <c r="K14" s="259"/>
      <c r="L14" s="259"/>
      <c r="M14" s="259"/>
      <c r="N14" s="259"/>
      <c r="O14" s="259"/>
      <c r="P14" s="259"/>
      <c r="Q14" s="259"/>
      <c r="R14" s="259"/>
      <c r="S14" s="259"/>
      <c r="T14" s="259"/>
      <c r="U14" s="259"/>
      <c r="V14" s="259"/>
      <c r="W14" s="259"/>
      <c r="X14" s="259"/>
      <c r="Y14" s="259"/>
      <c r="Z14" s="259"/>
      <c r="AA14" s="259"/>
      <c r="AB14" s="259"/>
      <c r="AC14" s="259"/>
      <c r="AD14" s="259"/>
      <c r="AE14" s="259"/>
      <c r="AF14" s="260"/>
      <c r="AG14" s="260"/>
      <c r="AH14" s="260"/>
      <c r="AI14" s="260"/>
      <c r="AJ14" s="260"/>
      <c r="AK14" s="260"/>
      <c r="AL14" s="260"/>
      <c r="AM14" s="260"/>
      <c r="AN14" s="260"/>
      <c r="AO14" s="260"/>
      <c r="AP14" s="260"/>
      <c r="AQ14" s="260"/>
      <c r="AR14" s="260"/>
      <c r="AS14" s="260"/>
      <c r="AT14" s="260"/>
      <c r="AU14" s="260"/>
      <c r="AV14" s="260"/>
      <c r="AW14" s="260"/>
      <c r="AX14" s="260"/>
      <c r="AY14" s="260"/>
      <c r="AZ14" s="260"/>
      <c r="BA14" s="260"/>
      <c r="BB14" s="260"/>
      <c r="BC14" s="260"/>
      <c r="BD14" s="260"/>
    </row>
    <row r="15" spans="1:56" ht="15">
      <c r="A15" s="254"/>
      <c r="B15" s="254"/>
      <c r="C15" s="254"/>
      <c r="D15" s="254"/>
      <c r="E15" s="255"/>
      <c r="F15" s="256"/>
      <c r="G15" s="257"/>
      <c r="H15" s="257"/>
      <c r="I15" s="258"/>
      <c r="J15" s="258"/>
      <c r="K15" s="259"/>
      <c r="L15" s="259"/>
      <c r="M15" s="259"/>
      <c r="N15" s="259"/>
      <c r="O15" s="259"/>
      <c r="P15" s="259"/>
      <c r="Q15" s="259"/>
      <c r="R15" s="259"/>
      <c r="S15" s="259"/>
      <c r="T15" s="259"/>
      <c r="U15" s="259"/>
      <c r="V15" s="259"/>
      <c r="W15" s="259"/>
      <c r="X15" s="259"/>
      <c r="Y15" s="259"/>
      <c r="Z15" s="259"/>
      <c r="AA15" s="259"/>
      <c r="AB15" s="259"/>
      <c r="AC15" s="259"/>
      <c r="AD15" s="259"/>
      <c r="AE15" s="259"/>
      <c r="AF15" s="260"/>
      <c r="AG15" s="260"/>
      <c r="AH15" s="260"/>
      <c r="AI15" s="260"/>
      <c r="AJ15" s="260"/>
      <c r="AK15" s="260"/>
      <c r="AL15" s="260"/>
      <c r="AM15" s="260"/>
      <c r="AN15" s="260"/>
      <c r="AO15" s="260"/>
      <c r="AP15" s="260"/>
      <c r="AQ15" s="260"/>
      <c r="AR15" s="260"/>
      <c r="AS15" s="260"/>
      <c r="AT15" s="260"/>
      <c r="AU15" s="260"/>
      <c r="AV15" s="260"/>
      <c r="AW15" s="260"/>
      <c r="AX15" s="260"/>
      <c r="AY15" s="260"/>
      <c r="AZ15" s="260"/>
      <c r="BA15" s="260"/>
      <c r="BB15" s="260"/>
      <c r="BC15" s="260"/>
      <c r="BD15" s="260"/>
    </row>
    <row r="16" spans="1:56" ht="15">
      <c r="A16" s="254"/>
      <c r="B16" s="254"/>
      <c r="C16" s="254"/>
      <c r="D16" s="254"/>
      <c r="E16" s="255"/>
      <c r="F16" s="256"/>
      <c r="G16" s="257"/>
      <c r="H16" s="257"/>
      <c r="I16" s="258"/>
      <c r="J16" s="258"/>
      <c r="K16" s="259"/>
      <c r="L16" s="259"/>
      <c r="M16" s="259"/>
      <c r="N16" s="259"/>
      <c r="O16" s="259"/>
      <c r="P16" s="259"/>
      <c r="Q16" s="259"/>
      <c r="R16" s="259"/>
      <c r="S16" s="259"/>
      <c r="T16" s="259"/>
      <c r="U16" s="259"/>
      <c r="V16" s="259"/>
      <c r="W16" s="259"/>
      <c r="X16" s="259"/>
      <c r="Y16" s="259"/>
      <c r="Z16" s="259"/>
      <c r="AA16" s="259"/>
      <c r="AB16" s="259"/>
      <c r="AC16" s="259"/>
      <c r="AD16" s="259"/>
      <c r="AE16" s="259"/>
      <c r="AF16" s="260"/>
      <c r="AG16" s="260"/>
      <c r="AH16" s="260"/>
      <c r="AI16" s="260"/>
      <c r="AJ16" s="260"/>
      <c r="AK16" s="260"/>
      <c r="AL16" s="260"/>
      <c r="AM16" s="260"/>
      <c r="AN16" s="260"/>
      <c r="AO16" s="260"/>
      <c r="AP16" s="260"/>
      <c r="AQ16" s="260"/>
      <c r="AR16" s="260"/>
      <c r="AS16" s="260"/>
      <c r="AT16" s="260"/>
      <c r="AU16" s="260"/>
      <c r="AV16" s="260"/>
      <c r="AW16" s="260"/>
      <c r="AX16" s="260"/>
      <c r="AY16" s="260"/>
      <c r="AZ16" s="260"/>
      <c r="BA16" s="260"/>
      <c r="BB16" s="260"/>
      <c r="BC16" s="260"/>
      <c r="BD16" s="260"/>
    </row>
    <row r="17" spans="1:56" ht="15">
      <c r="A17" s="254"/>
      <c r="B17" s="254"/>
      <c r="C17" s="254"/>
      <c r="D17" s="254"/>
      <c r="E17" s="255"/>
      <c r="F17" s="256"/>
      <c r="G17" s="257"/>
      <c r="H17" s="257"/>
      <c r="I17" s="258"/>
      <c r="J17" s="258"/>
      <c r="K17" s="259"/>
      <c r="L17" s="259"/>
      <c r="M17" s="259"/>
      <c r="N17" s="259"/>
      <c r="O17" s="259"/>
      <c r="P17" s="259"/>
      <c r="Q17" s="259"/>
      <c r="R17" s="259"/>
      <c r="S17" s="259"/>
      <c r="T17" s="259"/>
      <c r="U17" s="259"/>
      <c r="V17" s="259"/>
      <c r="W17" s="259"/>
      <c r="X17" s="259"/>
      <c r="Y17" s="259"/>
      <c r="Z17" s="259"/>
      <c r="AA17" s="259"/>
      <c r="AB17" s="259"/>
      <c r="AC17" s="259"/>
      <c r="AD17" s="259"/>
      <c r="AE17" s="259"/>
      <c r="AF17" s="260"/>
      <c r="AG17" s="260"/>
      <c r="AH17" s="260"/>
      <c r="AI17" s="260"/>
      <c r="AJ17" s="260"/>
      <c r="AK17" s="260"/>
      <c r="AL17" s="260"/>
      <c r="AM17" s="260"/>
      <c r="AN17" s="260"/>
      <c r="AO17" s="260"/>
      <c r="AP17" s="260"/>
      <c r="AQ17" s="260"/>
      <c r="AR17" s="260"/>
      <c r="AS17" s="260"/>
      <c r="AT17" s="260"/>
      <c r="AU17" s="260"/>
      <c r="AV17" s="260"/>
      <c r="AW17" s="260"/>
      <c r="AX17" s="260"/>
      <c r="AY17" s="260"/>
      <c r="AZ17" s="260"/>
      <c r="BA17" s="260"/>
      <c r="BB17" s="260"/>
      <c r="BC17" s="260"/>
      <c r="BD17" s="260"/>
    </row>
    <row r="18" spans="1:56" ht="15">
      <c r="A18" s="254"/>
      <c r="B18" s="254"/>
      <c r="C18" s="254"/>
      <c r="D18" s="254"/>
      <c r="E18" s="255"/>
      <c r="F18" s="256"/>
      <c r="G18" s="257"/>
      <c r="H18" s="257"/>
      <c r="I18" s="258"/>
      <c r="J18" s="258"/>
      <c r="K18" s="259"/>
      <c r="L18" s="259"/>
      <c r="M18" s="259"/>
      <c r="N18" s="259"/>
      <c r="O18" s="259"/>
      <c r="P18" s="259"/>
      <c r="Q18" s="259"/>
      <c r="R18" s="259"/>
      <c r="S18" s="259"/>
      <c r="T18" s="259"/>
      <c r="U18" s="259"/>
      <c r="V18" s="259"/>
      <c r="W18" s="259"/>
      <c r="X18" s="259"/>
      <c r="Y18" s="259"/>
      <c r="Z18" s="259"/>
      <c r="AA18" s="259"/>
      <c r="AB18" s="259"/>
      <c r="AC18" s="259"/>
      <c r="AD18" s="259"/>
      <c r="AE18" s="259"/>
      <c r="AF18" s="260"/>
      <c r="AG18" s="260"/>
      <c r="AH18" s="260"/>
      <c r="AI18" s="260"/>
      <c r="AJ18" s="260"/>
      <c r="AK18" s="260"/>
      <c r="AL18" s="260"/>
      <c r="AM18" s="260"/>
      <c r="AN18" s="260"/>
      <c r="AO18" s="260"/>
      <c r="AP18" s="260"/>
      <c r="AQ18" s="260"/>
      <c r="AR18" s="260"/>
      <c r="AS18" s="260"/>
      <c r="AT18" s="260"/>
      <c r="AU18" s="260"/>
      <c r="AV18" s="260"/>
      <c r="AW18" s="260"/>
      <c r="AX18" s="260"/>
      <c r="AY18" s="260"/>
      <c r="AZ18" s="260"/>
      <c r="BA18" s="260"/>
      <c r="BB18" s="260"/>
      <c r="BC18" s="260"/>
      <c r="BD18" s="260"/>
    </row>
    <row r="19" spans="1:56" ht="15">
      <c r="A19" s="254"/>
      <c r="B19" s="254"/>
      <c r="C19" s="254"/>
      <c r="D19" s="254"/>
      <c r="E19" s="255"/>
      <c r="F19" s="256"/>
      <c r="G19" s="257"/>
      <c r="H19" s="257"/>
      <c r="I19" s="258"/>
      <c r="J19" s="258"/>
      <c r="K19" s="259"/>
      <c r="L19" s="259"/>
      <c r="M19" s="259"/>
      <c r="N19" s="259"/>
      <c r="O19" s="259"/>
      <c r="P19" s="259"/>
      <c r="Q19" s="259"/>
      <c r="R19" s="259"/>
      <c r="S19" s="259"/>
      <c r="T19" s="259"/>
      <c r="U19" s="259"/>
      <c r="V19" s="259"/>
      <c r="W19" s="259"/>
      <c r="X19" s="259"/>
      <c r="Y19" s="259"/>
      <c r="Z19" s="259"/>
      <c r="AA19" s="259"/>
      <c r="AB19" s="259"/>
      <c r="AC19" s="259"/>
      <c r="AD19" s="259"/>
      <c r="AE19" s="259"/>
      <c r="AF19" s="260"/>
      <c r="AG19" s="260"/>
      <c r="AH19" s="260"/>
      <c r="AI19" s="260"/>
      <c r="AJ19" s="260"/>
      <c r="AK19" s="260"/>
      <c r="AL19" s="260"/>
      <c r="AM19" s="260"/>
      <c r="AN19" s="260"/>
      <c r="AO19" s="260"/>
      <c r="AP19" s="260"/>
      <c r="AQ19" s="260"/>
      <c r="AR19" s="260"/>
      <c r="AS19" s="260"/>
      <c r="AT19" s="260"/>
      <c r="AU19" s="260"/>
      <c r="AV19" s="260"/>
      <c r="AW19" s="260"/>
      <c r="AX19" s="260"/>
      <c r="AY19" s="260"/>
      <c r="AZ19" s="260"/>
      <c r="BA19" s="260"/>
      <c r="BB19" s="260"/>
      <c r="BC19" s="260"/>
      <c r="BD19" s="260"/>
    </row>
    <row r="20" spans="1:56" ht="15">
      <c r="A20" s="254"/>
      <c r="B20" s="254"/>
      <c r="C20" s="254"/>
      <c r="D20" s="254"/>
      <c r="E20" s="255"/>
      <c r="F20" s="256"/>
      <c r="G20" s="257"/>
      <c r="H20" s="257"/>
      <c r="I20" s="258"/>
      <c r="J20" s="258"/>
      <c r="K20" s="259"/>
      <c r="L20" s="259"/>
      <c r="M20" s="259"/>
      <c r="N20" s="259"/>
      <c r="O20" s="259"/>
      <c r="P20" s="259"/>
      <c r="Q20" s="259"/>
      <c r="R20" s="259"/>
      <c r="S20" s="259"/>
      <c r="T20" s="259"/>
      <c r="U20" s="259"/>
      <c r="V20" s="259"/>
      <c r="W20" s="259"/>
      <c r="X20" s="259"/>
      <c r="Y20" s="259"/>
      <c r="Z20" s="259"/>
      <c r="AA20" s="259"/>
      <c r="AB20" s="259"/>
      <c r="AC20" s="259"/>
      <c r="AD20" s="259"/>
      <c r="AE20" s="259"/>
      <c r="AF20" s="260"/>
      <c r="AG20" s="260"/>
      <c r="AH20" s="260"/>
      <c r="AI20" s="260"/>
      <c r="AJ20" s="260"/>
      <c r="AK20" s="260"/>
      <c r="AL20" s="260"/>
      <c r="AM20" s="260"/>
      <c r="AN20" s="260"/>
      <c r="AO20" s="260"/>
      <c r="AP20" s="260"/>
      <c r="AQ20" s="260"/>
      <c r="AR20" s="260"/>
      <c r="AS20" s="260"/>
      <c r="AT20" s="260"/>
      <c r="AU20" s="260"/>
      <c r="AV20" s="260"/>
      <c r="AW20" s="260"/>
      <c r="AX20" s="260"/>
      <c r="AY20" s="260"/>
      <c r="AZ20" s="260"/>
      <c r="BA20" s="260"/>
      <c r="BB20" s="260"/>
      <c r="BC20" s="260"/>
      <c r="BD20" s="260"/>
    </row>
    <row r="21" spans="1:56" ht="15">
      <c r="A21" s="254"/>
      <c r="B21" s="254"/>
      <c r="C21" s="254"/>
      <c r="D21" s="254"/>
      <c r="E21" s="255"/>
      <c r="F21" s="256"/>
      <c r="G21" s="257"/>
      <c r="H21" s="257"/>
      <c r="I21" s="258"/>
      <c r="J21" s="258"/>
      <c r="K21" s="259"/>
      <c r="L21" s="259"/>
      <c r="M21" s="259"/>
      <c r="N21" s="259"/>
      <c r="O21" s="259"/>
      <c r="P21" s="259"/>
      <c r="Q21" s="259"/>
      <c r="R21" s="259"/>
      <c r="S21" s="259"/>
      <c r="T21" s="259"/>
      <c r="U21" s="259"/>
      <c r="V21" s="259"/>
      <c r="W21" s="259"/>
      <c r="X21" s="259"/>
      <c r="Y21" s="259"/>
      <c r="Z21" s="259"/>
      <c r="AA21" s="259"/>
      <c r="AB21" s="259"/>
      <c r="AC21" s="259"/>
      <c r="AD21" s="259"/>
      <c r="AE21" s="259"/>
      <c r="AF21" s="260"/>
      <c r="AG21" s="260"/>
      <c r="AH21" s="260"/>
      <c r="AI21" s="260"/>
      <c r="AJ21" s="260"/>
      <c r="AK21" s="260"/>
      <c r="AL21" s="260"/>
      <c r="AM21" s="260"/>
      <c r="AN21" s="260"/>
      <c r="AO21" s="260"/>
      <c r="AP21" s="260"/>
      <c r="AQ21" s="260"/>
      <c r="AR21" s="260"/>
      <c r="AS21" s="260"/>
      <c r="AT21" s="260"/>
      <c r="AU21" s="260"/>
      <c r="AV21" s="260"/>
      <c r="AW21" s="260"/>
      <c r="AX21" s="260"/>
      <c r="AY21" s="260"/>
      <c r="AZ21" s="260"/>
      <c r="BA21" s="260"/>
      <c r="BB21" s="260"/>
      <c r="BC21" s="260"/>
      <c r="BD21" s="260"/>
    </row>
    <row r="22" spans="1:56" ht="15">
      <c r="A22" s="254"/>
      <c r="B22" s="254"/>
      <c r="C22" s="254"/>
      <c r="D22" s="254"/>
      <c r="E22" s="255"/>
      <c r="F22" s="256"/>
      <c r="G22" s="257"/>
      <c r="H22" s="257"/>
      <c r="I22" s="258"/>
      <c r="J22" s="258"/>
      <c r="K22" s="259"/>
      <c r="L22" s="259"/>
      <c r="M22" s="259"/>
      <c r="N22" s="259"/>
      <c r="O22" s="259"/>
      <c r="P22" s="259"/>
      <c r="Q22" s="259"/>
      <c r="R22" s="259"/>
      <c r="S22" s="259"/>
      <c r="T22" s="259"/>
      <c r="U22" s="259"/>
      <c r="V22" s="259"/>
      <c r="W22" s="259"/>
      <c r="X22" s="259"/>
      <c r="Y22" s="259"/>
      <c r="Z22" s="259"/>
      <c r="AA22" s="259"/>
      <c r="AB22" s="259"/>
      <c r="AC22" s="259"/>
      <c r="AD22" s="259"/>
      <c r="AE22" s="259"/>
      <c r="AF22" s="260"/>
      <c r="AG22" s="260"/>
      <c r="AH22" s="260"/>
      <c r="AI22" s="260"/>
      <c r="AJ22" s="260"/>
      <c r="AK22" s="260"/>
      <c r="AL22" s="260"/>
      <c r="AM22" s="260"/>
      <c r="AN22" s="260"/>
      <c r="AO22" s="260"/>
      <c r="AP22" s="260"/>
      <c r="AQ22" s="260"/>
      <c r="AR22" s="260"/>
      <c r="AS22" s="260"/>
      <c r="AT22" s="260"/>
      <c r="AU22" s="260"/>
      <c r="AV22" s="260"/>
      <c r="AW22" s="260"/>
      <c r="AX22" s="260"/>
      <c r="AY22" s="260"/>
      <c r="AZ22" s="260"/>
      <c r="BA22" s="260"/>
      <c r="BB22" s="260"/>
      <c r="BC22" s="260"/>
      <c r="BD22" s="260"/>
    </row>
    <row r="23" spans="1:56" ht="15">
      <c r="A23" s="254"/>
      <c r="B23" s="254"/>
      <c r="C23" s="254"/>
      <c r="D23" s="254"/>
      <c r="E23" s="255"/>
      <c r="F23" s="256"/>
      <c r="G23" s="257"/>
      <c r="H23" s="257"/>
      <c r="I23" s="258"/>
      <c r="J23" s="258"/>
      <c r="K23" s="259"/>
      <c r="L23" s="259"/>
      <c r="M23" s="259"/>
      <c r="N23" s="259"/>
      <c r="O23" s="259"/>
      <c r="P23" s="259"/>
      <c r="Q23" s="259"/>
      <c r="R23" s="259"/>
      <c r="S23" s="259"/>
      <c r="T23" s="259"/>
      <c r="U23" s="259"/>
      <c r="V23" s="259"/>
      <c r="W23" s="259"/>
      <c r="X23" s="259"/>
      <c r="Y23" s="259"/>
      <c r="Z23" s="259"/>
      <c r="AA23" s="259"/>
      <c r="AB23" s="259"/>
      <c r="AC23" s="259"/>
      <c r="AD23" s="259"/>
      <c r="AE23" s="259"/>
      <c r="AF23" s="260"/>
      <c r="AG23" s="260"/>
      <c r="AH23" s="260"/>
      <c r="AI23" s="260"/>
      <c r="AJ23" s="260"/>
      <c r="AK23" s="260"/>
      <c r="AL23" s="260"/>
      <c r="AM23" s="260"/>
      <c r="AN23" s="260"/>
      <c r="AO23" s="260"/>
      <c r="AP23" s="260"/>
      <c r="AQ23" s="260"/>
      <c r="AR23" s="260"/>
      <c r="AS23" s="260"/>
      <c r="AT23" s="260"/>
      <c r="AU23" s="260"/>
      <c r="AV23" s="260"/>
      <c r="AW23" s="260"/>
      <c r="AX23" s="260"/>
      <c r="AY23" s="260"/>
      <c r="AZ23" s="260"/>
      <c r="BA23" s="260"/>
      <c r="BB23" s="260"/>
      <c r="BC23" s="260"/>
      <c r="BD23" s="260"/>
    </row>
    <row r="24" spans="1:56" ht="15">
      <c r="A24" s="254"/>
      <c r="B24" s="254"/>
      <c r="C24" s="254"/>
      <c r="D24" s="254"/>
      <c r="E24" s="255"/>
      <c r="F24" s="256"/>
      <c r="G24" s="257"/>
      <c r="H24" s="257"/>
      <c r="I24" s="258"/>
      <c r="J24" s="258"/>
      <c r="K24" s="259"/>
      <c r="L24" s="259"/>
      <c r="M24" s="259"/>
      <c r="N24" s="259"/>
      <c r="O24" s="259"/>
      <c r="P24" s="259"/>
      <c r="Q24" s="259"/>
      <c r="R24" s="259"/>
      <c r="S24" s="259"/>
      <c r="T24" s="259"/>
      <c r="U24" s="259"/>
      <c r="V24" s="259"/>
      <c r="W24" s="259"/>
      <c r="X24" s="259"/>
      <c r="Y24" s="259"/>
      <c r="Z24" s="259"/>
      <c r="AA24" s="259"/>
      <c r="AB24" s="259"/>
      <c r="AC24" s="259"/>
      <c r="AD24" s="259"/>
      <c r="AE24" s="259"/>
      <c r="AF24" s="260"/>
      <c r="AG24" s="260"/>
      <c r="AH24" s="260"/>
      <c r="AI24" s="260"/>
      <c r="AJ24" s="260"/>
      <c r="AK24" s="260"/>
      <c r="AL24" s="260"/>
      <c r="AM24" s="260"/>
      <c r="AN24" s="260"/>
      <c r="AO24" s="260"/>
      <c r="AP24" s="260"/>
      <c r="AQ24" s="260"/>
      <c r="AR24" s="260"/>
      <c r="AS24" s="260"/>
      <c r="AT24" s="260"/>
      <c r="AU24" s="260"/>
      <c r="AV24" s="260"/>
      <c r="AW24" s="260"/>
      <c r="AX24" s="260"/>
      <c r="AY24" s="260"/>
      <c r="AZ24" s="260"/>
      <c r="BA24" s="260"/>
      <c r="BB24" s="260"/>
      <c r="BC24" s="260"/>
      <c r="BD24" s="260"/>
    </row>
    <row r="25" spans="1:56" ht="15">
      <c r="A25" s="254"/>
      <c r="B25" s="254"/>
      <c r="C25" s="254"/>
      <c r="D25" s="254"/>
      <c r="E25" s="255"/>
      <c r="F25" s="256"/>
      <c r="G25" s="257"/>
      <c r="H25" s="257"/>
      <c r="I25" s="258"/>
      <c r="J25" s="258"/>
      <c r="K25" s="259"/>
      <c r="L25" s="259"/>
      <c r="M25" s="259"/>
      <c r="N25" s="259"/>
      <c r="O25" s="259"/>
      <c r="P25" s="259"/>
      <c r="Q25" s="259"/>
      <c r="R25" s="259"/>
      <c r="S25" s="259"/>
      <c r="T25" s="259"/>
      <c r="U25" s="259"/>
      <c r="V25" s="259"/>
      <c r="W25" s="259"/>
      <c r="X25" s="259"/>
      <c r="Y25" s="259"/>
      <c r="Z25" s="259"/>
      <c r="AA25" s="259"/>
      <c r="AB25" s="259"/>
      <c r="AC25" s="259"/>
      <c r="AD25" s="259"/>
      <c r="AE25" s="259"/>
      <c r="AF25" s="260"/>
      <c r="AG25" s="260"/>
      <c r="AH25" s="260"/>
      <c r="AI25" s="260"/>
      <c r="AJ25" s="260"/>
      <c r="AK25" s="260"/>
      <c r="AL25" s="260"/>
      <c r="AM25" s="260"/>
      <c r="AN25" s="260"/>
      <c r="AO25" s="260"/>
      <c r="AP25" s="260"/>
      <c r="AQ25" s="260"/>
      <c r="AR25" s="260"/>
      <c r="AS25" s="260"/>
      <c r="AT25" s="260"/>
      <c r="AU25" s="260"/>
      <c r="AV25" s="260"/>
      <c r="AW25" s="260"/>
      <c r="AX25" s="260"/>
      <c r="AY25" s="260"/>
      <c r="AZ25" s="260"/>
      <c r="BA25" s="260"/>
      <c r="BB25" s="260"/>
      <c r="BC25" s="260"/>
      <c r="BD25" s="260"/>
    </row>
    <row r="26" spans="1:56" ht="15">
      <c r="A26" s="254"/>
      <c r="B26" s="254"/>
      <c r="C26" s="254"/>
      <c r="D26" s="254"/>
      <c r="E26" s="255"/>
      <c r="F26" s="256"/>
      <c r="G26" s="257"/>
      <c r="H26" s="257"/>
      <c r="I26" s="258"/>
      <c r="J26" s="258"/>
      <c r="K26" s="259"/>
      <c r="L26" s="259"/>
      <c r="M26" s="259"/>
      <c r="N26" s="259"/>
      <c r="O26" s="259"/>
      <c r="P26" s="259"/>
      <c r="Q26" s="259"/>
      <c r="R26" s="259"/>
      <c r="S26" s="259"/>
      <c r="T26" s="259"/>
      <c r="U26" s="259"/>
      <c r="V26" s="259"/>
      <c r="W26" s="259"/>
      <c r="X26" s="259"/>
      <c r="Y26" s="259"/>
      <c r="Z26" s="259"/>
      <c r="AA26" s="259"/>
      <c r="AB26" s="259"/>
      <c r="AC26" s="259"/>
      <c r="AD26" s="259"/>
      <c r="AE26" s="259"/>
      <c r="AF26" s="260"/>
      <c r="AG26" s="260"/>
      <c r="AH26" s="260"/>
      <c r="AI26" s="260"/>
      <c r="AJ26" s="260"/>
      <c r="AK26" s="260"/>
      <c r="AL26" s="260"/>
      <c r="AM26" s="260"/>
      <c r="AN26" s="260"/>
      <c r="AO26" s="260"/>
      <c r="AP26" s="260"/>
      <c r="AQ26" s="260"/>
      <c r="AR26" s="260"/>
      <c r="AS26" s="260"/>
      <c r="AT26" s="260"/>
      <c r="AU26" s="260"/>
      <c r="AV26" s="260"/>
      <c r="AW26" s="260"/>
      <c r="AX26" s="260"/>
      <c r="AY26" s="260"/>
      <c r="AZ26" s="260"/>
      <c r="BA26" s="260"/>
      <c r="BB26" s="260"/>
      <c r="BC26" s="260"/>
      <c r="BD26" s="260"/>
    </row>
    <row r="27" spans="1:56" ht="15">
      <c r="A27" s="254"/>
      <c r="B27" s="254"/>
      <c r="C27" s="254"/>
      <c r="D27" s="254"/>
      <c r="E27" s="255"/>
      <c r="F27" s="256"/>
      <c r="G27" s="257"/>
      <c r="H27" s="257"/>
      <c r="I27" s="258"/>
      <c r="J27" s="258"/>
      <c r="K27" s="259"/>
      <c r="L27" s="259"/>
      <c r="M27" s="259"/>
      <c r="N27" s="259"/>
      <c r="O27" s="259"/>
      <c r="P27" s="259"/>
      <c r="Q27" s="259"/>
      <c r="R27" s="259"/>
      <c r="S27" s="259"/>
      <c r="T27" s="259"/>
      <c r="U27" s="259"/>
      <c r="V27" s="259"/>
      <c r="W27" s="259"/>
      <c r="X27" s="259"/>
      <c r="Y27" s="259"/>
      <c r="Z27" s="259"/>
      <c r="AA27" s="259"/>
      <c r="AB27" s="259"/>
      <c r="AC27" s="259"/>
      <c r="AD27" s="259"/>
      <c r="AE27" s="259"/>
      <c r="AF27" s="260"/>
      <c r="AG27" s="260"/>
      <c r="AH27" s="260"/>
      <c r="AI27" s="260"/>
      <c r="AJ27" s="260"/>
      <c r="AK27" s="260"/>
      <c r="AL27" s="260"/>
      <c r="AM27" s="260"/>
      <c r="AN27" s="260"/>
      <c r="AO27" s="260"/>
      <c r="AP27" s="260"/>
      <c r="AQ27" s="260"/>
      <c r="AR27" s="260"/>
      <c r="AS27" s="260"/>
      <c r="AT27" s="260"/>
      <c r="AU27" s="260"/>
      <c r="AV27" s="260"/>
      <c r="AW27" s="260"/>
      <c r="AX27" s="260"/>
      <c r="AY27" s="260"/>
      <c r="AZ27" s="260"/>
      <c r="BA27" s="260"/>
      <c r="BB27" s="260"/>
      <c r="BC27" s="260"/>
      <c r="BD27" s="260"/>
    </row>
    <row r="28" spans="1:56" ht="15">
      <c r="A28" s="254"/>
      <c r="B28" s="254"/>
      <c r="C28" s="254"/>
      <c r="D28" s="254"/>
      <c r="E28" s="255"/>
      <c r="F28" s="256"/>
      <c r="G28" s="257"/>
      <c r="H28" s="257"/>
      <c r="I28" s="258"/>
      <c r="J28" s="258"/>
      <c r="K28" s="259"/>
      <c r="L28" s="259"/>
      <c r="M28" s="259"/>
      <c r="N28" s="259"/>
      <c r="O28" s="259"/>
      <c r="P28" s="259"/>
      <c r="Q28" s="259"/>
      <c r="R28" s="259"/>
      <c r="S28" s="259"/>
      <c r="T28" s="259"/>
      <c r="U28" s="259"/>
      <c r="V28" s="259"/>
      <c r="W28" s="259"/>
      <c r="X28" s="259"/>
      <c r="Y28" s="259"/>
      <c r="Z28" s="259"/>
      <c r="AA28" s="259"/>
      <c r="AB28" s="259"/>
      <c r="AC28" s="259"/>
      <c r="AD28" s="259"/>
      <c r="AE28" s="259"/>
      <c r="AF28" s="260"/>
      <c r="AG28" s="260"/>
      <c r="AH28" s="260"/>
      <c r="AI28" s="260"/>
      <c r="AJ28" s="260"/>
      <c r="AK28" s="260"/>
      <c r="AL28" s="260"/>
      <c r="AM28" s="260"/>
      <c r="AN28" s="260"/>
      <c r="AO28" s="260"/>
      <c r="AP28" s="260"/>
      <c r="AQ28" s="260"/>
      <c r="AR28" s="260"/>
      <c r="AS28" s="260"/>
      <c r="AT28" s="260"/>
      <c r="AU28" s="260"/>
      <c r="AV28" s="260"/>
      <c r="AW28" s="260"/>
      <c r="AX28" s="260"/>
      <c r="AY28" s="260"/>
      <c r="AZ28" s="260"/>
      <c r="BA28" s="260"/>
      <c r="BB28" s="260"/>
      <c r="BC28" s="260"/>
      <c r="BD28" s="260"/>
    </row>
    <row r="29" spans="1:56" ht="15">
      <c r="A29" s="254"/>
      <c r="B29" s="254"/>
      <c r="C29" s="254"/>
      <c r="D29" s="254"/>
      <c r="E29" s="255"/>
      <c r="F29" s="256"/>
      <c r="G29" s="257"/>
      <c r="H29" s="257"/>
      <c r="I29" s="258"/>
      <c r="J29" s="258"/>
      <c r="K29" s="259"/>
      <c r="L29" s="259"/>
      <c r="M29" s="259"/>
      <c r="N29" s="259"/>
      <c r="O29" s="259"/>
      <c r="P29" s="259"/>
      <c r="Q29" s="259"/>
      <c r="R29" s="259"/>
      <c r="S29" s="259"/>
      <c r="T29" s="259"/>
      <c r="U29" s="259"/>
      <c r="V29" s="259"/>
      <c r="W29" s="259"/>
      <c r="X29" s="259"/>
      <c r="Y29" s="259"/>
      <c r="Z29" s="259"/>
      <c r="AA29" s="259"/>
      <c r="AB29" s="259"/>
      <c r="AC29" s="259"/>
      <c r="AD29" s="259"/>
      <c r="AE29" s="259"/>
      <c r="AF29" s="260"/>
      <c r="AG29" s="260"/>
      <c r="AH29" s="260"/>
      <c r="AI29" s="260"/>
      <c r="AJ29" s="260"/>
      <c r="AK29" s="260"/>
      <c r="AL29" s="260"/>
      <c r="AM29" s="260"/>
      <c r="AN29" s="260"/>
      <c r="AO29" s="260"/>
      <c r="AP29" s="260"/>
      <c r="AQ29" s="260"/>
      <c r="AR29" s="260"/>
      <c r="AS29" s="260"/>
      <c r="AT29" s="260"/>
      <c r="AU29" s="260"/>
      <c r="AV29" s="260"/>
      <c r="AW29" s="260"/>
      <c r="AX29" s="260"/>
      <c r="AY29" s="260"/>
      <c r="AZ29" s="260"/>
      <c r="BA29" s="260"/>
      <c r="BB29" s="260"/>
      <c r="BC29" s="260"/>
      <c r="BD29" s="260"/>
    </row>
    <row r="30" spans="1:56" ht="15">
      <c r="A30" s="254"/>
      <c r="B30" s="254"/>
      <c r="C30" s="254"/>
      <c r="D30" s="254"/>
      <c r="E30" s="255"/>
      <c r="F30" s="256"/>
      <c r="G30" s="257"/>
      <c r="H30" s="257"/>
      <c r="I30" s="258"/>
      <c r="J30" s="258"/>
      <c r="K30" s="259"/>
      <c r="L30" s="259"/>
      <c r="M30" s="259"/>
      <c r="N30" s="259"/>
      <c r="O30" s="259"/>
      <c r="P30" s="259"/>
      <c r="Q30" s="259"/>
      <c r="R30" s="259"/>
      <c r="S30" s="259"/>
      <c r="T30" s="259"/>
      <c r="U30" s="259"/>
      <c r="V30" s="259"/>
      <c r="W30" s="259"/>
      <c r="X30" s="259"/>
      <c r="Y30" s="259"/>
      <c r="Z30" s="259"/>
      <c r="AA30" s="259"/>
      <c r="AB30" s="259"/>
      <c r="AC30" s="259"/>
      <c r="AD30" s="259"/>
      <c r="AE30" s="259"/>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260"/>
      <c r="BC30" s="260"/>
      <c r="BD30" s="260"/>
    </row>
    <row r="31" spans="1:56" ht="15">
      <c r="A31" s="254"/>
      <c r="B31" s="254"/>
      <c r="C31" s="254"/>
      <c r="D31" s="254"/>
      <c r="E31" s="255"/>
      <c r="F31" s="256"/>
      <c r="G31" s="257"/>
      <c r="H31" s="257"/>
      <c r="I31" s="258"/>
      <c r="J31" s="258"/>
      <c r="K31" s="259"/>
      <c r="L31" s="259"/>
      <c r="M31" s="259"/>
      <c r="N31" s="259"/>
      <c r="O31" s="259"/>
      <c r="P31" s="259"/>
      <c r="Q31" s="259"/>
      <c r="R31" s="259"/>
      <c r="S31" s="259"/>
      <c r="T31" s="259"/>
      <c r="U31" s="259"/>
      <c r="V31" s="259"/>
      <c r="W31" s="259"/>
      <c r="X31" s="259"/>
      <c r="Y31" s="259"/>
      <c r="Z31" s="259"/>
      <c r="AA31" s="259"/>
      <c r="AB31" s="259"/>
      <c r="AC31" s="259"/>
      <c r="AD31" s="259"/>
      <c r="AE31" s="259"/>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row>
    <row r="32" spans="1:56" ht="15">
      <c r="A32" s="254"/>
      <c r="B32" s="254"/>
      <c r="C32" s="254"/>
      <c r="D32" s="254"/>
      <c r="E32" s="255"/>
      <c r="F32" s="256"/>
      <c r="G32" s="257"/>
      <c r="H32" s="257"/>
      <c r="I32" s="258"/>
      <c r="J32" s="258"/>
      <c r="K32" s="259"/>
      <c r="L32" s="259"/>
      <c r="M32" s="259"/>
      <c r="N32" s="259"/>
      <c r="O32" s="259"/>
      <c r="P32" s="259"/>
      <c r="Q32" s="259"/>
      <c r="R32" s="259"/>
      <c r="S32" s="259"/>
      <c r="T32" s="259"/>
      <c r="U32" s="259"/>
      <c r="V32" s="259"/>
      <c r="W32" s="259"/>
      <c r="X32" s="259"/>
      <c r="Y32" s="259"/>
      <c r="Z32" s="259"/>
      <c r="AA32" s="259"/>
      <c r="AB32" s="259"/>
      <c r="AC32" s="259"/>
      <c r="AD32" s="259"/>
      <c r="AE32" s="259"/>
      <c r="AF32" s="260"/>
      <c r="AG32" s="260"/>
      <c r="AH32" s="260"/>
      <c r="AI32" s="260"/>
      <c r="AJ32" s="260"/>
      <c r="AK32" s="260"/>
      <c r="AL32" s="260"/>
      <c r="AM32" s="260"/>
      <c r="AN32" s="260"/>
      <c r="AO32" s="260"/>
      <c r="AP32" s="260"/>
      <c r="AQ32" s="260"/>
      <c r="AR32" s="260"/>
      <c r="AS32" s="260"/>
      <c r="AT32" s="260"/>
      <c r="AU32" s="260"/>
      <c r="AV32" s="260"/>
      <c r="AW32" s="260"/>
      <c r="AX32" s="260"/>
      <c r="AY32" s="260"/>
      <c r="AZ32" s="260"/>
      <c r="BA32" s="260"/>
      <c r="BB32" s="260"/>
      <c r="BC32" s="260"/>
      <c r="BD32" s="260"/>
    </row>
    <row r="33" spans="1:56" ht="15">
      <c r="A33" s="254"/>
      <c r="B33" s="254"/>
      <c r="C33" s="254"/>
      <c r="D33" s="254"/>
      <c r="E33" s="255"/>
      <c r="F33" s="256"/>
      <c r="G33" s="257"/>
      <c r="H33" s="257"/>
      <c r="I33" s="258"/>
      <c r="J33" s="258"/>
      <c r="K33" s="259"/>
      <c r="L33" s="259"/>
      <c r="M33" s="259"/>
      <c r="N33" s="259"/>
      <c r="O33" s="259"/>
      <c r="P33" s="259"/>
      <c r="Q33" s="259"/>
      <c r="R33" s="259"/>
      <c r="S33" s="259"/>
      <c r="T33" s="259"/>
      <c r="U33" s="259"/>
      <c r="V33" s="259"/>
      <c r="W33" s="259"/>
      <c r="X33" s="259"/>
      <c r="Y33" s="259"/>
      <c r="Z33" s="259"/>
      <c r="AA33" s="259"/>
      <c r="AB33" s="259"/>
      <c r="AC33" s="259"/>
      <c r="AD33" s="259"/>
      <c r="AE33" s="259"/>
      <c r="AF33" s="260"/>
      <c r="AG33" s="260"/>
      <c r="AH33" s="260"/>
      <c r="AI33" s="260"/>
      <c r="AJ33" s="260"/>
      <c r="AK33" s="260"/>
      <c r="AL33" s="260"/>
      <c r="AM33" s="260"/>
      <c r="AN33" s="260"/>
      <c r="AO33" s="260"/>
      <c r="AP33" s="260"/>
      <c r="AQ33" s="260"/>
      <c r="AR33" s="260"/>
      <c r="AS33" s="260"/>
      <c r="AT33" s="260"/>
      <c r="AU33" s="260"/>
      <c r="AV33" s="260"/>
      <c r="AW33" s="260"/>
      <c r="AX33" s="260"/>
      <c r="AY33" s="260"/>
      <c r="AZ33" s="260"/>
      <c r="BA33" s="260"/>
      <c r="BB33" s="260"/>
      <c r="BC33" s="260"/>
      <c r="BD33" s="260"/>
    </row>
  </sheetData>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sheetPr codeName="Sheet9"/>
  <dimension ref="A1:L33"/>
  <sheetViews>
    <sheetView workbookViewId="0">
      <selection activeCell="F26" sqref="F26"/>
    </sheetView>
  </sheetViews>
  <sheetFormatPr defaultRowHeight="12.75"/>
  <cols>
    <col min="1" max="1" width="11.7109375" style="72" customWidth="1"/>
    <col min="2" max="5" width="9.140625" style="72"/>
    <col min="6" max="6" width="12.85546875" style="72" bestFit="1" customWidth="1"/>
    <col min="7" max="16384" width="9.140625" style="72"/>
  </cols>
  <sheetData>
    <row r="1" spans="1:12">
      <c r="A1" s="183" t="s">
        <v>257</v>
      </c>
      <c r="B1" s="184"/>
      <c r="C1" s="184"/>
      <c r="D1" s="184"/>
      <c r="E1" s="184"/>
      <c r="F1" s="184"/>
      <c r="G1" s="184"/>
      <c r="H1" s="184"/>
      <c r="I1" s="184"/>
      <c r="J1" s="184"/>
      <c r="K1" s="185"/>
    </row>
    <row r="2" spans="1:12">
      <c r="A2" s="186" t="s">
        <v>260</v>
      </c>
      <c r="B2" s="187"/>
      <c r="C2" s="187"/>
      <c r="D2" s="187"/>
      <c r="E2" s="187"/>
      <c r="F2" s="187"/>
      <c r="G2" s="187"/>
      <c r="H2" s="187"/>
      <c r="I2" s="187"/>
      <c r="J2" s="187"/>
      <c r="K2" s="188"/>
    </row>
    <row r="4" spans="1:12" ht="42" customHeight="1">
      <c r="A4" s="71" t="s">
        <v>258</v>
      </c>
      <c r="B4" s="452" t="s">
        <v>259</v>
      </c>
      <c r="C4" s="452"/>
      <c r="D4" s="452"/>
      <c r="E4" s="452"/>
      <c r="F4" s="452"/>
      <c r="G4" s="452"/>
      <c r="H4" s="452"/>
      <c r="I4" s="452"/>
      <c r="J4" s="452"/>
      <c r="K4" s="452"/>
      <c r="L4" s="452"/>
    </row>
    <row r="7" spans="1:12">
      <c r="A7" s="71" t="s">
        <v>261</v>
      </c>
      <c r="B7" s="73">
        <v>42292</v>
      </c>
      <c r="C7" s="71" t="s">
        <v>262</v>
      </c>
    </row>
    <row r="8" spans="1:12">
      <c r="B8" s="75">
        <f>B7/8760</f>
        <v>4.8278538812785392</v>
      </c>
      <c r="C8" s="71" t="s">
        <v>162</v>
      </c>
    </row>
    <row r="10" spans="1:12">
      <c r="A10" s="71" t="s">
        <v>263</v>
      </c>
      <c r="B10" s="71" t="s">
        <v>264</v>
      </c>
    </row>
    <row r="11" spans="1:12">
      <c r="A11" s="71" t="s">
        <v>265</v>
      </c>
      <c r="B11" s="71" t="s">
        <v>266</v>
      </c>
    </row>
    <row r="20" spans="1:7">
      <c r="A20" s="76" t="s">
        <v>281</v>
      </c>
    </row>
    <row r="22" spans="1:7">
      <c r="A22" s="79" t="s">
        <v>267</v>
      </c>
      <c r="F22" s="79" t="s">
        <v>274</v>
      </c>
    </row>
    <row r="23" spans="1:7">
      <c r="A23" s="72">
        <v>17</v>
      </c>
      <c r="B23" s="71" t="s">
        <v>268</v>
      </c>
      <c r="F23" s="77">
        <f>RegionWideSubstations!Z16</f>
        <v>122</v>
      </c>
      <c r="G23" s="71" t="s">
        <v>268</v>
      </c>
    </row>
    <row r="24" spans="1:7">
      <c r="A24" s="72">
        <v>0.88100000000000001</v>
      </c>
      <c r="B24" s="71" t="s">
        <v>270</v>
      </c>
      <c r="F24" s="74">
        <f>RegionWideSubstations!AP16</f>
        <v>0.96132960000000012</v>
      </c>
      <c r="G24" s="71" t="s">
        <v>275</v>
      </c>
    </row>
    <row r="25" spans="1:7">
      <c r="A25" s="82">
        <v>0.02</v>
      </c>
      <c r="B25" s="71" t="s">
        <v>271</v>
      </c>
      <c r="F25" s="81">
        <f>RegionWideSubstations!AO16/100+0.5/120</f>
        <v>2.9166666666666667E-2</v>
      </c>
      <c r="G25" s="71" t="s">
        <v>271</v>
      </c>
    </row>
    <row r="26" spans="1:7">
      <c r="A26" s="78">
        <v>2442217</v>
      </c>
      <c r="B26" s="71" t="s">
        <v>272</v>
      </c>
      <c r="F26" s="78">
        <f>RegionWideSubstations!AQ6*RegionWideSubstations!I16*RegionWideSubstations!I150+RegionWideSubstations!Q16*RegionWideSubstations!AQ7*RegionWideSubstations!Q150+RegionWideSubstations!AQ8*RegionWideSubstations!T16*RegionWideSubstations!T150</f>
        <v>6606958.2311693709</v>
      </c>
      <c r="G26" s="71" t="s">
        <v>282</v>
      </c>
    </row>
    <row r="27" spans="1:7">
      <c r="A27" s="73">
        <f>B7</f>
        <v>42292</v>
      </c>
      <c r="B27" s="71" t="s">
        <v>269</v>
      </c>
      <c r="F27" s="83">
        <f>F26*F24*F25</f>
        <v>185251.04831294715</v>
      </c>
      <c r="G27" s="71" t="s">
        <v>276</v>
      </c>
    </row>
    <row r="28" spans="1:7">
      <c r="A28" s="77">
        <f>A27/A23</f>
        <v>2487.7647058823532</v>
      </c>
      <c r="B28" s="71" t="s">
        <v>273</v>
      </c>
      <c r="F28" s="83">
        <f>F27/F23</f>
        <v>1518.4512156798946</v>
      </c>
      <c r="G28" s="71" t="s">
        <v>277</v>
      </c>
    </row>
    <row r="31" spans="1:7">
      <c r="A31" s="80">
        <f>A23/F23</f>
        <v>0.13934426229508196</v>
      </c>
      <c r="B31" s="71" t="s">
        <v>278</v>
      </c>
    </row>
    <row r="32" spans="1:7">
      <c r="A32" s="80">
        <f>A26/F26</f>
        <v>0.36964317232678345</v>
      </c>
      <c r="B32" s="71" t="s">
        <v>279</v>
      </c>
    </row>
    <row r="33" spans="1:2">
      <c r="A33" s="80">
        <f>A27/F27</f>
        <v>0.22829560418225295</v>
      </c>
      <c r="B33" s="71" t="s">
        <v>280</v>
      </c>
    </row>
  </sheetData>
  <mergeCells count="1">
    <mergeCell ref="B4:L4"/>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sheetPr codeName="Sheet10"/>
  <dimension ref="A1:AA209"/>
  <sheetViews>
    <sheetView topLeftCell="J1" workbookViewId="0">
      <selection activeCell="N5" sqref="N5"/>
    </sheetView>
  </sheetViews>
  <sheetFormatPr defaultRowHeight="12.75"/>
  <cols>
    <col min="2" max="2" width="14.5703125" customWidth="1"/>
    <col min="3" max="3" width="13.7109375" customWidth="1"/>
    <col min="4" max="4" width="33.5703125" bestFit="1" customWidth="1"/>
    <col min="5" max="5" width="12.85546875" bestFit="1" customWidth="1"/>
    <col min="6" max="6" width="10.5703125" bestFit="1" customWidth="1"/>
    <col min="7" max="7" width="6.85546875" bestFit="1" customWidth="1"/>
    <col min="8" max="8" width="9.5703125" customWidth="1"/>
    <col min="9" max="9" width="17.7109375" bestFit="1" customWidth="1"/>
    <col min="10" max="10" width="16.7109375" bestFit="1" customWidth="1"/>
    <col min="11" max="11" width="15.85546875" bestFit="1" customWidth="1"/>
    <col min="12" max="12" width="17.28515625" bestFit="1" customWidth="1"/>
    <col min="13" max="13" width="17.42578125" bestFit="1" customWidth="1"/>
    <col min="14" max="14" width="16.42578125" bestFit="1" customWidth="1"/>
    <col min="15" max="15" width="17.85546875" bestFit="1" customWidth="1"/>
    <col min="16" max="16" width="15.85546875" bestFit="1" customWidth="1"/>
    <col min="17" max="17" width="15" bestFit="1" customWidth="1"/>
    <col min="18" max="18" width="16.28515625" bestFit="1" customWidth="1"/>
    <col min="19" max="19" width="14" bestFit="1" customWidth="1"/>
    <col min="20" max="20" width="17.28515625" bestFit="1" customWidth="1"/>
    <col min="21" max="21" width="18.5703125" bestFit="1" customWidth="1"/>
    <col min="22" max="22" width="17.5703125" bestFit="1" customWidth="1"/>
    <col min="23" max="23" width="16.5703125" bestFit="1" customWidth="1"/>
    <col min="24" max="24" width="18" bestFit="1" customWidth="1"/>
    <col min="25" max="25" width="20.28515625" bestFit="1" customWidth="1"/>
  </cols>
  <sheetData>
    <row r="1" spans="2:15" s="118" customFormat="1">
      <c r="B1" s="117" t="s">
        <v>401</v>
      </c>
    </row>
    <row r="2" spans="2:15">
      <c r="B2" t="s">
        <v>402</v>
      </c>
    </row>
    <row r="3" spans="2:15">
      <c r="B3" s="149" t="s">
        <v>649</v>
      </c>
      <c r="E3" s="149"/>
      <c r="F3" s="149"/>
      <c r="G3" s="149"/>
      <c r="I3" s="149" t="s">
        <v>667</v>
      </c>
      <c r="N3" s="173" t="s">
        <v>446</v>
      </c>
    </row>
    <row r="4" spans="2:15" ht="25.5">
      <c r="B4" s="161" t="s">
        <v>408</v>
      </c>
      <c r="C4" s="161" t="s">
        <v>409</v>
      </c>
      <c r="D4" s="161" t="s">
        <v>393</v>
      </c>
      <c r="E4" s="162" t="s">
        <v>422</v>
      </c>
      <c r="I4" s="167"/>
      <c r="J4" s="168" t="s">
        <v>162</v>
      </c>
      <c r="K4" s="171" t="s">
        <v>443</v>
      </c>
      <c r="L4" s="171" t="s">
        <v>445</v>
      </c>
      <c r="N4" s="174">
        <f>W19/8760</f>
        <v>20869.951141552512</v>
      </c>
      <c r="O4" s="149" t="s">
        <v>162</v>
      </c>
    </row>
    <row r="5" spans="2:15">
      <c r="B5" s="69" t="s">
        <v>403</v>
      </c>
      <c r="C5" s="86">
        <v>9026</v>
      </c>
      <c r="D5" s="89">
        <f>C5*8760</f>
        <v>79067760</v>
      </c>
      <c r="E5" s="5">
        <f>D5/K19</f>
        <v>1.1746407066680919</v>
      </c>
      <c r="I5" s="163" t="s">
        <v>440</v>
      </c>
      <c r="J5" s="164">
        <v>23279.88</v>
      </c>
      <c r="K5" s="169">
        <v>1.1084374522376697</v>
      </c>
      <c r="L5" s="169">
        <f>J5/$N$4</f>
        <v>1.1154736224393582</v>
      </c>
      <c r="N5" s="3">
        <f>W19</f>
        <v>182820772</v>
      </c>
      <c r="O5" s="149" t="s">
        <v>393</v>
      </c>
    </row>
    <row r="6" spans="2:15">
      <c r="B6" s="69" t="s">
        <v>404</v>
      </c>
      <c r="C6" s="86">
        <v>8393</v>
      </c>
      <c r="D6" s="89">
        <f t="shared" ref="D6:D10" si="0">C6*8760</f>
        <v>73522680</v>
      </c>
      <c r="E6" s="5">
        <f>D6/N19</f>
        <v>1.2900898148292186</v>
      </c>
      <c r="I6" s="163" t="s">
        <v>441</v>
      </c>
      <c r="J6" s="164">
        <v>24934.65</v>
      </c>
      <c r="K6" s="169">
        <v>1.1843160817039953</v>
      </c>
      <c r="L6" s="169">
        <f>J6/$N$4</f>
        <v>1.1947632187003345</v>
      </c>
    </row>
    <row r="7" spans="2:15">
      <c r="B7" s="69" t="s">
        <v>405</v>
      </c>
      <c r="C7" s="86">
        <v>7225</v>
      </c>
      <c r="D7" s="89">
        <f t="shared" si="0"/>
        <v>63291000</v>
      </c>
      <c r="E7" s="5">
        <f>D7/Q19</f>
        <v>1.0821500335199163</v>
      </c>
      <c r="I7" s="165" t="s">
        <v>442</v>
      </c>
      <c r="J7" s="166">
        <v>26197.07</v>
      </c>
      <c r="K7" s="170">
        <v>1.24104382511642</v>
      </c>
      <c r="L7" s="170">
        <f>J7/$N$4</f>
        <v>1.2552530584434902</v>
      </c>
    </row>
    <row r="8" spans="2:15">
      <c r="B8" s="69" t="s">
        <v>406</v>
      </c>
      <c r="C8" s="86">
        <v>459</v>
      </c>
      <c r="D8" s="89">
        <f t="shared" si="0"/>
        <v>4020840</v>
      </c>
    </row>
    <row r="9" spans="2:15">
      <c r="B9" s="69" t="s">
        <v>407</v>
      </c>
      <c r="C9" s="86">
        <v>360</v>
      </c>
      <c r="D9" s="89">
        <f t="shared" si="0"/>
        <v>3153600</v>
      </c>
    </row>
    <row r="10" spans="2:15">
      <c r="B10" s="69" t="s">
        <v>205</v>
      </c>
      <c r="C10" s="86">
        <v>25463</v>
      </c>
      <c r="D10" s="89">
        <f t="shared" si="0"/>
        <v>223055880</v>
      </c>
      <c r="E10" s="5">
        <f>D10/W19</f>
        <v>1.220079521379551</v>
      </c>
    </row>
    <row r="12" spans="2:15">
      <c r="C12">
        <v>250</v>
      </c>
      <c r="D12" s="149" t="s">
        <v>444</v>
      </c>
    </row>
    <row r="13" spans="2:15">
      <c r="C13" s="3">
        <f>C10-C12</f>
        <v>25213</v>
      </c>
      <c r="D13" s="89">
        <f t="shared" ref="D13" si="1">C13*8760</f>
        <v>220865880</v>
      </c>
      <c r="E13" s="5">
        <f>D13/W19</f>
        <v>1.2081005762299264</v>
      </c>
    </row>
    <row r="16" spans="2:15" s="118" customFormat="1">
      <c r="B16" s="119" t="s">
        <v>283</v>
      </c>
    </row>
    <row r="17" spans="1:27">
      <c r="B17" t="s">
        <v>284</v>
      </c>
      <c r="K17" s="9">
        <f>K19+N19+Q19</f>
        <v>182788996</v>
      </c>
      <c r="L17" t="s">
        <v>373</v>
      </c>
    </row>
    <row r="18" spans="1:27">
      <c r="A18" s="124">
        <v>1</v>
      </c>
      <c r="B18" s="124">
        <v>2</v>
      </c>
      <c r="C18" s="124">
        <v>3</v>
      </c>
      <c r="D18" s="124">
        <v>4</v>
      </c>
      <c r="E18" s="124">
        <v>5</v>
      </c>
      <c r="F18" s="124">
        <v>6</v>
      </c>
      <c r="G18" s="124">
        <v>7</v>
      </c>
      <c r="H18" s="124">
        <v>8</v>
      </c>
      <c r="I18" s="124">
        <v>9</v>
      </c>
      <c r="J18" s="124">
        <v>10</v>
      </c>
      <c r="K18" s="124">
        <v>11</v>
      </c>
      <c r="L18" s="124">
        <v>12</v>
      </c>
      <c r="M18" s="124">
        <v>13</v>
      </c>
      <c r="N18" s="124">
        <v>14</v>
      </c>
      <c r="O18" s="124">
        <v>15</v>
      </c>
      <c r="P18" s="124">
        <v>16</v>
      </c>
      <c r="Q18" s="124">
        <v>17</v>
      </c>
      <c r="R18" s="124">
        <v>18</v>
      </c>
      <c r="S18" s="124">
        <v>19</v>
      </c>
      <c r="T18" s="124">
        <v>20</v>
      </c>
      <c r="U18" s="124">
        <v>21</v>
      </c>
      <c r="V18" s="124">
        <v>22</v>
      </c>
      <c r="W18" s="124">
        <v>23</v>
      </c>
    </row>
    <row r="19" spans="1:27">
      <c r="K19" s="3">
        <f>SUM(K21:K209)</f>
        <v>67312293.496347815</v>
      </c>
      <c r="L19" s="3">
        <f>SUM(L21:L209)</f>
        <v>5641609.7752518747</v>
      </c>
      <c r="N19" s="3">
        <f>SUM(N21:N209)</f>
        <v>56990357.690509245</v>
      </c>
      <c r="O19" s="3">
        <f>SUM(O21:O209)</f>
        <v>797696.99197206332</v>
      </c>
      <c r="Q19" s="3">
        <f>SUM(Q21:Q209)</f>
        <v>58486344.813142926</v>
      </c>
      <c r="R19" s="3">
        <f>SUM(R21:R209)</f>
        <v>84812.232776061588</v>
      </c>
      <c r="T19" s="3">
        <f>SUM(T21:T209)</f>
        <v>31776</v>
      </c>
      <c r="V19" s="3">
        <f>SUM(V21:V209)</f>
        <v>13018364.6</v>
      </c>
      <c r="W19" s="3">
        <f>SUM(W21:W209)</f>
        <v>182820772</v>
      </c>
    </row>
    <row r="20" spans="1:27" s="68" customFormat="1">
      <c r="B20" s="68" t="s">
        <v>285</v>
      </c>
      <c r="C20" s="68" t="s">
        <v>9</v>
      </c>
      <c r="D20" s="68" t="s">
        <v>10</v>
      </c>
      <c r="E20" s="68" t="s">
        <v>286</v>
      </c>
      <c r="F20" s="68" t="s">
        <v>287</v>
      </c>
      <c r="G20" s="68" t="s">
        <v>288</v>
      </c>
      <c r="H20" s="68" t="s">
        <v>0</v>
      </c>
      <c r="I20" s="68" t="s">
        <v>11</v>
      </c>
      <c r="J20" s="68" t="s">
        <v>289</v>
      </c>
      <c r="K20" s="68" t="s">
        <v>290</v>
      </c>
      <c r="L20" s="68" t="s">
        <v>291</v>
      </c>
      <c r="M20" s="68" t="s">
        <v>292</v>
      </c>
      <c r="N20" s="68" t="s">
        <v>293</v>
      </c>
      <c r="O20" s="68" t="s">
        <v>294</v>
      </c>
      <c r="P20" s="68" t="s">
        <v>295</v>
      </c>
      <c r="Q20" s="128" t="s">
        <v>296</v>
      </c>
      <c r="R20" s="68" t="s">
        <v>297</v>
      </c>
      <c r="S20" s="68" t="s">
        <v>298</v>
      </c>
      <c r="T20" s="68" t="s">
        <v>299</v>
      </c>
      <c r="U20" s="68" t="s">
        <v>300</v>
      </c>
      <c r="V20" s="68" t="s">
        <v>301</v>
      </c>
      <c r="W20" s="68" t="s">
        <v>302</v>
      </c>
      <c r="X20" s="68" t="s">
        <v>303</v>
      </c>
      <c r="Y20" s="68" t="s">
        <v>304</v>
      </c>
      <c r="Z20" s="68" t="s">
        <v>414</v>
      </c>
    </row>
    <row r="21" spans="1:27">
      <c r="A21" t="str">
        <f>D21&amp;H21</f>
        <v>Puget Sound Energy IncWA</v>
      </c>
      <c r="B21">
        <v>2012</v>
      </c>
      <c r="C21">
        <v>15500</v>
      </c>
      <c r="D21" t="s">
        <v>19</v>
      </c>
      <c r="E21" t="s">
        <v>305</v>
      </c>
      <c r="F21" t="s">
        <v>335</v>
      </c>
      <c r="G21" t="s">
        <v>1</v>
      </c>
      <c r="H21" t="s">
        <v>1</v>
      </c>
      <c r="I21" t="s">
        <v>336</v>
      </c>
      <c r="J21">
        <v>1126311.3999999999</v>
      </c>
      <c r="K21">
        <v>10869292</v>
      </c>
      <c r="L21">
        <v>961914</v>
      </c>
      <c r="M21">
        <v>865883.9</v>
      </c>
      <c r="N21">
        <v>9081941</v>
      </c>
      <c r="O21">
        <v>123756</v>
      </c>
      <c r="P21">
        <v>107591</v>
      </c>
      <c r="Q21" s="125">
        <v>1183241</v>
      </c>
      <c r="R21">
        <v>3600</v>
      </c>
      <c r="S21">
        <v>307.10000000000002</v>
      </c>
      <c r="T21">
        <v>3694</v>
      </c>
      <c r="U21">
        <v>1</v>
      </c>
      <c r="V21">
        <v>2100093.4</v>
      </c>
      <c r="W21" s="125">
        <v>21138168</v>
      </c>
      <c r="X21">
        <v>1089271</v>
      </c>
      <c r="Y21">
        <v>0</v>
      </c>
      <c r="Z21">
        <f t="array" ref="Z21">SUM(IF(D21=$D$21:$D$209,1,0))</f>
        <v>2</v>
      </c>
      <c r="AA21" t="str">
        <f>IF(Z21&gt;1,D21,"")</f>
        <v>Puget Sound Energy Inc</v>
      </c>
    </row>
    <row r="22" spans="1:27">
      <c r="A22" t="str">
        <f t="shared" ref="A22:A85" si="2">D22&amp;H22</f>
        <v>Portland General Electric CompanyOR</v>
      </c>
      <c r="B22">
        <v>2012</v>
      </c>
      <c r="C22">
        <v>15248</v>
      </c>
      <c r="D22" t="s">
        <v>21</v>
      </c>
      <c r="E22" t="s">
        <v>305</v>
      </c>
      <c r="F22" t="s">
        <v>335</v>
      </c>
      <c r="G22" t="s">
        <v>5</v>
      </c>
      <c r="H22" t="s">
        <v>5</v>
      </c>
      <c r="I22" t="s">
        <v>336</v>
      </c>
      <c r="J22">
        <v>804945</v>
      </c>
      <c r="K22">
        <v>7505404</v>
      </c>
      <c r="L22">
        <v>723440</v>
      </c>
      <c r="M22">
        <v>601992</v>
      </c>
      <c r="N22">
        <v>6883172</v>
      </c>
      <c r="O22">
        <v>100187</v>
      </c>
      <c r="P22">
        <v>216166</v>
      </c>
      <c r="Q22" s="125">
        <v>3547693</v>
      </c>
      <c r="R22">
        <v>3339</v>
      </c>
      <c r="S22">
        <v>714</v>
      </c>
      <c r="T22">
        <v>8166</v>
      </c>
      <c r="U22">
        <v>3</v>
      </c>
      <c r="V22">
        <v>1623817</v>
      </c>
      <c r="W22" s="125">
        <v>17944435</v>
      </c>
      <c r="X22">
        <v>826969</v>
      </c>
      <c r="Z22">
        <f t="array" ref="Z22">SUM(IF(D22=$D$21:$D$209,1,0))</f>
        <v>2</v>
      </c>
      <c r="AA22" t="str">
        <f t="shared" ref="AA22:AA85" si="3">IF(Z22&gt;1,D22,"")</f>
        <v>Portland General Electric Company</v>
      </c>
    </row>
    <row r="23" spans="1:27">
      <c r="A23" t="str">
        <f t="shared" si="2"/>
        <v>Idaho Power CoID</v>
      </c>
      <c r="B23">
        <v>2012</v>
      </c>
      <c r="C23">
        <v>9191</v>
      </c>
      <c r="D23" t="s">
        <v>23</v>
      </c>
      <c r="E23" t="s">
        <v>305</v>
      </c>
      <c r="F23" t="s">
        <v>335</v>
      </c>
      <c r="G23" t="s">
        <v>3</v>
      </c>
      <c r="H23" t="s">
        <v>3</v>
      </c>
      <c r="I23" t="s">
        <v>336</v>
      </c>
      <c r="J23">
        <v>415210.9</v>
      </c>
      <c r="K23">
        <v>4854236</v>
      </c>
      <c r="L23">
        <v>400291</v>
      </c>
      <c r="M23">
        <v>230715.8</v>
      </c>
      <c r="N23">
        <v>3716773</v>
      </c>
      <c r="O23">
        <v>62249</v>
      </c>
      <c r="P23">
        <v>265534</v>
      </c>
      <c r="Q23" s="125">
        <v>4893132</v>
      </c>
      <c r="R23">
        <v>17344</v>
      </c>
      <c r="S23">
        <v>0</v>
      </c>
      <c r="T23">
        <v>0</v>
      </c>
      <c r="U23">
        <v>0</v>
      </c>
      <c r="V23">
        <v>911460.7</v>
      </c>
      <c r="W23" s="125">
        <v>13464141</v>
      </c>
      <c r="X23">
        <v>479884</v>
      </c>
      <c r="Z23">
        <f t="array" ref="Z23">SUM(IF(D23=$D$21:$D$209,1,0))</f>
        <v>2</v>
      </c>
      <c r="AA23" t="str">
        <f t="shared" si="3"/>
        <v>Idaho Power Co</v>
      </c>
    </row>
    <row r="24" spans="1:27">
      <c r="A24" t="str">
        <f t="shared" si="2"/>
        <v>PacifiCorpOR</v>
      </c>
      <c r="B24">
        <v>2012</v>
      </c>
      <c r="C24">
        <v>14354</v>
      </c>
      <c r="D24" t="s">
        <v>22</v>
      </c>
      <c r="E24" t="s">
        <v>305</v>
      </c>
      <c r="F24" t="s">
        <v>335</v>
      </c>
      <c r="G24" t="s">
        <v>5</v>
      </c>
      <c r="H24" t="s">
        <v>5</v>
      </c>
      <c r="I24" t="s">
        <v>336</v>
      </c>
      <c r="J24">
        <v>561148.30000000005</v>
      </c>
      <c r="K24">
        <v>5405577</v>
      </c>
      <c r="L24">
        <v>473821</v>
      </c>
      <c r="M24">
        <v>427944.8</v>
      </c>
      <c r="N24">
        <v>4998437</v>
      </c>
      <c r="O24">
        <v>76659</v>
      </c>
      <c r="P24">
        <v>161193.29999999999</v>
      </c>
      <c r="Q24" s="125">
        <v>2358130</v>
      </c>
      <c r="R24">
        <v>9552</v>
      </c>
      <c r="S24">
        <v>1329.5</v>
      </c>
      <c r="T24">
        <v>16638</v>
      </c>
      <c r="U24">
        <v>1</v>
      </c>
      <c r="V24">
        <v>1151615.8999999999</v>
      </c>
      <c r="W24" s="125">
        <v>12778782</v>
      </c>
      <c r="X24">
        <v>560033</v>
      </c>
      <c r="Z24">
        <f t="array" ref="Z24">SUM(IF(D24=$D$21:$D$209,1,0))</f>
        <v>4</v>
      </c>
      <c r="AA24" t="str">
        <f t="shared" si="3"/>
        <v>PacifiCorp</v>
      </c>
    </row>
    <row r="25" spans="1:27">
      <c r="A25" t="str">
        <f t="shared" si="2"/>
        <v>Seattle City ofWA</v>
      </c>
      <c r="B25">
        <v>2012</v>
      </c>
      <c r="C25">
        <v>16868</v>
      </c>
      <c r="D25" t="s">
        <v>356</v>
      </c>
      <c r="E25" t="s">
        <v>305</v>
      </c>
      <c r="F25" t="s">
        <v>306</v>
      </c>
      <c r="G25" t="s">
        <v>1</v>
      </c>
      <c r="H25" t="s">
        <v>1</v>
      </c>
      <c r="I25" t="s">
        <v>307</v>
      </c>
      <c r="J25">
        <v>243806</v>
      </c>
      <c r="K25">
        <v>3146951</v>
      </c>
      <c r="L25">
        <v>362524</v>
      </c>
      <c r="M25">
        <v>356093</v>
      </c>
      <c r="N25">
        <v>5237477</v>
      </c>
      <c r="O25">
        <v>39866</v>
      </c>
      <c r="P25">
        <v>64316</v>
      </c>
      <c r="Q25" s="125">
        <v>1081568</v>
      </c>
      <c r="R25">
        <v>214</v>
      </c>
      <c r="S25">
        <v>48</v>
      </c>
      <c r="T25">
        <v>646</v>
      </c>
      <c r="U25">
        <v>4</v>
      </c>
      <c r="V25">
        <v>664263</v>
      </c>
      <c r="W25" s="125">
        <v>9466642</v>
      </c>
      <c r="X25">
        <v>402608</v>
      </c>
      <c r="Y25" t="s">
        <v>318</v>
      </c>
      <c r="Z25">
        <f t="array" ref="Z25">SUM(IF(D25=$D$21:$D$209,1,0))</f>
        <v>1</v>
      </c>
      <c r="AA25" t="str">
        <f t="shared" si="3"/>
        <v/>
      </c>
    </row>
    <row r="26" spans="1:27">
      <c r="A26" t="str">
        <f t="shared" si="2"/>
        <v>Bonneville Power AdminWA</v>
      </c>
      <c r="B26">
        <v>2012</v>
      </c>
      <c r="C26">
        <v>1738</v>
      </c>
      <c r="D26" t="s">
        <v>322</v>
      </c>
      <c r="E26" t="s">
        <v>305</v>
      </c>
      <c r="F26" t="s">
        <v>306</v>
      </c>
      <c r="G26" t="s">
        <v>1</v>
      </c>
      <c r="H26" t="s">
        <v>1</v>
      </c>
      <c r="I26" t="s">
        <v>323</v>
      </c>
      <c r="J26" t="s">
        <v>314</v>
      </c>
      <c r="K26" t="s">
        <v>314</v>
      </c>
      <c r="L26" t="s">
        <v>314</v>
      </c>
      <c r="M26">
        <v>30023</v>
      </c>
      <c r="N26">
        <v>858775</v>
      </c>
      <c r="O26">
        <v>7</v>
      </c>
      <c r="P26">
        <v>118325</v>
      </c>
      <c r="Q26" s="125">
        <v>6543152</v>
      </c>
      <c r="R26">
        <v>2</v>
      </c>
      <c r="S26" t="s">
        <v>314</v>
      </c>
      <c r="T26" t="s">
        <v>314</v>
      </c>
      <c r="U26" t="s">
        <v>314</v>
      </c>
      <c r="V26">
        <v>148348</v>
      </c>
      <c r="W26" s="125">
        <v>7401927</v>
      </c>
      <c r="X26">
        <v>9</v>
      </c>
      <c r="Z26">
        <f t="array" ref="Z26">SUM(IF(D26=$D$21:$D$209,1,0))</f>
        <v>5</v>
      </c>
      <c r="AA26" t="str">
        <f t="shared" si="3"/>
        <v>Bonneville Power Admin</v>
      </c>
    </row>
    <row r="27" spans="1:27">
      <c r="A27" t="str">
        <f t="shared" si="2"/>
        <v>Snohomish County PUD No 1WA</v>
      </c>
      <c r="B27">
        <v>2012</v>
      </c>
      <c r="C27">
        <v>17470</v>
      </c>
      <c r="D27" t="s">
        <v>359</v>
      </c>
      <c r="E27" t="s">
        <v>305</v>
      </c>
      <c r="F27" t="s">
        <v>306</v>
      </c>
      <c r="G27" t="s">
        <v>1</v>
      </c>
      <c r="H27" t="s">
        <v>1</v>
      </c>
      <c r="I27" t="s">
        <v>317</v>
      </c>
      <c r="J27">
        <v>297937</v>
      </c>
      <c r="K27">
        <v>3531333</v>
      </c>
      <c r="L27">
        <v>295622</v>
      </c>
      <c r="M27">
        <v>178463</v>
      </c>
      <c r="N27">
        <v>2364872</v>
      </c>
      <c r="O27">
        <v>30149</v>
      </c>
      <c r="P27">
        <v>40632</v>
      </c>
      <c r="Q27" s="125">
        <v>639379</v>
      </c>
      <c r="R27">
        <v>78</v>
      </c>
      <c r="S27" t="s">
        <v>314</v>
      </c>
      <c r="T27" t="s">
        <v>314</v>
      </c>
      <c r="U27" t="s">
        <v>314</v>
      </c>
      <c r="V27">
        <v>517032</v>
      </c>
      <c r="W27" s="125">
        <v>6535584</v>
      </c>
      <c r="X27">
        <v>325849</v>
      </c>
      <c r="Y27" t="s">
        <v>318</v>
      </c>
      <c r="Z27">
        <f t="array" ref="Z27">SUM(IF(D27=$D$21:$D$209,1,0))</f>
        <v>1</v>
      </c>
      <c r="AA27" t="str">
        <f t="shared" si="3"/>
        <v/>
      </c>
    </row>
    <row r="28" spans="1:27">
      <c r="A28" t="str">
        <f t="shared" si="2"/>
        <v>NorthWestern CorporationMT</v>
      </c>
      <c r="B28">
        <v>2012</v>
      </c>
      <c r="C28">
        <v>12825</v>
      </c>
      <c r="D28" t="s">
        <v>344</v>
      </c>
      <c r="E28" t="s">
        <v>305</v>
      </c>
      <c r="F28" t="s">
        <v>335</v>
      </c>
      <c r="G28" t="s">
        <v>316</v>
      </c>
      <c r="H28" t="s">
        <v>4</v>
      </c>
      <c r="I28" t="s">
        <v>336</v>
      </c>
      <c r="J28">
        <v>188720.08720838884</v>
      </c>
      <c r="K28">
        <v>1755485.409</v>
      </c>
      <c r="L28">
        <v>204178.19728347566</v>
      </c>
      <c r="M28">
        <v>228758.77422185612</v>
      </c>
      <c r="N28">
        <v>2363426.7842822573</v>
      </c>
      <c r="O28">
        <v>47906.232693272475</v>
      </c>
      <c r="P28">
        <v>28773.844884239683</v>
      </c>
      <c r="Q28" s="125">
        <v>1781094.2779395236</v>
      </c>
      <c r="R28">
        <v>948.72655778621026</v>
      </c>
      <c r="S28">
        <v>0</v>
      </c>
      <c r="T28">
        <v>0</v>
      </c>
      <c r="U28">
        <v>0</v>
      </c>
      <c r="V28">
        <v>446252.70631448465</v>
      </c>
      <c r="W28" s="125">
        <v>5900006.4712217804</v>
      </c>
      <c r="X28">
        <v>234390.54752686649</v>
      </c>
      <c r="Z28">
        <f t="array" ref="Z28">SUM(IF(D28=$D$21:$D$209,1,0))</f>
        <v>2</v>
      </c>
      <c r="AA28" t="str">
        <f t="shared" si="3"/>
        <v>NorthWestern Corporation</v>
      </c>
    </row>
    <row r="29" spans="1:27">
      <c r="A29" t="str">
        <f t="shared" si="2"/>
        <v>Avista CorpWA</v>
      </c>
      <c r="B29">
        <v>2012</v>
      </c>
      <c r="C29">
        <v>20169</v>
      </c>
      <c r="D29" t="s">
        <v>25</v>
      </c>
      <c r="E29" t="s">
        <v>305</v>
      </c>
      <c r="F29" t="s">
        <v>335</v>
      </c>
      <c r="G29" t="s">
        <v>1</v>
      </c>
      <c r="H29" t="s">
        <v>1</v>
      </c>
      <c r="I29" t="s">
        <v>336</v>
      </c>
      <c r="J29">
        <v>212204</v>
      </c>
      <c r="K29">
        <v>2443487</v>
      </c>
      <c r="L29">
        <v>212164</v>
      </c>
      <c r="M29">
        <v>207440</v>
      </c>
      <c r="N29">
        <v>2156301</v>
      </c>
      <c r="O29">
        <v>23552</v>
      </c>
      <c r="P29">
        <v>56438</v>
      </c>
      <c r="Q29" s="125">
        <v>914328</v>
      </c>
      <c r="R29">
        <v>927</v>
      </c>
      <c r="S29">
        <v>0</v>
      </c>
      <c r="T29">
        <v>0</v>
      </c>
      <c r="U29">
        <v>0</v>
      </c>
      <c r="V29">
        <v>476082</v>
      </c>
      <c r="W29" s="125">
        <v>5514116</v>
      </c>
      <c r="X29">
        <v>236643</v>
      </c>
      <c r="Z29">
        <f t="array" ref="Z29">SUM(IF(D29=$D$21:$D$209,1,0))</f>
        <v>3</v>
      </c>
      <c r="AA29" t="str">
        <f t="shared" si="3"/>
        <v>Avista Corp</v>
      </c>
    </row>
    <row r="30" spans="1:27">
      <c r="A30" t="str">
        <f t="shared" si="2"/>
        <v>PUD No 1 of Cowlitz CountyWA</v>
      </c>
      <c r="B30">
        <v>2012</v>
      </c>
      <c r="C30">
        <v>4442</v>
      </c>
      <c r="D30" t="s">
        <v>64</v>
      </c>
      <c r="E30" t="s">
        <v>305</v>
      </c>
      <c r="F30" t="s">
        <v>306</v>
      </c>
      <c r="G30" t="s">
        <v>1</v>
      </c>
      <c r="H30" t="s">
        <v>1</v>
      </c>
      <c r="I30" t="s">
        <v>317</v>
      </c>
      <c r="J30">
        <v>55001</v>
      </c>
      <c r="K30">
        <v>754607</v>
      </c>
      <c r="L30">
        <v>43135</v>
      </c>
      <c r="M30">
        <v>31685</v>
      </c>
      <c r="N30">
        <v>381027</v>
      </c>
      <c r="O30">
        <v>5058</v>
      </c>
      <c r="P30">
        <v>153459</v>
      </c>
      <c r="Q30" s="125">
        <v>4015094</v>
      </c>
      <c r="R30">
        <v>113</v>
      </c>
      <c r="S30" t="s">
        <v>314</v>
      </c>
      <c r="T30" t="s">
        <v>314</v>
      </c>
      <c r="U30" t="s">
        <v>314</v>
      </c>
      <c r="V30">
        <v>240145</v>
      </c>
      <c r="W30" s="125">
        <v>5150728</v>
      </c>
      <c r="X30">
        <v>48306</v>
      </c>
      <c r="Y30" t="s">
        <v>318</v>
      </c>
      <c r="Z30">
        <f t="array" ref="Z30">SUM(IF(D30=$D$21:$D$209,1,0))</f>
        <v>1</v>
      </c>
      <c r="AA30" t="str">
        <f t="shared" si="3"/>
        <v/>
      </c>
    </row>
    <row r="31" spans="1:27">
      <c r="A31" t="str">
        <f t="shared" si="2"/>
        <v>Tacoma City ofWA</v>
      </c>
      <c r="B31">
        <v>2012</v>
      </c>
      <c r="C31">
        <v>18429</v>
      </c>
      <c r="D31" t="s">
        <v>362</v>
      </c>
      <c r="E31" t="s">
        <v>305</v>
      </c>
      <c r="F31" t="s">
        <v>306</v>
      </c>
      <c r="G31" t="s">
        <v>1</v>
      </c>
      <c r="H31" t="s">
        <v>1</v>
      </c>
      <c r="I31" t="s">
        <v>307</v>
      </c>
      <c r="J31">
        <v>142439.20000000001</v>
      </c>
      <c r="K31">
        <v>1898579</v>
      </c>
      <c r="L31">
        <v>151174</v>
      </c>
      <c r="M31">
        <v>23499.7</v>
      </c>
      <c r="N31">
        <v>334921</v>
      </c>
      <c r="O31">
        <v>15086</v>
      </c>
      <c r="P31">
        <v>122250</v>
      </c>
      <c r="Q31" s="125">
        <v>2505933</v>
      </c>
      <c r="R31">
        <v>2757</v>
      </c>
      <c r="S31">
        <v>207.1</v>
      </c>
      <c r="T31">
        <v>2632</v>
      </c>
      <c r="U31">
        <v>1</v>
      </c>
      <c r="V31">
        <v>288396</v>
      </c>
      <c r="W31" s="125">
        <v>4742065</v>
      </c>
      <c r="X31">
        <v>169018</v>
      </c>
      <c r="Y31" t="s">
        <v>318</v>
      </c>
      <c r="Z31">
        <f t="array" ref="Z31">SUM(IF(D31=$D$21:$D$209,1,0))</f>
        <v>1</v>
      </c>
      <c r="AA31" t="str">
        <f t="shared" si="3"/>
        <v/>
      </c>
    </row>
    <row r="32" spans="1:27">
      <c r="A32" t="str">
        <f t="shared" si="2"/>
        <v>PUD No 1 of Clark CountyWA</v>
      </c>
      <c r="B32">
        <v>2012</v>
      </c>
      <c r="C32">
        <v>3660</v>
      </c>
      <c r="D32" t="s">
        <v>63</v>
      </c>
      <c r="E32" t="s">
        <v>305</v>
      </c>
      <c r="F32" t="s">
        <v>306</v>
      </c>
      <c r="G32" t="s">
        <v>1</v>
      </c>
      <c r="H32" t="s">
        <v>1</v>
      </c>
      <c r="I32" t="s">
        <v>317</v>
      </c>
      <c r="J32">
        <v>212704</v>
      </c>
      <c r="K32">
        <v>2317528</v>
      </c>
      <c r="L32">
        <v>170221</v>
      </c>
      <c r="M32">
        <v>97711</v>
      </c>
      <c r="N32">
        <v>1296346</v>
      </c>
      <c r="O32">
        <v>16331</v>
      </c>
      <c r="P32">
        <v>41257</v>
      </c>
      <c r="Q32" s="125">
        <v>740918</v>
      </c>
      <c r="R32">
        <v>25</v>
      </c>
      <c r="S32">
        <v>0</v>
      </c>
      <c r="T32">
        <v>0</v>
      </c>
      <c r="U32">
        <v>0</v>
      </c>
      <c r="V32">
        <v>351672</v>
      </c>
      <c r="W32" s="125">
        <v>4354792</v>
      </c>
      <c r="X32">
        <v>186577</v>
      </c>
      <c r="Y32" t="s">
        <v>318</v>
      </c>
      <c r="Z32">
        <f t="array" ref="Z32">SUM(IF(D32=$D$21:$D$209,1,0))</f>
        <v>1</v>
      </c>
      <c r="AA32" t="str">
        <f t="shared" si="3"/>
        <v/>
      </c>
    </row>
    <row r="33" spans="1:27">
      <c r="A33" t="str">
        <f t="shared" si="2"/>
        <v>PacifiCorpWA</v>
      </c>
      <c r="B33">
        <v>2012</v>
      </c>
      <c r="C33">
        <v>14354</v>
      </c>
      <c r="D33" t="s">
        <v>22</v>
      </c>
      <c r="E33" t="s">
        <v>305</v>
      </c>
      <c r="F33" t="s">
        <v>335</v>
      </c>
      <c r="G33" t="s">
        <v>1</v>
      </c>
      <c r="H33" t="s">
        <v>1</v>
      </c>
      <c r="I33" t="s">
        <v>336</v>
      </c>
      <c r="J33">
        <v>131372.29999999999</v>
      </c>
      <c r="K33">
        <v>1596276</v>
      </c>
      <c r="L33">
        <v>104224</v>
      </c>
      <c r="M33">
        <v>111956.9</v>
      </c>
      <c r="N33">
        <v>1457584</v>
      </c>
      <c r="O33">
        <v>17921</v>
      </c>
      <c r="P33">
        <v>63476</v>
      </c>
      <c r="Q33" s="125">
        <v>988038</v>
      </c>
      <c r="R33">
        <v>5749</v>
      </c>
      <c r="S33">
        <v>0</v>
      </c>
      <c r="T33">
        <v>0</v>
      </c>
      <c r="U33">
        <v>0</v>
      </c>
      <c r="V33">
        <v>306805.2</v>
      </c>
      <c r="W33" s="125">
        <v>4041898</v>
      </c>
      <c r="X33">
        <v>127894</v>
      </c>
      <c r="Z33">
        <f t="array" ref="Z33">SUM(IF(D33=$D$21:$D$209,1,0))</f>
        <v>4</v>
      </c>
      <c r="AA33" t="str">
        <f t="shared" si="3"/>
        <v>PacifiCorp</v>
      </c>
    </row>
    <row r="34" spans="1:27">
      <c r="A34" t="str">
        <f t="shared" si="2"/>
        <v>PUD No 2 of Grant CountyWA</v>
      </c>
      <c r="B34">
        <v>2012</v>
      </c>
      <c r="C34">
        <v>14624</v>
      </c>
      <c r="D34" t="s">
        <v>68</v>
      </c>
      <c r="E34" t="s">
        <v>305</v>
      </c>
      <c r="F34" t="s">
        <v>306</v>
      </c>
      <c r="G34" t="s">
        <v>1</v>
      </c>
      <c r="H34" t="s">
        <v>1</v>
      </c>
      <c r="I34" t="s">
        <v>317</v>
      </c>
      <c r="J34">
        <v>35898</v>
      </c>
      <c r="K34">
        <v>739941</v>
      </c>
      <c r="L34">
        <v>35547</v>
      </c>
      <c r="M34">
        <v>26925</v>
      </c>
      <c r="N34">
        <v>720162</v>
      </c>
      <c r="O34">
        <v>6406</v>
      </c>
      <c r="P34">
        <v>81087</v>
      </c>
      <c r="Q34" s="125">
        <v>2469920</v>
      </c>
      <c r="R34">
        <v>4649</v>
      </c>
      <c r="S34" t="s">
        <v>314</v>
      </c>
      <c r="T34" t="s">
        <v>314</v>
      </c>
      <c r="U34" t="s">
        <v>314</v>
      </c>
      <c r="V34">
        <v>143910</v>
      </c>
      <c r="W34" s="125">
        <v>3930023</v>
      </c>
      <c r="X34">
        <v>46602</v>
      </c>
      <c r="Y34" t="s">
        <v>318</v>
      </c>
      <c r="Z34">
        <f t="array" ref="Z34">SUM(IF(D34=$D$21:$D$209,1,0))</f>
        <v>1</v>
      </c>
      <c r="AA34" t="str">
        <f t="shared" si="3"/>
        <v/>
      </c>
    </row>
    <row r="35" spans="1:27">
      <c r="A35" t="str">
        <f t="shared" si="2"/>
        <v>PacifiCorpID</v>
      </c>
      <c r="B35">
        <v>2012</v>
      </c>
      <c r="C35">
        <v>14354</v>
      </c>
      <c r="D35" t="s">
        <v>22</v>
      </c>
      <c r="E35" t="s">
        <v>305</v>
      </c>
      <c r="F35" t="s">
        <v>335</v>
      </c>
      <c r="G35" t="s">
        <v>3</v>
      </c>
      <c r="H35" t="s">
        <v>3</v>
      </c>
      <c r="I35" t="s">
        <v>336</v>
      </c>
      <c r="J35">
        <v>70090.7</v>
      </c>
      <c r="K35">
        <v>675655</v>
      </c>
      <c r="L35">
        <v>57890</v>
      </c>
      <c r="M35">
        <v>38404.300000000003</v>
      </c>
      <c r="N35">
        <v>439776</v>
      </c>
      <c r="O35">
        <v>8673</v>
      </c>
      <c r="P35">
        <v>153750.79999999999</v>
      </c>
      <c r="Q35" s="125">
        <v>2402196</v>
      </c>
      <c r="R35">
        <v>5550</v>
      </c>
      <c r="S35">
        <v>0</v>
      </c>
      <c r="T35">
        <v>0</v>
      </c>
      <c r="U35">
        <v>0</v>
      </c>
      <c r="V35">
        <v>262245.8</v>
      </c>
      <c r="W35" s="125">
        <v>3517627</v>
      </c>
      <c r="X35">
        <v>72113</v>
      </c>
      <c r="Z35">
        <f t="array" ref="Z35">SUM(IF(D35=$D$21:$D$209,1,0))</f>
        <v>4</v>
      </c>
      <c r="AA35" t="str">
        <f t="shared" si="3"/>
        <v>PacifiCorp</v>
      </c>
    </row>
    <row r="36" spans="1:27">
      <c r="A36" t="str">
        <f t="shared" si="2"/>
        <v>Avista CorpID</v>
      </c>
      <c r="B36">
        <v>2012</v>
      </c>
      <c r="C36">
        <v>20169</v>
      </c>
      <c r="D36" t="s">
        <v>25</v>
      </c>
      <c r="E36" t="s">
        <v>305</v>
      </c>
      <c r="F36" t="s">
        <v>335</v>
      </c>
      <c r="G36" t="s">
        <v>3</v>
      </c>
      <c r="H36" t="s">
        <v>3</v>
      </c>
      <c r="I36" t="s">
        <v>336</v>
      </c>
      <c r="J36">
        <v>102920</v>
      </c>
      <c r="K36">
        <v>1164976</v>
      </c>
      <c r="L36">
        <v>106519</v>
      </c>
      <c r="M36">
        <v>87364</v>
      </c>
      <c r="N36">
        <v>1008094</v>
      </c>
      <c r="O36">
        <v>16900</v>
      </c>
      <c r="P36">
        <v>63150</v>
      </c>
      <c r="Q36" s="125">
        <v>1185320</v>
      </c>
      <c r="R36">
        <v>468</v>
      </c>
      <c r="S36">
        <v>0</v>
      </c>
      <c r="T36">
        <v>0</v>
      </c>
      <c r="U36">
        <v>0</v>
      </c>
      <c r="V36">
        <v>253434</v>
      </c>
      <c r="W36" s="125">
        <v>3358390</v>
      </c>
      <c r="X36">
        <v>123887</v>
      </c>
      <c r="Z36">
        <f t="array" ref="Z36">SUM(IF(D36=$D$21:$D$209,1,0))</f>
        <v>3</v>
      </c>
      <c r="AA36" t="str">
        <f t="shared" si="3"/>
        <v>Avista Corp</v>
      </c>
    </row>
    <row r="37" spans="1:27">
      <c r="A37" t="str">
        <f t="shared" si="2"/>
        <v>NorthWestern CorporationMT</v>
      </c>
      <c r="B37">
        <v>2012</v>
      </c>
      <c r="C37">
        <v>12825</v>
      </c>
      <c r="D37" t="s">
        <v>344</v>
      </c>
      <c r="E37" t="s">
        <v>305</v>
      </c>
      <c r="F37" t="s">
        <v>335</v>
      </c>
      <c r="G37" t="s">
        <v>28</v>
      </c>
      <c r="H37" t="s">
        <v>4</v>
      </c>
      <c r="I37" t="s">
        <v>336</v>
      </c>
      <c r="J37">
        <v>64363.612791611158</v>
      </c>
      <c r="K37">
        <v>599222.59100000001</v>
      </c>
      <c r="L37">
        <v>69628.80271652434</v>
      </c>
      <c r="M37">
        <v>89060.225778143882</v>
      </c>
      <c r="N37">
        <v>884308.21571774269</v>
      </c>
      <c r="O37">
        <v>17924.767306727525</v>
      </c>
      <c r="P37">
        <v>19479.455115760316</v>
      </c>
      <c r="Q37" s="125">
        <v>1205773.7220604764</v>
      </c>
      <c r="R37">
        <v>642.27344221378974</v>
      </c>
      <c r="S37">
        <v>0</v>
      </c>
      <c r="T37">
        <v>0</v>
      </c>
      <c r="U37">
        <v>0</v>
      </c>
      <c r="V37">
        <v>172903.29368551535</v>
      </c>
      <c r="W37" s="125">
        <v>2689304.5287782191</v>
      </c>
      <c r="X37">
        <v>106838.45247313351</v>
      </c>
      <c r="Z37">
        <f t="array" ref="Z37">SUM(IF(D37=$D$21:$D$209,1,0))</f>
        <v>2</v>
      </c>
      <c r="AA37" t="str">
        <f t="shared" si="3"/>
        <v>NorthWestern Corporation</v>
      </c>
    </row>
    <row r="38" spans="1:27">
      <c r="A38" t="str">
        <f t="shared" si="2"/>
        <v>Eugene City ofOR</v>
      </c>
      <c r="B38">
        <v>2012</v>
      </c>
      <c r="C38">
        <v>6022</v>
      </c>
      <c r="D38" t="s">
        <v>328</v>
      </c>
      <c r="E38" t="s">
        <v>305</v>
      </c>
      <c r="F38" t="s">
        <v>306</v>
      </c>
      <c r="G38" t="s">
        <v>5</v>
      </c>
      <c r="H38" t="s">
        <v>5</v>
      </c>
      <c r="I38" t="s">
        <v>307</v>
      </c>
      <c r="J38">
        <v>90785</v>
      </c>
      <c r="K38">
        <v>941922</v>
      </c>
      <c r="L38">
        <v>79626</v>
      </c>
      <c r="M38">
        <v>67004</v>
      </c>
      <c r="N38">
        <v>872419</v>
      </c>
      <c r="O38">
        <v>9712</v>
      </c>
      <c r="P38">
        <v>25721</v>
      </c>
      <c r="Q38" s="125">
        <v>550270</v>
      </c>
      <c r="R38">
        <v>4</v>
      </c>
      <c r="S38">
        <v>0</v>
      </c>
      <c r="T38">
        <v>0</v>
      </c>
      <c r="U38">
        <v>0</v>
      </c>
      <c r="V38">
        <v>183510</v>
      </c>
      <c r="W38" s="125">
        <v>2364611</v>
      </c>
      <c r="X38">
        <v>89342</v>
      </c>
      <c r="Y38" t="s">
        <v>318</v>
      </c>
      <c r="Z38">
        <f t="array" ref="Z38">SUM(IF(D38=$D$21:$D$209,1,0))</f>
        <v>1</v>
      </c>
      <c r="AA38" t="str">
        <f t="shared" si="3"/>
        <v/>
      </c>
    </row>
    <row r="39" spans="1:27">
      <c r="A39" t="str">
        <f t="shared" si="2"/>
        <v>PPL EnergyPlus LLCMT</v>
      </c>
      <c r="B39">
        <v>2012</v>
      </c>
      <c r="C39">
        <v>28802</v>
      </c>
      <c r="D39" t="s">
        <v>370</v>
      </c>
      <c r="E39" t="s">
        <v>311</v>
      </c>
      <c r="F39" t="s">
        <v>312</v>
      </c>
      <c r="G39" t="s">
        <v>28</v>
      </c>
      <c r="H39" t="s">
        <v>4</v>
      </c>
      <c r="I39" t="s">
        <v>313</v>
      </c>
      <c r="J39">
        <v>0</v>
      </c>
      <c r="K39">
        <v>0</v>
      </c>
      <c r="L39">
        <v>0</v>
      </c>
      <c r="M39">
        <v>3058.9</v>
      </c>
      <c r="N39">
        <v>86404</v>
      </c>
      <c r="O39">
        <v>4</v>
      </c>
      <c r="P39">
        <v>73869.600000000006</v>
      </c>
      <c r="Q39" s="125">
        <v>2128598</v>
      </c>
      <c r="R39">
        <v>10</v>
      </c>
      <c r="S39">
        <v>0</v>
      </c>
      <c r="T39">
        <v>0</v>
      </c>
      <c r="U39">
        <v>0</v>
      </c>
      <c r="V39">
        <v>76928.5</v>
      </c>
      <c r="W39" s="125">
        <v>2215002</v>
      </c>
      <c r="X39">
        <v>14</v>
      </c>
      <c r="Z39">
        <f t="array" ref="Z39">SUM(IF(D39=$D$21:$D$209,1,0))</f>
        <v>1</v>
      </c>
      <c r="AA39" t="str">
        <f t="shared" si="3"/>
        <v/>
      </c>
    </row>
    <row r="40" spans="1:27">
      <c r="A40" t="str">
        <f t="shared" si="2"/>
        <v>Puget Sound Energy IncWA</v>
      </c>
      <c r="B40">
        <v>2012</v>
      </c>
      <c r="C40">
        <v>15500</v>
      </c>
      <c r="D40" t="s">
        <v>19</v>
      </c>
      <c r="E40" t="s">
        <v>324</v>
      </c>
      <c r="F40" t="s">
        <v>335</v>
      </c>
      <c r="G40" t="s">
        <v>1</v>
      </c>
      <c r="H40" t="s">
        <v>1</v>
      </c>
      <c r="I40" t="s">
        <v>336</v>
      </c>
      <c r="J40">
        <v>0</v>
      </c>
      <c r="K40">
        <v>0</v>
      </c>
      <c r="L40">
        <v>0</v>
      </c>
      <c r="M40">
        <v>591</v>
      </c>
      <c r="N40">
        <v>76180</v>
      </c>
      <c r="O40">
        <v>1</v>
      </c>
      <c r="P40">
        <v>9145.2999999999993</v>
      </c>
      <c r="Q40" s="125">
        <v>1904693</v>
      </c>
      <c r="R40">
        <v>15</v>
      </c>
      <c r="S40" t="s">
        <v>314</v>
      </c>
      <c r="T40" t="s">
        <v>314</v>
      </c>
      <c r="U40" t="s">
        <v>314</v>
      </c>
      <c r="V40">
        <v>9736.2999999999993</v>
      </c>
      <c r="W40" s="125">
        <v>1980873</v>
      </c>
      <c r="X40">
        <v>16</v>
      </c>
      <c r="Y40">
        <v>0</v>
      </c>
      <c r="Z40">
        <f t="array" ref="Z40">SUM(IF(D40=$D$21:$D$209,1,0))</f>
        <v>2</v>
      </c>
      <c r="AA40" t="str">
        <f t="shared" si="3"/>
        <v>Puget Sound Energy Inc</v>
      </c>
    </row>
    <row r="41" spans="1:27">
      <c r="A41" t="str">
        <f t="shared" si="2"/>
        <v>PUD No 1 of Benton CountyWA</v>
      </c>
      <c r="B41">
        <v>2012</v>
      </c>
      <c r="C41">
        <v>1579</v>
      </c>
      <c r="D41" t="s">
        <v>65</v>
      </c>
      <c r="E41" t="s">
        <v>305</v>
      </c>
      <c r="F41" t="s">
        <v>306</v>
      </c>
      <c r="G41" t="s">
        <v>1</v>
      </c>
      <c r="H41" t="s">
        <v>1</v>
      </c>
      <c r="I41" t="s">
        <v>317</v>
      </c>
      <c r="J41">
        <v>50678</v>
      </c>
      <c r="K41">
        <v>668018</v>
      </c>
      <c r="L41">
        <v>40645</v>
      </c>
      <c r="M41">
        <v>33237</v>
      </c>
      <c r="N41">
        <v>520945</v>
      </c>
      <c r="O41">
        <v>7341</v>
      </c>
      <c r="P41">
        <v>22040</v>
      </c>
      <c r="Q41" s="125">
        <v>456313</v>
      </c>
      <c r="R41">
        <v>724</v>
      </c>
      <c r="S41" t="s">
        <v>314</v>
      </c>
      <c r="T41" t="s">
        <v>314</v>
      </c>
      <c r="U41" t="s">
        <v>314</v>
      </c>
      <c r="V41">
        <v>105955</v>
      </c>
      <c r="W41" s="125">
        <v>1645276</v>
      </c>
      <c r="X41">
        <v>48710</v>
      </c>
      <c r="Y41" t="s">
        <v>318</v>
      </c>
      <c r="Z41">
        <f t="array" ref="Z41">SUM(IF(D41=$D$21:$D$209,1,0))</f>
        <v>1</v>
      </c>
      <c r="AA41" t="str">
        <f t="shared" si="3"/>
        <v/>
      </c>
    </row>
    <row r="42" spans="1:27">
      <c r="A42" t="str">
        <f t="shared" si="2"/>
        <v>PUD No 1 of Chelan CountyWA</v>
      </c>
      <c r="B42">
        <v>2012</v>
      </c>
      <c r="C42">
        <v>3413</v>
      </c>
      <c r="D42" t="s">
        <v>67</v>
      </c>
      <c r="E42" t="s">
        <v>305</v>
      </c>
      <c r="F42" t="s">
        <v>306</v>
      </c>
      <c r="G42" t="s">
        <v>1</v>
      </c>
      <c r="H42" t="s">
        <v>1</v>
      </c>
      <c r="I42" t="s">
        <v>317</v>
      </c>
      <c r="J42">
        <v>24520.2</v>
      </c>
      <c r="K42">
        <v>762266</v>
      </c>
      <c r="L42">
        <v>36057</v>
      </c>
      <c r="M42">
        <v>16161.1</v>
      </c>
      <c r="N42">
        <v>469223</v>
      </c>
      <c r="O42">
        <v>10333</v>
      </c>
      <c r="P42">
        <v>6789.1</v>
      </c>
      <c r="Q42" s="125">
        <v>310897</v>
      </c>
      <c r="R42">
        <v>1521</v>
      </c>
      <c r="S42">
        <v>0</v>
      </c>
      <c r="T42">
        <v>0</v>
      </c>
      <c r="U42">
        <v>0</v>
      </c>
      <c r="V42">
        <v>47470.400000000001</v>
      </c>
      <c r="W42" s="125">
        <v>1542386</v>
      </c>
      <c r="X42">
        <v>47911</v>
      </c>
      <c r="Y42" t="s">
        <v>318</v>
      </c>
      <c r="Z42">
        <f t="array" ref="Z42">SUM(IF(D42=$D$21:$D$209,1,0))</f>
        <v>1</v>
      </c>
      <c r="AA42" t="str">
        <f t="shared" si="3"/>
        <v/>
      </c>
    </row>
    <row r="43" spans="1:27">
      <c r="A43" t="str">
        <f t="shared" si="2"/>
        <v>Flathead Electric Coop IncMT</v>
      </c>
      <c r="B43">
        <v>2012</v>
      </c>
      <c r="C43">
        <v>6395</v>
      </c>
      <c r="D43" t="s">
        <v>90</v>
      </c>
      <c r="E43" t="s">
        <v>305</v>
      </c>
      <c r="F43" t="s">
        <v>306</v>
      </c>
      <c r="G43" t="s">
        <v>28</v>
      </c>
      <c r="H43" t="s">
        <v>4</v>
      </c>
      <c r="I43" t="s">
        <v>309</v>
      </c>
      <c r="J43">
        <v>53850</v>
      </c>
      <c r="K43">
        <v>674819</v>
      </c>
      <c r="L43">
        <v>51979</v>
      </c>
      <c r="M43">
        <v>27431</v>
      </c>
      <c r="N43">
        <v>427906</v>
      </c>
      <c r="O43">
        <v>9561</v>
      </c>
      <c r="P43">
        <v>12006</v>
      </c>
      <c r="Q43" s="125">
        <v>244791</v>
      </c>
      <c r="R43">
        <v>81</v>
      </c>
      <c r="S43" t="s">
        <v>314</v>
      </c>
      <c r="T43" t="s">
        <v>314</v>
      </c>
      <c r="U43" t="s">
        <v>314</v>
      </c>
      <c r="V43">
        <v>93287</v>
      </c>
      <c r="W43" s="125">
        <v>1347516</v>
      </c>
      <c r="X43">
        <v>61621</v>
      </c>
      <c r="Y43" t="s">
        <v>318</v>
      </c>
      <c r="Z43">
        <f t="array" ref="Z43">SUM(IF(D43=$D$21:$D$209,1,0))</f>
        <v>1</v>
      </c>
      <c r="AA43" t="str">
        <f t="shared" si="3"/>
        <v/>
      </c>
    </row>
    <row r="44" spans="1:27">
      <c r="A44" t="str">
        <f t="shared" si="2"/>
        <v>Noble Americas Energy Solutions LLCOR</v>
      </c>
      <c r="B44">
        <v>2012</v>
      </c>
      <c r="C44">
        <v>16840</v>
      </c>
      <c r="D44" t="s">
        <v>355</v>
      </c>
      <c r="E44" t="s">
        <v>311</v>
      </c>
      <c r="F44" t="s">
        <v>312</v>
      </c>
      <c r="G44" t="s">
        <v>5</v>
      </c>
      <c r="H44" t="s">
        <v>5</v>
      </c>
      <c r="I44" t="s">
        <v>313</v>
      </c>
      <c r="J44">
        <v>0</v>
      </c>
      <c r="K44">
        <v>0</v>
      </c>
      <c r="L44">
        <v>0</v>
      </c>
      <c r="M44">
        <v>31984</v>
      </c>
      <c r="N44">
        <v>904381</v>
      </c>
      <c r="O44">
        <v>40</v>
      </c>
      <c r="P44">
        <v>15341.8</v>
      </c>
      <c r="Q44" s="125">
        <v>434140</v>
      </c>
      <c r="R44">
        <v>7</v>
      </c>
      <c r="S44">
        <v>0</v>
      </c>
      <c r="T44">
        <v>0</v>
      </c>
      <c r="U44">
        <v>0</v>
      </c>
      <c r="V44">
        <v>47325.8</v>
      </c>
      <c r="W44" s="125">
        <v>1338521</v>
      </c>
      <c r="X44">
        <v>47</v>
      </c>
      <c r="Z44">
        <f t="array" ref="Z44">SUM(IF(D44=$D$21:$D$209,1,0))</f>
        <v>1</v>
      </c>
      <c r="AA44" t="str">
        <f t="shared" si="3"/>
        <v/>
      </c>
    </row>
    <row r="45" spans="1:27">
      <c r="A45" t="str">
        <f t="shared" si="2"/>
        <v>Central Lincoln People's Ut DtOR</v>
      </c>
      <c r="B45">
        <v>2012</v>
      </c>
      <c r="C45">
        <v>3264</v>
      </c>
      <c r="D45" t="s">
        <v>69</v>
      </c>
      <c r="E45" t="s">
        <v>305</v>
      </c>
      <c r="F45" t="s">
        <v>306</v>
      </c>
      <c r="G45" t="s">
        <v>5</v>
      </c>
      <c r="H45" t="s">
        <v>5</v>
      </c>
      <c r="I45" t="s">
        <v>317</v>
      </c>
      <c r="J45">
        <v>34004</v>
      </c>
      <c r="K45">
        <v>433411</v>
      </c>
      <c r="L45">
        <v>32744</v>
      </c>
      <c r="M45">
        <v>13633</v>
      </c>
      <c r="N45">
        <v>188055</v>
      </c>
      <c r="O45">
        <v>5449</v>
      </c>
      <c r="P45">
        <v>28118</v>
      </c>
      <c r="Q45" s="125">
        <v>689573</v>
      </c>
      <c r="R45">
        <v>182</v>
      </c>
      <c r="S45" t="s">
        <v>314</v>
      </c>
      <c r="T45" t="s">
        <v>314</v>
      </c>
      <c r="U45" t="s">
        <v>314</v>
      </c>
      <c r="V45">
        <v>75755</v>
      </c>
      <c r="W45" s="125">
        <v>1311039</v>
      </c>
      <c r="X45">
        <v>38375</v>
      </c>
      <c r="Y45" t="s">
        <v>308</v>
      </c>
      <c r="Z45">
        <f t="array" ref="Z45">SUM(IF(D45=$D$21:$D$209,1,0))</f>
        <v>1</v>
      </c>
      <c r="AA45" t="str">
        <f t="shared" si="3"/>
        <v/>
      </c>
    </row>
    <row r="46" spans="1:27">
      <c r="A46" t="str">
        <f t="shared" si="2"/>
        <v>Portland General Electric CompanyOR</v>
      </c>
      <c r="B46">
        <v>2012</v>
      </c>
      <c r="C46">
        <v>15248</v>
      </c>
      <c r="D46" t="s">
        <v>21</v>
      </c>
      <c r="E46" t="s">
        <v>324</v>
      </c>
      <c r="F46" t="s">
        <v>335</v>
      </c>
      <c r="G46" t="s">
        <v>5</v>
      </c>
      <c r="H46" t="s">
        <v>5</v>
      </c>
      <c r="I46" t="s">
        <v>336</v>
      </c>
      <c r="J46">
        <v>0</v>
      </c>
      <c r="K46">
        <v>0</v>
      </c>
      <c r="L46">
        <v>0</v>
      </c>
      <c r="M46">
        <v>16504</v>
      </c>
      <c r="N46">
        <v>438470</v>
      </c>
      <c r="O46">
        <v>452</v>
      </c>
      <c r="P46">
        <v>16771</v>
      </c>
      <c r="Q46" s="125">
        <v>808238</v>
      </c>
      <c r="R46">
        <v>46</v>
      </c>
      <c r="S46">
        <v>0</v>
      </c>
      <c r="T46">
        <v>0</v>
      </c>
      <c r="U46">
        <v>0</v>
      </c>
      <c r="V46">
        <v>33275</v>
      </c>
      <c r="W46" s="125">
        <v>1246708</v>
      </c>
      <c r="X46">
        <v>498</v>
      </c>
      <c r="Z46">
        <f t="array" ref="Z46">SUM(IF(D46=$D$21:$D$209,1,0))</f>
        <v>2</v>
      </c>
      <c r="AA46" t="str">
        <f t="shared" si="3"/>
        <v>Portland General Electric Company</v>
      </c>
    </row>
    <row r="47" spans="1:27">
      <c r="A47" t="str">
        <f t="shared" si="2"/>
        <v>PUD No 1 of Pend Oreille CntyWA</v>
      </c>
      <c r="B47">
        <v>2012</v>
      </c>
      <c r="C47">
        <v>14653</v>
      </c>
      <c r="D47" t="s">
        <v>82</v>
      </c>
      <c r="E47" t="s">
        <v>305</v>
      </c>
      <c r="F47" t="s">
        <v>306</v>
      </c>
      <c r="G47" t="s">
        <v>1</v>
      </c>
      <c r="H47" t="s">
        <v>1</v>
      </c>
      <c r="I47" t="s">
        <v>317</v>
      </c>
      <c r="J47">
        <v>8460</v>
      </c>
      <c r="K47">
        <v>138253</v>
      </c>
      <c r="L47">
        <v>7893</v>
      </c>
      <c r="M47">
        <v>2489</v>
      </c>
      <c r="N47">
        <v>49850</v>
      </c>
      <c r="O47">
        <v>876</v>
      </c>
      <c r="P47">
        <v>32048</v>
      </c>
      <c r="Q47" s="125">
        <v>814788</v>
      </c>
      <c r="R47">
        <v>8</v>
      </c>
      <c r="S47" t="s">
        <v>314</v>
      </c>
      <c r="T47" t="s">
        <v>314</v>
      </c>
      <c r="U47" t="s">
        <v>314</v>
      </c>
      <c r="V47">
        <v>42997</v>
      </c>
      <c r="W47" s="125">
        <v>1002891</v>
      </c>
      <c r="X47">
        <v>8777</v>
      </c>
      <c r="Y47" t="s">
        <v>308</v>
      </c>
      <c r="Z47">
        <f t="array" ref="Z47">SUM(IF(D47=$D$21:$D$209,1,0))</f>
        <v>1</v>
      </c>
      <c r="AA47" t="str">
        <f t="shared" si="3"/>
        <v/>
      </c>
    </row>
    <row r="48" spans="1:27">
      <c r="A48" t="str">
        <f t="shared" si="2"/>
        <v>PUD No 1 of Franklin CountyWA</v>
      </c>
      <c r="B48">
        <v>2012</v>
      </c>
      <c r="C48">
        <v>6716</v>
      </c>
      <c r="D48" t="s">
        <v>73</v>
      </c>
      <c r="E48" t="s">
        <v>305</v>
      </c>
      <c r="F48" t="s">
        <v>306</v>
      </c>
      <c r="G48" t="s">
        <v>1</v>
      </c>
      <c r="H48" t="s">
        <v>1</v>
      </c>
      <c r="I48" t="s">
        <v>317</v>
      </c>
      <c r="J48">
        <v>27963</v>
      </c>
      <c r="K48">
        <v>336205</v>
      </c>
      <c r="L48">
        <v>21997</v>
      </c>
      <c r="M48">
        <v>21549</v>
      </c>
      <c r="N48">
        <v>364908</v>
      </c>
      <c r="O48">
        <v>1830</v>
      </c>
      <c r="P48">
        <v>15220</v>
      </c>
      <c r="Q48" s="125">
        <v>284551</v>
      </c>
      <c r="R48">
        <v>421</v>
      </c>
      <c r="S48" t="s">
        <v>314</v>
      </c>
      <c r="T48" t="s">
        <v>314</v>
      </c>
      <c r="U48" t="s">
        <v>314</v>
      </c>
      <c r="V48">
        <v>64732</v>
      </c>
      <c r="W48" s="125">
        <v>985664</v>
      </c>
      <c r="X48">
        <v>24248</v>
      </c>
      <c r="Y48" t="s">
        <v>308</v>
      </c>
      <c r="Z48">
        <f t="array" ref="Z48">SUM(IF(D48=$D$21:$D$209,1,0))</f>
        <v>1</v>
      </c>
      <c r="AA48" t="str">
        <f t="shared" si="3"/>
        <v/>
      </c>
    </row>
    <row r="49" spans="1:27">
      <c r="A49" t="str">
        <f t="shared" si="2"/>
        <v>PUD No 1 of Grays Harbor CntyWA</v>
      </c>
      <c r="B49">
        <v>2012</v>
      </c>
      <c r="C49">
        <v>7548</v>
      </c>
      <c r="D49" t="s">
        <v>66</v>
      </c>
      <c r="E49" t="s">
        <v>305</v>
      </c>
      <c r="F49" t="s">
        <v>306</v>
      </c>
      <c r="G49" t="s">
        <v>1</v>
      </c>
      <c r="H49" t="s">
        <v>1</v>
      </c>
      <c r="I49" t="s">
        <v>317</v>
      </c>
      <c r="J49">
        <v>42555</v>
      </c>
      <c r="K49">
        <v>497856</v>
      </c>
      <c r="L49">
        <v>34660</v>
      </c>
      <c r="M49">
        <v>24268</v>
      </c>
      <c r="N49">
        <v>301746</v>
      </c>
      <c r="O49">
        <v>4229</v>
      </c>
      <c r="P49">
        <v>10355</v>
      </c>
      <c r="Q49" s="125">
        <v>176342</v>
      </c>
      <c r="R49">
        <v>2524</v>
      </c>
      <c r="S49" t="s">
        <v>314</v>
      </c>
      <c r="T49" t="s">
        <v>314</v>
      </c>
      <c r="U49" t="s">
        <v>314</v>
      </c>
      <c r="V49">
        <v>77178</v>
      </c>
      <c r="W49" s="125">
        <v>975944</v>
      </c>
      <c r="X49">
        <v>41413</v>
      </c>
      <c r="Y49" t="s">
        <v>318</v>
      </c>
      <c r="Z49">
        <f t="array" ref="Z49">SUM(IF(D49=$D$21:$D$209,1,0))</f>
        <v>1</v>
      </c>
      <c r="AA49" t="str">
        <f t="shared" si="3"/>
        <v/>
      </c>
    </row>
    <row r="50" spans="1:27">
      <c r="A50" t="str">
        <f t="shared" si="2"/>
        <v>Umatilla Electric Coop AssnOR</v>
      </c>
      <c r="B50">
        <v>2012</v>
      </c>
      <c r="C50">
        <v>19325</v>
      </c>
      <c r="D50" t="s">
        <v>114</v>
      </c>
      <c r="E50" t="s">
        <v>305</v>
      </c>
      <c r="F50" t="s">
        <v>306</v>
      </c>
      <c r="G50" t="s">
        <v>5</v>
      </c>
      <c r="H50" t="s">
        <v>5</v>
      </c>
      <c r="I50" t="s">
        <v>309</v>
      </c>
      <c r="J50">
        <v>12794.8</v>
      </c>
      <c r="K50">
        <v>164377</v>
      </c>
      <c r="L50">
        <v>10961</v>
      </c>
      <c r="M50">
        <v>10359.700000000001</v>
      </c>
      <c r="N50">
        <v>167374</v>
      </c>
      <c r="O50">
        <v>1859</v>
      </c>
      <c r="P50">
        <v>30618.2</v>
      </c>
      <c r="Q50" s="125">
        <v>641630</v>
      </c>
      <c r="R50">
        <v>1434</v>
      </c>
      <c r="S50" t="s">
        <v>314</v>
      </c>
      <c r="T50" t="s">
        <v>314</v>
      </c>
      <c r="U50" t="s">
        <v>314</v>
      </c>
      <c r="V50">
        <v>53772.7</v>
      </c>
      <c r="W50" s="125">
        <v>973381</v>
      </c>
      <c r="X50">
        <v>14254</v>
      </c>
      <c r="Y50" t="s">
        <v>308</v>
      </c>
      <c r="Z50">
        <f t="array" ref="Z50">SUM(IF(D50=$D$21:$D$209,1,0))</f>
        <v>1</v>
      </c>
      <c r="AA50" t="str">
        <f t="shared" si="3"/>
        <v/>
      </c>
    </row>
    <row r="51" spans="1:27">
      <c r="A51" t="str">
        <f t="shared" si="2"/>
        <v>Clatskanie Peoples Util DistOR</v>
      </c>
      <c r="B51">
        <v>2012</v>
      </c>
      <c r="C51">
        <v>28541</v>
      </c>
      <c r="D51" t="s">
        <v>84</v>
      </c>
      <c r="E51" t="s">
        <v>305</v>
      </c>
      <c r="F51" t="s">
        <v>306</v>
      </c>
      <c r="G51" t="s">
        <v>5</v>
      </c>
      <c r="H51" t="s">
        <v>5</v>
      </c>
      <c r="I51" t="s">
        <v>317</v>
      </c>
      <c r="J51">
        <v>3499</v>
      </c>
      <c r="K51">
        <v>72364</v>
      </c>
      <c r="L51">
        <v>4036</v>
      </c>
      <c r="M51">
        <v>1347</v>
      </c>
      <c r="N51">
        <v>26226</v>
      </c>
      <c r="O51">
        <v>569</v>
      </c>
      <c r="P51">
        <v>37167</v>
      </c>
      <c r="Q51" s="125">
        <v>872001</v>
      </c>
      <c r="R51">
        <v>4</v>
      </c>
      <c r="S51">
        <v>0</v>
      </c>
      <c r="T51">
        <v>0</v>
      </c>
      <c r="U51">
        <v>0</v>
      </c>
      <c r="V51">
        <v>42013</v>
      </c>
      <c r="W51" s="125">
        <v>970591</v>
      </c>
      <c r="X51">
        <v>4609</v>
      </c>
      <c r="Y51" t="s">
        <v>308</v>
      </c>
      <c r="Z51">
        <f t="array" ref="Z51">SUM(IF(D51=$D$21:$D$209,1,0))</f>
        <v>1</v>
      </c>
      <c r="AA51" t="str">
        <f t="shared" si="3"/>
        <v/>
      </c>
    </row>
    <row r="52" spans="1:27">
      <c r="A52" t="str">
        <f t="shared" si="2"/>
        <v>PUD No 1 of Lewis CountyWA</v>
      </c>
      <c r="B52">
        <v>2012</v>
      </c>
      <c r="C52">
        <v>10944</v>
      </c>
      <c r="D52" t="s">
        <v>72</v>
      </c>
      <c r="E52" t="s">
        <v>305</v>
      </c>
      <c r="F52" t="s">
        <v>306</v>
      </c>
      <c r="G52" t="s">
        <v>1</v>
      </c>
      <c r="H52" t="s">
        <v>1</v>
      </c>
      <c r="I52" t="s">
        <v>317</v>
      </c>
      <c r="J52">
        <v>28977</v>
      </c>
      <c r="K52">
        <v>457085</v>
      </c>
      <c r="L52">
        <v>25707</v>
      </c>
      <c r="M52">
        <v>12569</v>
      </c>
      <c r="N52">
        <v>217839</v>
      </c>
      <c r="O52">
        <v>5266</v>
      </c>
      <c r="P52">
        <v>12144</v>
      </c>
      <c r="Q52" s="125">
        <v>249638</v>
      </c>
      <c r="R52">
        <v>74</v>
      </c>
      <c r="S52" t="s">
        <v>314</v>
      </c>
      <c r="T52" t="s">
        <v>314</v>
      </c>
      <c r="U52" t="s">
        <v>314</v>
      </c>
      <c r="V52">
        <v>53690</v>
      </c>
      <c r="W52" s="125">
        <v>924562</v>
      </c>
      <c r="X52">
        <v>31047</v>
      </c>
      <c r="Y52" t="s">
        <v>308</v>
      </c>
      <c r="Z52">
        <f t="array" ref="Z52">SUM(IF(D52=$D$21:$D$209,1,0))</f>
        <v>1</v>
      </c>
      <c r="AA52" t="str">
        <f t="shared" si="3"/>
        <v/>
      </c>
    </row>
    <row r="53" spans="1:27">
      <c r="A53" t="str">
        <f t="shared" si="2"/>
        <v>BP Energy CompanyWA</v>
      </c>
      <c r="B53">
        <v>2012</v>
      </c>
      <c r="C53">
        <v>540</v>
      </c>
      <c r="D53" t="s">
        <v>310</v>
      </c>
      <c r="E53" t="s">
        <v>311</v>
      </c>
      <c r="F53" t="s">
        <v>312</v>
      </c>
      <c r="G53" t="s">
        <v>1</v>
      </c>
      <c r="H53" t="s">
        <v>1</v>
      </c>
      <c r="I53" t="s">
        <v>313</v>
      </c>
      <c r="J53" t="s">
        <v>314</v>
      </c>
      <c r="K53" t="s">
        <v>314</v>
      </c>
      <c r="L53" t="s">
        <v>314</v>
      </c>
      <c r="M53" t="s">
        <v>314</v>
      </c>
      <c r="N53">
        <v>0</v>
      </c>
      <c r="O53" t="s">
        <v>314</v>
      </c>
      <c r="P53">
        <v>21718</v>
      </c>
      <c r="Q53" s="125">
        <v>852781</v>
      </c>
      <c r="R53">
        <v>3</v>
      </c>
      <c r="S53" t="s">
        <v>314</v>
      </c>
      <c r="T53" t="s">
        <v>314</v>
      </c>
      <c r="U53" t="s">
        <v>314</v>
      </c>
      <c r="V53">
        <v>21718</v>
      </c>
      <c r="W53" s="125">
        <v>852781</v>
      </c>
      <c r="X53">
        <v>3</v>
      </c>
      <c r="Z53">
        <f t="array" ref="Z53">SUM(IF(D53=$D$21:$D$209,1,0))</f>
        <v>1</v>
      </c>
      <c r="AA53" t="str">
        <f t="shared" si="3"/>
        <v/>
      </c>
    </row>
    <row r="54" spans="1:27">
      <c r="A54" t="str">
        <f t="shared" si="2"/>
        <v>City of RichlandWA</v>
      </c>
      <c r="B54">
        <v>2012</v>
      </c>
      <c r="C54">
        <v>15979</v>
      </c>
      <c r="D54" t="s">
        <v>31</v>
      </c>
      <c r="E54" t="s">
        <v>305</v>
      </c>
      <c r="F54" t="s">
        <v>306</v>
      </c>
      <c r="G54" t="s">
        <v>1</v>
      </c>
      <c r="H54" t="s">
        <v>1</v>
      </c>
      <c r="I54" t="s">
        <v>307</v>
      </c>
      <c r="J54">
        <v>22913</v>
      </c>
      <c r="K54">
        <v>330864</v>
      </c>
      <c r="L54">
        <v>22846</v>
      </c>
      <c r="M54">
        <v>16527</v>
      </c>
      <c r="N54">
        <v>346643</v>
      </c>
      <c r="O54">
        <v>2870</v>
      </c>
      <c r="P54">
        <v>6912</v>
      </c>
      <c r="Q54" s="125">
        <v>170011</v>
      </c>
      <c r="R54">
        <v>11</v>
      </c>
      <c r="S54" t="s">
        <v>314</v>
      </c>
      <c r="T54" t="s">
        <v>314</v>
      </c>
      <c r="U54" t="s">
        <v>314</v>
      </c>
      <c r="V54">
        <v>46352</v>
      </c>
      <c r="W54" s="125">
        <v>847518</v>
      </c>
      <c r="X54">
        <v>25727</v>
      </c>
      <c r="Y54" t="s">
        <v>318</v>
      </c>
      <c r="Z54">
        <f t="array" ref="Z54">SUM(IF(D54=$D$21:$D$209,1,0))</f>
        <v>1</v>
      </c>
      <c r="AA54" t="str">
        <f t="shared" si="3"/>
        <v/>
      </c>
    </row>
    <row r="55" spans="1:27">
      <c r="A55" t="str">
        <f t="shared" si="2"/>
        <v>Inland Power &amp; Light CompanyWA</v>
      </c>
      <c r="B55">
        <v>2012</v>
      </c>
      <c r="C55">
        <v>8699</v>
      </c>
      <c r="D55" t="s">
        <v>92</v>
      </c>
      <c r="E55" t="s">
        <v>305</v>
      </c>
      <c r="F55" t="s">
        <v>306</v>
      </c>
      <c r="G55" t="s">
        <v>1</v>
      </c>
      <c r="H55" t="s">
        <v>1</v>
      </c>
      <c r="I55" t="s">
        <v>309</v>
      </c>
      <c r="J55">
        <v>43042</v>
      </c>
      <c r="K55">
        <v>591806</v>
      </c>
      <c r="L55">
        <v>34465</v>
      </c>
      <c r="M55">
        <v>8071</v>
      </c>
      <c r="N55">
        <v>117436</v>
      </c>
      <c r="O55">
        <v>2149</v>
      </c>
      <c r="P55">
        <v>6655</v>
      </c>
      <c r="Q55" s="125">
        <v>117121</v>
      </c>
      <c r="R55">
        <v>525</v>
      </c>
      <c r="S55" t="s">
        <v>314</v>
      </c>
      <c r="T55" t="s">
        <v>314</v>
      </c>
      <c r="U55" t="s">
        <v>314</v>
      </c>
      <c r="V55">
        <v>57768</v>
      </c>
      <c r="W55" s="125">
        <v>826363</v>
      </c>
      <c r="X55">
        <v>37139</v>
      </c>
      <c r="Y55" t="s">
        <v>308</v>
      </c>
      <c r="Z55">
        <f t="array" ref="Z55">SUM(IF(D55=$D$21:$D$209,1,0))</f>
        <v>2</v>
      </c>
      <c r="AA55" t="str">
        <f t="shared" si="3"/>
        <v>Inland Power &amp; Light Company</v>
      </c>
    </row>
    <row r="56" spans="1:27">
      <c r="A56" t="str">
        <f t="shared" si="2"/>
        <v>City of SpringfieldOR</v>
      </c>
      <c r="B56">
        <v>2012</v>
      </c>
      <c r="C56">
        <v>17839</v>
      </c>
      <c r="D56" t="s">
        <v>30</v>
      </c>
      <c r="E56" t="s">
        <v>305</v>
      </c>
      <c r="F56" t="s">
        <v>306</v>
      </c>
      <c r="G56" t="s">
        <v>5</v>
      </c>
      <c r="H56" t="s">
        <v>5</v>
      </c>
      <c r="I56" t="s">
        <v>307</v>
      </c>
      <c r="J56">
        <v>21526</v>
      </c>
      <c r="K56">
        <v>386504</v>
      </c>
      <c r="L56">
        <v>27848</v>
      </c>
      <c r="M56">
        <v>14565</v>
      </c>
      <c r="N56">
        <v>262900</v>
      </c>
      <c r="O56">
        <v>3834</v>
      </c>
      <c r="P56">
        <v>7855</v>
      </c>
      <c r="Q56" s="125">
        <v>162504</v>
      </c>
      <c r="R56">
        <v>13</v>
      </c>
      <c r="S56" t="s">
        <v>314</v>
      </c>
      <c r="T56" t="s">
        <v>314</v>
      </c>
      <c r="U56" t="s">
        <v>314</v>
      </c>
      <c r="V56">
        <v>43946</v>
      </c>
      <c r="W56" s="125">
        <v>811908</v>
      </c>
      <c r="X56">
        <v>31695</v>
      </c>
      <c r="Y56" t="s">
        <v>318</v>
      </c>
      <c r="Z56">
        <f t="array" ref="Z56">SUM(IF(D56=$D$21:$D$209,1,0))</f>
        <v>1</v>
      </c>
      <c r="AA56" t="str">
        <f t="shared" si="3"/>
        <v/>
      </c>
    </row>
    <row r="57" spans="1:27">
      <c r="A57" t="str">
        <f t="shared" si="2"/>
        <v>Montana-Dakota Utilities CoMT</v>
      </c>
      <c r="B57">
        <v>2012</v>
      </c>
      <c r="C57">
        <v>12199</v>
      </c>
      <c r="D57" t="s">
        <v>342</v>
      </c>
      <c r="E57" t="s">
        <v>305</v>
      </c>
      <c r="F57" t="s">
        <v>335</v>
      </c>
      <c r="G57" t="s">
        <v>316</v>
      </c>
      <c r="H57" t="s">
        <v>4</v>
      </c>
      <c r="I57" t="s">
        <v>336</v>
      </c>
      <c r="J57">
        <v>16042</v>
      </c>
      <c r="K57">
        <v>190509</v>
      </c>
      <c r="L57">
        <v>19390</v>
      </c>
      <c r="M57">
        <v>17694</v>
      </c>
      <c r="N57">
        <v>251430</v>
      </c>
      <c r="O57">
        <v>5478</v>
      </c>
      <c r="P57">
        <v>17062</v>
      </c>
      <c r="Q57" s="125">
        <v>320527</v>
      </c>
      <c r="R57">
        <v>143</v>
      </c>
      <c r="S57">
        <v>0</v>
      </c>
      <c r="T57">
        <v>0</v>
      </c>
      <c r="U57">
        <v>0</v>
      </c>
      <c r="V57">
        <v>50798</v>
      </c>
      <c r="W57" s="125">
        <v>762466</v>
      </c>
      <c r="X57">
        <v>25011</v>
      </c>
      <c r="Z57">
        <f t="array" ref="Z57">SUM(IF(D57=$D$21:$D$209,1,0))</f>
        <v>1</v>
      </c>
      <c r="AA57" t="str">
        <f t="shared" si="3"/>
        <v/>
      </c>
    </row>
    <row r="58" spans="1:27">
      <c r="A58" t="str">
        <f t="shared" si="2"/>
        <v>PUD No 1 of Douglas CountyWA</v>
      </c>
      <c r="B58">
        <v>2012</v>
      </c>
      <c r="C58">
        <v>5326</v>
      </c>
      <c r="D58" t="s">
        <v>78</v>
      </c>
      <c r="E58" t="s">
        <v>305</v>
      </c>
      <c r="F58" t="s">
        <v>306</v>
      </c>
      <c r="G58" t="s">
        <v>1</v>
      </c>
      <c r="H58" t="s">
        <v>1</v>
      </c>
      <c r="I58" t="s">
        <v>317</v>
      </c>
      <c r="J58">
        <v>10371</v>
      </c>
      <c r="K58">
        <v>392981</v>
      </c>
      <c r="L58">
        <v>13893</v>
      </c>
      <c r="M58">
        <v>4917</v>
      </c>
      <c r="N58">
        <v>254538</v>
      </c>
      <c r="O58">
        <v>1088</v>
      </c>
      <c r="P58">
        <v>2499</v>
      </c>
      <c r="Q58" s="125">
        <v>104578</v>
      </c>
      <c r="R58">
        <v>299</v>
      </c>
      <c r="S58" t="s">
        <v>314</v>
      </c>
      <c r="T58" t="s">
        <v>314</v>
      </c>
      <c r="U58" t="s">
        <v>314</v>
      </c>
      <c r="V58">
        <v>17787</v>
      </c>
      <c r="W58" s="125">
        <v>752097</v>
      </c>
      <c r="X58">
        <v>15280</v>
      </c>
      <c r="Y58" t="s">
        <v>308</v>
      </c>
      <c r="Z58">
        <f t="array" ref="Z58">SUM(IF(D58=$D$21:$D$209,1,0))</f>
        <v>1</v>
      </c>
      <c r="AA58" t="str">
        <f t="shared" si="3"/>
        <v/>
      </c>
    </row>
    <row r="59" spans="1:27">
      <c r="A59" t="str">
        <f t="shared" si="2"/>
        <v>Port Angeles City ofWA</v>
      </c>
      <c r="B59">
        <v>2012</v>
      </c>
      <c r="C59">
        <v>15231</v>
      </c>
      <c r="D59" t="s">
        <v>350</v>
      </c>
      <c r="E59" t="s">
        <v>305</v>
      </c>
      <c r="F59" t="s">
        <v>306</v>
      </c>
      <c r="G59" t="s">
        <v>1</v>
      </c>
      <c r="H59" t="s">
        <v>1</v>
      </c>
      <c r="I59" t="s">
        <v>307</v>
      </c>
      <c r="J59">
        <v>9617</v>
      </c>
      <c r="K59">
        <v>133310</v>
      </c>
      <c r="L59">
        <v>9562</v>
      </c>
      <c r="M59">
        <v>7133</v>
      </c>
      <c r="N59">
        <v>112336</v>
      </c>
      <c r="O59">
        <v>1960</v>
      </c>
      <c r="P59">
        <v>16444</v>
      </c>
      <c r="Q59" s="125">
        <v>476055</v>
      </c>
      <c r="R59">
        <v>5</v>
      </c>
      <c r="S59" t="s">
        <v>314</v>
      </c>
      <c r="T59" t="s">
        <v>314</v>
      </c>
      <c r="U59" t="s">
        <v>314</v>
      </c>
      <c r="V59">
        <v>33194</v>
      </c>
      <c r="W59" s="125">
        <v>721701</v>
      </c>
      <c r="X59">
        <v>11527</v>
      </c>
      <c r="Y59" t="s">
        <v>308</v>
      </c>
      <c r="Z59">
        <f t="array" ref="Z59">SUM(IF(D59=$D$21:$D$209,1,0))</f>
        <v>1</v>
      </c>
      <c r="AA59" t="str">
        <f t="shared" si="3"/>
        <v/>
      </c>
    </row>
    <row r="60" spans="1:27">
      <c r="A60" t="str">
        <f t="shared" si="2"/>
        <v>McMinnville City ofOR</v>
      </c>
      <c r="B60">
        <v>2012</v>
      </c>
      <c r="C60">
        <v>12187</v>
      </c>
      <c r="D60" t="s">
        <v>341</v>
      </c>
      <c r="E60" t="s">
        <v>305</v>
      </c>
      <c r="F60" t="s">
        <v>306</v>
      </c>
      <c r="G60" t="s">
        <v>5</v>
      </c>
      <c r="H60" t="s">
        <v>5</v>
      </c>
      <c r="I60" t="s">
        <v>307</v>
      </c>
      <c r="J60">
        <v>10950</v>
      </c>
      <c r="K60">
        <v>204187</v>
      </c>
      <c r="L60">
        <v>13068</v>
      </c>
      <c r="M60">
        <v>11851</v>
      </c>
      <c r="N60">
        <v>177463</v>
      </c>
      <c r="O60">
        <v>3150</v>
      </c>
      <c r="P60">
        <v>12947</v>
      </c>
      <c r="Q60" s="125">
        <v>335477</v>
      </c>
      <c r="R60">
        <v>52</v>
      </c>
      <c r="S60">
        <v>0</v>
      </c>
      <c r="T60">
        <v>0</v>
      </c>
      <c r="U60">
        <v>0</v>
      </c>
      <c r="V60">
        <v>35748</v>
      </c>
      <c r="W60" s="125">
        <v>717127</v>
      </c>
      <c r="X60">
        <v>16270</v>
      </c>
      <c r="Y60" t="s">
        <v>318</v>
      </c>
      <c r="Z60">
        <f t="array" ref="Z60">SUM(IF(D60=$D$21:$D$209,1,0))</f>
        <v>1</v>
      </c>
      <c r="AA60" t="str">
        <f t="shared" si="3"/>
        <v/>
      </c>
    </row>
    <row r="61" spans="1:27">
      <c r="A61" t="str">
        <f t="shared" si="2"/>
        <v>PUD No 3 of Mason CountyWA</v>
      </c>
      <c r="B61">
        <v>2012</v>
      </c>
      <c r="C61">
        <v>15419</v>
      </c>
      <c r="D61" t="s">
        <v>70</v>
      </c>
      <c r="E61" t="s">
        <v>305</v>
      </c>
      <c r="F61" t="s">
        <v>306</v>
      </c>
      <c r="G61" t="s">
        <v>1</v>
      </c>
      <c r="H61" t="s">
        <v>1</v>
      </c>
      <c r="I61" t="s">
        <v>317</v>
      </c>
      <c r="J61">
        <v>32336.2</v>
      </c>
      <c r="K61">
        <v>425976</v>
      </c>
      <c r="L61">
        <v>30001</v>
      </c>
      <c r="M61">
        <v>12847.8</v>
      </c>
      <c r="N61">
        <v>185203</v>
      </c>
      <c r="O61">
        <v>2247</v>
      </c>
      <c r="P61">
        <v>2468.1</v>
      </c>
      <c r="Q61" s="125">
        <v>52358</v>
      </c>
      <c r="R61">
        <v>1</v>
      </c>
      <c r="S61" t="s">
        <v>314</v>
      </c>
      <c r="T61" t="s">
        <v>314</v>
      </c>
      <c r="U61" t="s">
        <v>314</v>
      </c>
      <c r="V61">
        <v>47652.1</v>
      </c>
      <c r="W61" s="125">
        <v>663537</v>
      </c>
      <c r="X61">
        <v>32249</v>
      </c>
      <c r="Y61" t="s">
        <v>308</v>
      </c>
      <c r="Z61">
        <f t="array" ref="Z61">SUM(IF(D61=$D$21:$D$209,1,0))</f>
        <v>1</v>
      </c>
      <c r="AA61" t="str">
        <f t="shared" si="3"/>
        <v/>
      </c>
    </row>
    <row r="62" spans="1:27">
      <c r="A62" t="str">
        <f t="shared" si="2"/>
        <v>PUD No 1 of Clallam CountyWA</v>
      </c>
      <c r="B62">
        <v>2012</v>
      </c>
      <c r="C62">
        <v>3644</v>
      </c>
      <c r="D62" t="s">
        <v>71</v>
      </c>
      <c r="E62" t="s">
        <v>305</v>
      </c>
      <c r="F62" t="s">
        <v>306</v>
      </c>
      <c r="G62" t="s">
        <v>1</v>
      </c>
      <c r="H62" t="s">
        <v>1</v>
      </c>
      <c r="I62" t="s">
        <v>317</v>
      </c>
      <c r="J62">
        <v>36111</v>
      </c>
      <c r="K62">
        <v>446567</v>
      </c>
      <c r="L62">
        <v>27183</v>
      </c>
      <c r="M62">
        <v>11587</v>
      </c>
      <c r="N62">
        <v>172056</v>
      </c>
      <c r="O62">
        <v>3282</v>
      </c>
      <c r="P62">
        <v>1750</v>
      </c>
      <c r="Q62" s="125">
        <v>28879</v>
      </c>
      <c r="R62">
        <v>5</v>
      </c>
      <c r="S62" t="s">
        <v>314</v>
      </c>
      <c r="T62" t="s">
        <v>314</v>
      </c>
      <c r="U62" t="s">
        <v>314</v>
      </c>
      <c r="V62">
        <v>49448</v>
      </c>
      <c r="W62" s="125">
        <v>647502</v>
      </c>
      <c r="X62">
        <v>30470</v>
      </c>
      <c r="Y62" t="s">
        <v>308</v>
      </c>
      <c r="Z62">
        <f t="array" ref="Z62">SUM(IF(D62=$D$21:$D$209,1,0))</f>
        <v>1</v>
      </c>
      <c r="AA62" t="str">
        <f t="shared" si="3"/>
        <v/>
      </c>
    </row>
    <row r="63" spans="1:27">
      <c r="A63" t="str">
        <f t="shared" si="2"/>
        <v>Central Electric Coop IncOR</v>
      </c>
      <c r="B63">
        <v>2012</v>
      </c>
      <c r="C63">
        <v>3240</v>
      </c>
      <c r="D63" t="s">
        <v>95</v>
      </c>
      <c r="E63" t="s">
        <v>305</v>
      </c>
      <c r="F63" t="s">
        <v>306</v>
      </c>
      <c r="G63" t="s">
        <v>5</v>
      </c>
      <c r="H63" t="s">
        <v>5</v>
      </c>
      <c r="I63" t="s">
        <v>309</v>
      </c>
      <c r="J63">
        <v>35713</v>
      </c>
      <c r="K63">
        <v>440371</v>
      </c>
      <c r="L63">
        <v>27188</v>
      </c>
      <c r="M63">
        <v>7062</v>
      </c>
      <c r="N63">
        <v>97063</v>
      </c>
      <c r="O63">
        <v>2579</v>
      </c>
      <c r="P63">
        <v>6379</v>
      </c>
      <c r="Q63" s="125">
        <v>109654</v>
      </c>
      <c r="R63">
        <v>1613</v>
      </c>
      <c r="S63" t="s">
        <v>314</v>
      </c>
      <c r="T63" t="s">
        <v>314</v>
      </c>
      <c r="U63" t="s">
        <v>314</v>
      </c>
      <c r="V63">
        <v>49154</v>
      </c>
      <c r="W63" s="125">
        <v>647088</v>
      </c>
      <c r="X63">
        <v>31380</v>
      </c>
      <c r="Y63" t="s">
        <v>308</v>
      </c>
      <c r="Z63">
        <f t="array" ref="Z63">SUM(IF(D63=$D$21:$D$209,1,0))</f>
        <v>1</v>
      </c>
      <c r="AA63" t="str">
        <f t="shared" si="3"/>
        <v/>
      </c>
    </row>
    <row r="64" spans="1:27">
      <c r="A64" t="str">
        <f t="shared" si="2"/>
        <v>Oregon Trail El Cons Coop, IncOR</v>
      </c>
      <c r="B64">
        <v>2012</v>
      </c>
      <c r="C64">
        <v>14109</v>
      </c>
      <c r="D64" t="s">
        <v>96</v>
      </c>
      <c r="E64" t="s">
        <v>305</v>
      </c>
      <c r="F64" t="s">
        <v>306</v>
      </c>
      <c r="G64" t="s">
        <v>5</v>
      </c>
      <c r="H64" t="s">
        <v>5</v>
      </c>
      <c r="I64" t="s">
        <v>309</v>
      </c>
      <c r="J64">
        <v>24621</v>
      </c>
      <c r="K64">
        <v>280932</v>
      </c>
      <c r="L64">
        <v>25033</v>
      </c>
      <c r="M64">
        <v>16461</v>
      </c>
      <c r="N64">
        <v>244065</v>
      </c>
      <c r="O64">
        <v>5267</v>
      </c>
      <c r="P64">
        <v>5508</v>
      </c>
      <c r="Q64" s="125">
        <v>106611</v>
      </c>
      <c r="R64">
        <v>9</v>
      </c>
      <c r="S64" t="s">
        <v>314</v>
      </c>
      <c r="T64" t="s">
        <v>314</v>
      </c>
      <c r="U64" t="s">
        <v>314</v>
      </c>
      <c r="V64">
        <v>46590</v>
      </c>
      <c r="W64" s="125">
        <v>631608</v>
      </c>
      <c r="X64">
        <v>30309</v>
      </c>
      <c r="Y64" t="s">
        <v>308</v>
      </c>
      <c r="Z64">
        <f t="array" ref="Z64">SUM(IF(D64=$D$21:$D$209,1,0))</f>
        <v>1</v>
      </c>
      <c r="AA64" t="str">
        <f t="shared" si="3"/>
        <v/>
      </c>
    </row>
    <row r="65" spans="1:27">
      <c r="A65" t="str">
        <f t="shared" si="2"/>
        <v>Idaho Falls City ofID</v>
      </c>
      <c r="B65">
        <v>2012</v>
      </c>
      <c r="C65">
        <v>9187</v>
      </c>
      <c r="D65" t="s">
        <v>334</v>
      </c>
      <c r="E65" t="s">
        <v>305</v>
      </c>
      <c r="F65" t="s">
        <v>306</v>
      </c>
      <c r="G65" t="s">
        <v>3</v>
      </c>
      <c r="H65" t="s">
        <v>3</v>
      </c>
      <c r="I65" t="s">
        <v>307</v>
      </c>
      <c r="J65">
        <v>19212</v>
      </c>
      <c r="K65">
        <v>279649</v>
      </c>
      <c r="L65">
        <v>22449</v>
      </c>
      <c r="M65">
        <v>16420</v>
      </c>
      <c r="N65">
        <v>261215</v>
      </c>
      <c r="O65">
        <v>3705</v>
      </c>
      <c r="P65">
        <v>4158</v>
      </c>
      <c r="Q65" s="125">
        <v>87016</v>
      </c>
      <c r="R65">
        <v>7</v>
      </c>
      <c r="S65">
        <v>0</v>
      </c>
      <c r="T65">
        <v>0</v>
      </c>
      <c r="U65">
        <v>0</v>
      </c>
      <c r="V65">
        <v>39790</v>
      </c>
      <c r="W65" s="125">
        <v>627880</v>
      </c>
      <c r="X65">
        <v>26161</v>
      </c>
      <c r="Y65" t="s">
        <v>318</v>
      </c>
      <c r="Z65">
        <f t="array" ref="Z65">SUM(IF(D65=$D$21:$D$209,1,0))</f>
        <v>1</v>
      </c>
      <c r="AA65" t="str">
        <f t="shared" si="3"/>
        <v/>
      </c>
    </row>
    <row r="66" spans="1:27">
      <c r="A66" t="str">
        <f t="shared" si="2"/>
        <v>Idaho Power CoOR</v>
      </c>
      <c r="B66">
        <v>2012</v>
      </c>
      <c r="C66">
        <v>9191</v>
      </c>
      <c r="D66" t="s">
        <v>23</v>
      </c>
      <c r="E66" t="s">
        <v>305</v>
      </c>
      <c r="F66" t="s">
        <v>335</v>
      </c>
      <c r="G66" t="s">
        <v>5</v>
      </c>
      <c r="H66" t="s">
        <v>5</v>
      </c>
      <c r="I66" t="s">
        <v>336</v>
      </c>
      <c r="J66">
        <v>16344.6</v>
      </c>
      <c r="K66">
        <v>185122</v>
      </c>
      <c r="L66">
        <v>13319</v>
      </c>
      <c r="M66">
        <v>10803.1</v>
      </c>
      <c r="N66">
        <v>148194</v>
      </c>
      <c r="O66">
        <v>3349</v>
      </c>
      <c r="P66">
        <v>16944</v>
      </c>
      <c r="Q66" s="125">
        <v>287859</v>
      </c>
      <c r="R66">
        <v>1730</v>
      </c>
      <c r="S66">
        <v>0</v>
      </c>
      <c r="T66">
        <v>0</v>
      </c>
      <c r="U66">
        <v>0</v>
      </c>
      <c r="V66">
        <v>44091.7</v>
      </c>
      <c r="W66" s="125">
        <v>621175</v>
      </c>
      <c r="X66">
        <v>18398</v>
      </c>
      <c r="Z66">
        <f t="array" ref="Z66">SUM(IF(D66=$D$21:$D$209,1,0))</f>
        <v>2</v>
      </c>
      <c r="AA66" t="str">
        <f t="shared" si="3"/>
        <v>Idaho Power Co</v>
      </c>
    </row>
    <row r="67" spans="1:27">
      <c r="A67" t="str">
        <f t="shared" si="2"/>
        <v>Shell Energy North America (US), L.P.WA</v>
      </c>
      <c r="B67">
        <v>2012</v>
      </c>
      <c r="C67">
        <v>4410</v>
      </c>
      <c r="D67" t="s">
        <v>326</v>
      </c>
      <c r="E67" t="s">
        <v>311</v>
      </c>
      <c r="F67" t="s">
        <v>312</v>
      </c>
      <c r="G67" t="s">
        <v>1</v>
      </c>
      <c r="H67" t="s">
        <v>1</v>
      </c>
      <c r="I67" t="s">
        <v>313</v>
      </c>
      <c r="J67">
        <v>0</v>
      </c>
      <c r="K67">
        <v>0</v>
      </c>
      <c r="L67">
        <v>0</v>
      </c>
      <c r="M67">
        <v>0</v>
      </c>
      <c r="N67">
        <v>0</v>
      </c>
      <c r="O67">
        <v>0</v>
      </c>
      <c r="P67">
        <v>13387.1</v>
      </c>
      <c r="Q67" s="125">
        <v>604899</v>
      </c>
      <c r="R67">
        <v>2</v>
      </c>
      <c r="S67">
        <v>0</v>
      </c>
      <c r="T67">
        <v>0</v>
      </c>
      <c r="U67">
        <v>0</v>
      </c>
      <c r="V67">
        <v>13387.1</v>
      </c>
      <c r="W67" s="125">
        <v>604899</v>
      </c>
      <c r="X67">
        <v>2</v>
      </c>
      <c r="Z67">
        <f t="array" ref="Z67">SUM(IF(D67=$D$21:$D$209,1,0))</f>
        <v>1</v>
      </c>
      <c r="AA67" t="str">
        <f t="shared" si="3"/>
        <v/>
      </c>
    </row>
    <row r="68" spans="1:27">
      <c r="A68" t="str">
        <f t="shared" si="2"/>
        <v>JP MorganWA</v>
      </c>
      <c r="B68">
        <v>2012</v>
      </c>
      <c r="C68">
        <v>56528</v>
      </c>
      <c r="D68" t="s">
        <v>371</v>
      </c>
      <c r="E68" t="s">
        <v>311</v>
      </c>
      <c r="F68" t="s">
        <v>312</v>
      </c>
      <c r="G68" t="s">
        <v>1</v>
      </c>
      <c r="H68" t="s">
        <v>1</v>
      </c>
      <c r="I68" t="s">
        <v>313</v>
      </c>
      <c r="J68">
        <v>0</v>
      </c>
      <c r="K68">
        <v>0</v>
      </c>
      <c r="L68">
        <v>0</v>
      </c>
      <c r="M68">
        <v>0</v>
      </c>
      <c r="N68">
        <v>0</v>
      </c>
      <c r="O68">
        <v>0</v>
      </c>
      <c r="P68">
        <v>41997</v>
      </c>
      <c r="Q68" s="125">
        <v>602987</v>
      </c>
      <c r="R68">
        <v>2</v>
      </c>
      <c r="S68">
        <v>0</v>
      </c>
      <c r="T68">
        <v>0</v>
      </c>
      <c r="U68">
        <v>0</v>
      </c>
      <c r="V68">
        <v>41997</v>
      </c>
      <c r="W68" s="125">
        <v>602987</v>
      </c>
      <c r="X68">
        <v>2</v>
      </c>
      <c r="Z68">
        <f t="array" ref="Z68">SUM(IF(D68=$D$21:$D$209,1,0))</f>
        <v>2</v>
      </c>
      <c r="AA68" t="str">
        <f t="shared" si="3"/>
        <v>JP Morgan</v>
      </c>
    </row>
    <row r="69" spans="1:27">
      <c r="A69" t="str">
        <f t="shared" si="2"/>
        <v>PUD No 1 of Okanogan CountyWA</v>
      </c>
      <c r="B69">
        <v>2012</v>
      </c>
      <c r="C69">
        <v>14055</v>
      </c>
      <c r="D69" t="s">
        <v>76</v>
      </c>
      <c r="E69" t="s">
        <v>305</v>
      </c>
      <c r="F69" t="s">
        <v>306</v>
      </c>
      <c r="G69" t="s">
        <v>1</v>
      </c>
      <c r="H69" t="s">
        <v>1</v>
      </c>
      <c r="I69" t="s">
        <v>317</v>
      </c>
      <c r="J69">
        <v>18862.7</v>
      </c>
      <c r="K69">
        <v>289640</v>
      </c>
      <c r="L69">
        <v>16937</v>
      </c>
      <c r="M69">
        <v>15590.4</v>
      </c>
      <c r="N69">
        <v>270703</v>
      </c>
      <c r="O69">
        <v>3738</v>
      </c>
      <c r="P69">
        <v>1135.3</v>
      </c>
      <c r="Q69" s="125">
        <v>20584</v>
      </c>
      <c r="R69">
        <v>4</v>
      </c>
      <c r="S69" t="s">
        <v>314</v>
      </c>
      <c r="T69" t="s">
        <v>314</v>
      </c>
      <c r="U69" t="s">
        <v>314</v>
      </c>
      <c r="V69">
        <v>35588.400000000001</v>
      </c>
      <c r="W69" s="125">
        <v>580927</v>
      </c>
      <c r="X69">
        <v>20679</v>
      </c>
      <c r="Y69" t="s">
        <v>308</v>
      </c>
      <c r="Z69">
        <f t="array" ref="Z69">SUM(IF(D69=$D$21:$D$209,1,0))</f>
        <v>1</v>
      </c>
      <c r="AA69" t="str">
        <f t="shared" si="3"/>
        <v/>
      </c>
    </row>
    <row r="70" spans="1:27">
      <c r="A70" t="str">
        <f t="shared" si="2"/>
        <v>Peninsula Light CompanyWA</v>
      </c>
      <c r="B70">
        <v>2012</v>
      </c>
      <c r="C70">
        <v>14668</v>
      </c>
      <c r="D70" t="s">
        <v>94</v>
      </c>
      <c r="E70" t="s">
        <v>305</v>
      </c>
      <c r="F70" t="s">
        <v>306</v>
      </c>
      <c r="G70" t="s">
        <v>1</v>
      </c>
      <c r="H70" t="s">
        <v>1</v>
      </c>
      <c r="I70" t="s">
        <v>309</v>
      </c>
      <c r="J70">
        <v>36721</v>
      </c>
      <c r="K70">
        <v>423183</v>
      </c>
      <c r="L70">
        <v>27232</v>
      </c>
      <c r="M70">
        <v>12418</v>
      </c>
      <c r="N70">
        <v>156492</v>
      </c>
      <c r="O70">
        <v>3633</v>
      </c>
      <c r="P70">
        <v>0</v>
      </c>
      <c r="Q70" s="125">
        <v>0</v>
      </c>
      <c r="R70" t="s">
        <v>314</v>
      </c>
      <c r="S70">
        <v>0</v>
      </c>
      <c r="T70">
        <v>0</v>
      </c>
      <c r="U70" t="s">
        <v>314</v>
      </c>
      <c r="V70">
        <v>49139</v>
      </c>
      <c r="W70" s="125">
        <v>579675</v>
      </c>
      <c r="X70">
        <v>30865</v>
      </c>
      <c r="Y70" t="s">
        <v>318</v>
      </c>
      <c r="Z70">
        <f t="array" ref="Z70">SUM(IF(D70=$D$21:$D$209,1,0))</f>
        <v>1</v>
      </c>
      <c r="AA70" t="str">
        <f t="shared" si="3"/>
        <v/>
      </c>
    </row>
    <row r="71" spans="1:27">
      <c r="A71" t="str">
        <f t="shared" si="2"/>
        <v>Benton Rural Electric AssnWA</v>
      </c>
      <c r="B71">
        <v>2012</v>
      </c>
      <c r="C71">
        <v>1625</v>
      </c>
      <c r="D71" t="s">
        <v>110</v>
      </c>
      <c r="E71" t="s">
        <v>305</v>
      </c>
      <c r="F71" t="s">
        <v>306</v>
      </c>
      <c r="G71" t="s">
        <v>1</v>
      </c>
      <c r="H71" t="s">
        <v>1</v>
      </c>
      <c r="I71" t="s">
        <v>309</v>
      </c>
      <c r="J71">
        <v>17532</v>
      </c>
      <c r="K71">
        <v>223469</v>
      </c>
      <c r="L71">
        <v>11933</v>
      </c>
      <c r="M71">
        <v>7490</v>
      </c>
      <c r="N71">
        <v>118874</v>
      </c>
      <c r="O71">
        <v>1360</v>
      </c>
      <c r="P71">
        <v>12431</v>
      </c>
      <c r="Q71" s="125">
        <v>211980</v>
      </c>
      <c r="R71">
        <v>1895</v>
      </c>
      <c r="S71" t="s">
        <v>314</v>
      </c>
      <c r="T71" t="s">
        <v>314</v>
      </c>
      <c r="U71" t="s">
        <v>314</v>
      </c>
      <c r="V71">
        <v>37453</v>
      </c>
      <c r="W71" s="125">
        <v>554323</v>
      </c>
      <c r="X71">
        <v>15188</v>
      </c>
      <c r="Y71" t="s">
        <v>308</v>
      </c>
      <c r="Z71">
        <f t="array" ref="Z71">SUM(IF(D71=$D$21:$D$209,1,0))</f>
        <v>1</v>
      </c>
      <c r="AA71" t="str">
        <f t="shared" si="3"/>
        <v/>
      </c>
    </row>
    <row r="72" spans="1:27">
      <c r="A72" t="str">
        <f t="shared" si="2"/>
        <v>Northern Wasco County PUDOR</v>
      </c>
      <c r="B72">
        <v>2012</v>
      </c>
      <c r="C72">
        <v>13788</v>
      </c>
      <c r="D72" t="s">
        <v>80</v>
      </c>
      <c r="E72" t="s">
        <v>305</v>
      </c>
      <c r="F72" t="s">
        <v>306</v>
      </c>
      <c r="G72" t="s">
        <v>5</v>
      </c>
      <c r="H72" t="s">
        <v>5</v>
      </c>
      <c r="I72" t="s">
        <v>317</v>
      </c>
      <c r="J72">
        <v>8146.7</v>
      </c>
      <c r="K72">
        <v>139695</v>
      </c>
      <c r="L72">
        <v>9198</v>
      </c>
      <c r="M72">
        <v>990.9</v>
      </c>
      <c r="N72">
        <v>17549</v>
      </c>
      <c r="O72">
        <v>431</v>
      </c>
      <c r="P72">
        <v>16507.599999999999</v>
      </c>
      <c r="Q72" s="125">
        <v>393231</v>
      </c>
      <c r="R72">
        <v>226</v>
      </c>
      <c r="S72" t="s">
        <v>314</v>
      </c>
      <c r="T72" t="s">
        <v>314</v>
      </c>
      <c r="U72" t="s">
        <v>314</v>
      </c>
      <c r="V72">
        <v>25645.200000000001</v>
      </c>
      <c r="W72" s="125">
        <v>550475</v>
      </c>
      <c r="X72">
        <v>9855</v>
      </c>
      <c r="Y72" t="s">
        <v>308</v>
      </c>
      <c r="Z72">
        <f t="array" ref="Z72">SUM(IF(D72=$D$21:$D$209,1,0))</f>
        <v>1</v>
      </c>
      <c r="AA72" t="str">
        <f t="shared" si="3"/>
        <v/>
      </c>
    </row>
    <row r="73" spans="1:27">
      <c r="A73" t="str">
        <f t="shared" si="2"/>
        <v>Big Bend Electric Coop, IncWA</v>
      </c>
      <c r="B73">
        <v>2012</v>
      </c>
      <c r="C73">
        <v>1723</v>
      </c>
      <c r="D73" t="s">
        <v>124</v>
      </c>
      <c r="E73" t="s">
        <v>305</v>
      </c>
      <c r="F73" t="s">
        <v>306</v>
      </c>
      <c r="G73" t="s">
        <v>1</v>
      </c>
      <c r="H73" t="s">
        <v>1</v>
      </c>
      <c r="I73" t="s">
        <v>309</v>
      </c>
      <c r="J73">
        <v>6468</v>
      </c>
      <c r="K73">
        <v>97757</v>
      </c>
      <c r="L73">
        <v>4600</v>
      </c>
      <c r="M73">
        <v>20876</v>
      </c>
      <c r="N73">
        <v>395899</v>
      </c>
      <c r="O73">
        <v>4094</v>
      </c>
      <c r="P73" t="s">
        <v>314</v>
      </c>
      <c r="Q73" s="125">
        <v>0</v>
      </c>
      <c r="R73" t="s">
        <v>314</v>
      </c>
      <c r="S73" t="s">
        <v>314</v>
      </c>
      <c r="T73" t="s">
        <v>314</v>
      </c>
      <c r="U73" t="s">
        <v>314</v>
      </c>
      <c r="V73">
        <v>27344</v>
      </c>
      <c r="W73" s="125">
        <v>493656</v>
      </c>
      <c r="X73">
        <v>8694</v>
      </c>
      <c r="Y73" t="s">
        <v>308</v>
      </c>
      <c r="Z73">
        <f t="array" ref="Z73">SUM(IF(D73=$D$21:$D$209,1,0))</f>
        <v>1</v>
      </c>
      <c r="AA73" t="str">
        <f t="shared" si="3"/>
        <v/>
      </c>
    </row>
    <row r="74" spans="1:27">
      <c r="A74" t="str">
        <f t="shared" si="2"/>
        <v>Columbia River Peoples Ut DistOR</v>
      </c>
      <c r="B74">
        <v>2012</v>
      </c>
      <c r="C74">
        <v>40438</v>
      </c>
      <c r="D74" t="s">
        <v>77</v>
      </c>
      <c r="E74" t="s">
        <v>305</v>
      </c>
      <c r="F74" t="s">
        <v>306</v>
      </c>
      <c r="G74" t="s">
        <v>5</v>
      </c>
      <c r="H74" t="s">
        <v>5</v>
      </c>
      <c r="I74" t="s">
        <v>317</v>
      </c>
      <c r="J74">
        <v>14259</v>
      </c>
      <c r="K74">
        <v>211529</v>
      </c>
      <c r="L74">
        <v>16111</v>
      </c>
      <c r="M74">
        <v>6346.5</v>
      </c>
      <c r="N74">
        <v>88068</v>
      </c>
      <c r="O74">
        <v>2461</v>
      </c>
      <c r="P74">
        <v>6861.2</v>
      </c>
      <c r="Q74" s="125">
        <v>161465</v>
      </c>
      <c r="R74">
        <v>65</v>
      </c>
      <c r="S74" t="s">
        <v>314</v>
      </c>
      <c r="T74" t="s">
        <v>314</v>
      </c>
      <c r="U74" t="s">
        <v>314</v>
      </c>
      <c r="V74">
        <v>27466.7</v>
      </c>
      <c r="W74" s="125">
        <v>461062</v>
      </c>
      <c r="X74">
        <v>18637</v>
      </c>
      <c r="Y74" t="s">
        <v>308</v>
      </c>
      <c r="Z74">
        <f t="array" ref="Z74">SUM(IF(D74=$D$21:$D$209,1,0))</f>
        <v>1</v>
      </c>
      <c r="AA74" t="str">
        <f t="shared" si="3"/>
        <v/>
      </c>
    </row>
    <row r="75" spans="1:27">
      <c r="A75" t="str">
        <f t="shared" si="2"/>
        <v>Tillamook Peoples Utility DistOR</v>
      </c>
      <c r="B75">
        <v>2012</v>
      </c>
      <c r="C75">
        <v>18917</v>
      </c>
      <c r="D75" t="s">
        <v>74</v>
      </c>
      <c r="E75" t="s">
        <v>305</v>
      </c>
      <c r="F75" t="s">
        <v>306</v>
      </c>
      <c r="G75" t="s">
        <v>5</v>
      </c>
      <c r="H75" t="s">
        <v>5</v>
      </c>
      <c r="I75" t="s">
        <v>317</v>
      </c>
      <c r="J75">
        <v>19170</v>
      </c>
      <c r="K75">
        <v>229065</v>
      </c>
      <c r="L75">
        <v>18433</v>
      </c>
      <c r="M75">
        <v>8535</v>
      </c>
      <c r="N75">
        <v>122911</v>
      </c>
      <c r="O75">
        <v>2147</v>
      </c>
      <c r="P75">
        <v>5273</v>
      </c>
      <c r="Q75" s="125">
        <v>108791</v>
      </c>
      <c r="R75">
        <v>5</v>
      </c>
      <c r="S75" t="s">
        <v>314</v>
      </c>
      <c r="T75" t="s">
        <v>314</v>
      </c>
      <c r="U75" t="s">
        <v>314</v>
      </c>
      <c r="V75">
        <v>32978</v>
      </c>
      <c r="W75" s="125">
        <v>460767</v>
      </c>
      <c r="X75">
        <v>20585</v>
      </c>
      <c r="Y75" t="s">
        <v>318</v>
      </c>
      <c r="Z75">
        <f t="array" ref="Z75">SUM(IF(D75=$D$21:$D$209,1,0))</f>
        <v>1</v>
      </c>
      <c r="AA75" t="str">
        <f t="shared" si="3"/>
        <v/>
      </c>
    </row>
    <row r="76" spans="1:27">
      <c r="A76" t="str">
        <f t="shared" si="2"/>
        <v>Emerald People's Utility DistOR</v>
      </c>
      <c r="B76">
        <v>2012</v>
      </c>
      <c r="C76">
        <v>40437</v>
      </c>
      <c r="D76" t="s">
        <v>75</v>
      </c>
      <c r="E76" t="s">
        <v>305</v>
      </c>
      <c r="F76" t="s">
        <v>306</v>
      </c>
      <c r="G76" t="s">
        <v>5</v>
      </c>
      <c r="H76" t="s">
        <v>5</v>
      </c>
      <c r="I76" t="s">
        <v>317</v>
      </c>
      <c r="J76">
        <v>23770.3</v>
      </c>
      <c r="K76">
        <v>280175</v>
      </c>
      <c r="L76">
        <v>18118</v>
      </c>
      <c r="M76">
        <v>7431.9</v>
      </c>
      <c r="N76">
        <v>86512</v>
      </c>
      <c r="O76">
        <v>1814</v>
      </c>
      <c r="P76">
        <v>3170.6</v>
      </c>
      <c r="Q76" s="125">
        <v>46886</v>
      </c>
      <c r="R76">
        <v>553</v>
      </c>
      <c r="S76">
        <v>0</v>
      </c>
      <c r="T76">
        <v>0</v>
      </c>
      <c r="U76">
        <v>0</v>
      </c>
      <c r="V76">
        <v>34372.800000000003</v>
      </c>
      <c r="W76" s="125">
        <v>413573</v>
      </c>
      <c r="X76">
        <v>20485</v>
      </c>
      <c r="Y76" t="s">
        <v>308</v>
      </c>
      <c r="Z76">
        <f t="array" ref="Z76">SUM(IF(D76=$D$21:$D$209,1,0))</f>
        <v>2</v>
      </c>
      <c r="AA76" t="str">
        <f t="shared" si="3"/>
        <v>Emerald People's Utility Dist</v>
      </c>
    </row>
    <row r="77" spans="1:27">
      <c r="A77" t="str">
        <f t="shared" si="2"/>
        <v>Kootenai Electric Coop IncID</v>
      </c>
      <c r="B77">
        <v>2012</v>
      </c>
      <c r="C77">
        <v>10454</v>
      </c>
      <c r="D77" t="s">
        <v>97</v>
      </c>
      <c r="E77" t="s">
        <v>305</v>
      </c>
      <c r="F77" t="s">
        <v>306</v>
      </c>
      <c r="G77" t="s">
        <v>3</v>
      </c>
      <c r="H77" t="s">
        <v>3</v>
      </c>
      <c r="I77" t="s">
        <v>309</v>
      </c>
      <c r="J77">
        <v>23534.400000000001</v>
      </c>
      <c r="K77">
        <v>279946</v>
      </c>
      <c r="L77">
        <v>20571</v>
      </c>
      <c r="M77">
        <v>8281.6</v>
      </c>
      <c r="N77">
        <v>102202</v>
      </c>
      <c r="O77">
        <v>1672</v>
      </c>
      <c r="P77">
        <v>1322.9</v>
      </c>
      <c r="Q77" s="125">
        <v>28502</v>
      </c>
      <c r="R77">
        <v>46</v>
      </c>
      <c r="S77">
        <v>0</v>
      </c>
      <c r="T77">
        <v>0</v>
      </c>
      <c r="U77">
        <v>0</v>
      </c>
      <c r="V77">
        <v>33138.9</v>
      </c>
      <c r="W77" s="125">
        <v>410650</v>
      </c>
      <c r="X77">
        <v>22289</v>
      </c>
      <c r="Y77" t="s">
        <v>308</v>
      </c>
      <c r="Z77">
        <f t="array" ref="Z77">SUM(IF(D77=$D$21:$D$209,1,0))</f>
        <v>2</v>
      </c>
      <c r="AA77" t="str">
        <f t="shared" si="3"/>
        <v>Kootenai Electric Coop Inc</v>
      </c>
    </row>
    <row r="78" spans="1:27">
      <c r="A78" t="str">
        <f t="shared" si="2"/>
        <v>Consumers Power, IncOR</v>
      </c>
      <c r="B78">
        <v>2012</v>
      </c>
      <c r="C78">
        <v>4743</v>
      </c>
      <c r="D78" t="s">
        <v>99</v>
      </c>
      <c r="E78" t="s">
        <v>305</v>
      </c>
      <c r="F78" t="s">
        <v>306</v>
      </c>
      <c r="G78" t="s">
        <v>5</v>
      </c>
      <c r="H78" t="s">
        <v>5</v>
      </c>
      <c r="I78" t="s">
        <v>309</v>
      </c>
      <c r="J78">
        <v>23942.7</v>
      </c>
      <c r="K78">
        <v>269083</v>
      </c>
      <c r="L78">
        <v>19723</v>
      </c>
      <c r="M78">
        <v>7338.4</v>
      </c>
      <c r="N78">
        <v>104203</v>
      </c>
      <c r="O78">
        <v>1726</v>
      </c>
      <c r="P78">
        <v>1473.5</v>
      </c>
      <c r="Q78" s="125">
        <v>19419</v>
      </c>
      <c r="R78">
        <v>565</v>
      </c>
      <c r="S78" t="s">
        <v>314</v>
      </c>
      <c r="T78" t="s">
        <v>314</v>
      </c>
      <c r="U78" t="s">
        <v>314</v>
      </c>
      <c r="V78">
        <v>32754.6</v>
      </c>
      <c r="W78" s="125">
        <v>392705</v>
      </c>
      <c r="X78">
        <v>22014</v>
      </c>
      <c r="Y78" t="s">
        <v>308</v>
      </c>
      <c r="Z78">
        <f t="array" ref="Z78">SUM(IF(D78=$D$21:$D$209,1,0))</f>
        <v>1</v>
      </c>
      <c r="AA78" t="str">
        <f t="shared" si="3"/>
        <v/>
      </c>
    </row>
    <row r="79" spans="1:27">
      <c r="A79" t="str">
        <f t="shared" si="2"/>
        <v>ConocoPhillips CompanyMT</v>
      </c>
      <c r="B79">
        <v>2012</v>
      </c>
      <c r="C79">
        <v>5470</v>
      </c>
      <c r="D79" t="s">
        <v>327</v>
      </c>
      <c r="E79" t="s">
        <v>311</v>
      </c>
      <c r="F79" t="s">
        <v>312</v>
      </c>
      <c r="G79" t="s">
        <v>316</v>
      </c>
      <c r="H79" t="s">
        <v>4</v>
      </c>
      <c r="I79" t="s">
        <v>313</v>
      </c>
      <c r="J79">
        <v>0</v>
      </c>
      <c r="K79">
        <v>0</v>
      </c>
      <c r="L79">
        <v>0</v>
      </c>
      <c r="M79">
        <v>0</v>
      </c>
      <c r="N79">
        <v>0</v>
      </c>
      <c r="O79">
        <v>0</v>
      </c>
      <c r="P79">
        <v>11907</v>
      </c>
      <c r="Q79" s="125">
        <v>384715</v>
      </c>
      <c r="R79">
        <v>3</v>
      </c>
      <c r="S79">
        <v>0</v>
      </c>
      <c r="T79">
        <v>0</v>
      </c>
      <c r="U79">
        <v>0</v>
      </c>
      <c r="V79">
        <v>11907</v>
      </c>
      <c r="W79" s="125">
        <v>384715</v>
      </c>
      <c r="X79">
        <v>3</v>
      </c>
      <c r="Z79">
        <f t="array" ref="Z79">SUM(IF(D79=$D$21:$D$209,1,0))</f>
        <v>1</v>
      </c>
      <c r="AA79" t="str">
        <f t="shared" si="3"/>
        <v/>
      </c>
    </row>
    <row r="80" spans="1:27">
      <c r="A80" t="str">
        <f t="shared" si="2"/>
        <v>Midstate Electric Coop, IncOR</v>
      </c>
      <c r="B80">
        <v>2012</v>
      </c>
      <c r="C80">
        <v>12439</v>
      </c>
      <c r="D80" t="s">
        <v>104</v>
      </c>
      <c r="E80" t="s">
        <v>305</v>
      </c>
      <c r="F80" t="s">
        <v>306</v>
      </c>
      <c r="G80" t="s">
        <v>5</v>
      </c>
      <c r="H80" t="s">
        <v>5</v>
      </c>
      <c r="I80" t="s">
        <v>309</v>
      </c>
      <c r="J80">
        <v>17881</v>
      </c>
      <c r="K80">
        <v>231394</v>
      </c>
      <c r="L80">
        <v>16160</v>
      </c>
      <c r="M80">
        <v>7428</v>
      </c>
      <c r="N80">
        <v>112104</v>
      </c>
      <c r="O80">
        <v>2052</v>
      </c>
      <c r="P80">
        <v>1813</v>
      </c>
      <c r="Q80" s="125">
        <v>28081</v>
      </c>
      <c r="R80">
        <v>3</v>
      </c>
      <c r="S80" t="s">
        <v>314</v>
      </c>
      <c r="T80" t="s">
        <v>314</v>
      </c>
      <c r="U80" t="s">
        <v>314</v>
      </c>
      <c r="V80">
        <v>27122</v>
      </c>
      <c r="W80" s="125">
        <v>371579</v>
      </c>
      <c r="X80">
        <v>18215</v>
      </c>
      <c r="Y80" t="s">
        <v>308</v>
      </c>
      <c r="Z80">
        <f t="array" ref="Z80">SUM(IF(D80=$D$21:$D$209,1,0))</f>
        <v>1</v>
      </c>
      <c r="AA80" t="str">
        <f t="shared" si="3"/>
        <v/>
      </c>
    </row>
    <row r="81" spans="1:27">
      <c r="A81" t="str">
        <f t="shared" si="2"/>
        <v>USBIA-Mission Valley PowerMT</v>
      </c>
      <c r="B81">
        <v>2012</v>
      </c>
      <c r="C81">
        <v>19603</v>
      </c>
      <c r="D81" t="s">
        <v>366</v>
      </c>
      <c r="E81" t="s">
        <v>305</v>
      </c>
      <c r="F81" t="s">
        <v>306</v>
      </c>
      <c r="G81" t="s">
        <v>28</v>
      </c>
      <c r="H81" t="s">
        <v>4</v>
      </c>
      <c r="I81" t="s">
        <v>323</v>
      </c>
      <c r="J81">
        <v>14491</v>
      </c>
      <c r="K81">
        <v>217040</v>
      </c>
      <c r="L81">
        <v>14512</v>
      </c>
      <c r="M81">
        <v>7359</v>
      </c>
      <c r="N81">
        <v>121085</v>
      </c>
      <c r="O81">
        <v>5339</v>
      </c>
      <c r="P81">
        <v>1046</v>
      </c>
      <c r="Q81" s="125">
        <v>15177</v>
      </c>
      <c r="R81">
        <v>1042</v>
      </c>
      <c r="S81">
        <v>0</v>
      </c>
      <c r="T81">
        <v>0</v>
      </c>
      <c r="U81">
        <v>0</v>
      </c>
      <c r="V81">
        <v>22896</v>
      </c>
      <c r="W81" s="125">
        <v>353302</v>
      </c>
      <c r="X81">
        <v>20893</v>
      </c>
      <c r="Y81" t="s">
        <v>308</v>
      </c>
      <c r="Z81">
        <f t="array" ref="Z81">SUM(IF(D81=$D$21:$D$209,1,0))</f>
        <v>1</v>
      </c>
      <c r="AA81" t="str">
        <f t="shared" si="3"/>
        <v/>
      </c>
    </row>
    <row r="82" spans="1:27">
      <c r="A82" t="str">
        <f t="shared" si="2"/>
        <v>Coos-Curry Electric Coop, IncOR</v>
      </c>
      <c r="B82">
        <v>2012</v>
      </c>
      <c r="C82">
        <v>4317</v>
      </c>
      <c r="D82" t="s">
        <v>105</v>
      </c>
      <c r="E82" t="s">
        <v>305</v>
      </c>
      <c r="F82" t="s">
        <v>306</v>
      </c>
      <c r="G82" t="s">
        <v>5</v>
      </c>
      <c r="H82" t="s">
        <v>5</v>
      </c>
      <c r="I82" t="s">
        <v>309</v>
      </c>
      <c r="J82">
        <v>18867.5</v>
      </c>
      <c r="K82">
        <v>196349</v>
      </c>
      <c r="L82">
        <v>14938</v>
      </c>
      <c r="M82">
        <v>8295.7000000000007</v>
      </c>
      <c r="N82">
        <v>94495</v>
      </c>
      <c r="O82">
        <v>2051</v>
      </c>
      <c r="P82">
        <v>3580.4</v>
      </c>
      <c r="Q82" s="125">
        <v>47835</v>
      </c>
      <c r="R82">
        <v>463</v>
      </c>
      <c r="S82" t="s">
        <v>314</v>
      </c>
      <c r="T82" t="s">
        <v>314</v>
      </c>
      <c r="U82" t="s">
        <v>314</v>
      </c>
      <c r="V82">
        <v>30743.599999999999</v>
      </c>
      <c r="W82" s="125">
        <v>338679</v>
      </c>
      <c r="X82">
        <v>17452</v>
      </c>
      <c r="Y82" t="s">
        <v>308</v>
      </c>
      <c r="Z82">
        <f t="array" ref="Z82">SUM(IF(D82=$D$21:$D$209,1,0))</f>
        <v>1</v>
      </c>
      <c r="AA82" t="str">
        <f t="shared" si="3"/>
        <v/>
      </c>
    </row>
    <row r="83" spans="1:27">
      <c r="A83" t="str">
        <f t="shared" si="2"/>
        <v>PUD No 1 of Klickitat CountyWA</v>
      </c>
      <c r="B83">
        <v>2012</v>
      </c>
      <c r="C83">
        <v>10393</v>
      </c>
      <c r="D83" t="s">
        <v>79</v>
      </c>
      <c r="E83" t="s">
        <v>305</v>
      </c>
      <c r="F83" t="s">
        <v>306</v>
      </c>
      <c r="G83" t="s">
        <v>1</v>
      </c>
      <c r="H83" t="s">
        <v>1</v>
      </c>
      <c r="I83" t="s">
        <v>317</v>
      </c>
      <c r="J83">
        <v>12205.6</v>
      </c>
      <c r="K83">
        <v>139822</v>
      </c>
      <c r="L83">
        <v>10075</v>
      </c>
      <c r="M83">
        <v>7113.3</v>
      </c>
      <c r="N83">
        <v>98078</v>
      </c>
      <c r="O83">
        <v>1883</v>
      </c>
      <c r="P83">
        <v>3881.2</v>
      </c>
      <c r="Q83" s="125">
        <v>78032</v>
      </c>
      <c r="R83">
        <v>245</v>
      </c>
      <c r="S83">
        <v>0</v>
      </c>
      <c r="T83" t="s">
        <v>314</v>
      </c>
      <c r="U83" t="s">
        <v>314</v>
      </c>
      <c r="V83">
        <v>23200.1</v>
      </c>
      <c r="W83" s="125">
        <v>315932</v>
      </c>
      <c r="X83">
        <v>12203</v>
      </c>
      <c r="Y83" t="s">
        <v>308</v>
      </c>
      <c r="Z83">
        <f t="array" ref="Z83">SUM(IF(D83=$D$21:$D$209,1,0))</f>
        <v>1</v>
      </c>
      <c r="AA83" t="str">
        <f t="shared" si="3"/>
        <v/>
      </c>
    </row>
    <row r="84" spans="1:27">
      <c r="A84" t="str">
        <f t="shared" si="2"/>
        <v>Bonneville Power AdminWA</v>
      </c>
      <c r="B84">
        <v>2012</v>
      </c>
      <c r="C84">
        <v>1738</v>
      </c>
      <c r="D84" t="s">
        <v>322</v>
      </c>
      <c r="E84" t="s">
        <v>324</v>
      </c>
      <c r="F84" t="s">
        <v>306</v>
      </c>
      <c r="G84" t="s">
        <v>1</v>
      </c>
      <c r="H84" t="s">
        <v>1</v>
      </c>
      <c r="I84" t="s">
        <v>323</v>
      </c>
      <c r="J84" t="s">
        <v>314</v>
      </c>
      <c r="K84" t="s">
        <v>314</v>
      </c>
      <c r="L84" t="s">
        <v>314</v>
      </c>
      <c r="M84" t="s">
        <v>314</v>
      </c>
      <c r="N84">
        <v>0</v>
      </c>
      <c r="O84" t="s">
        <v>314</v>
      </c>
      <c r="P84">
        <v>1390</v>
      </c>
      <c r="Q84" s="125">
        <v>315200</v>
      </c>
      <c r="R84">
        <v>1</v>
      </c>
      <c r="S84" t="s">
        <v>314</v>
      </c>
      <c r="T84" t="s">
        <v>314</v>
      </c>
      <c r="U84" t="s">
        <v>314</v>
      </c>
      <c r="V84">
        <v>1390</v>
      </c>
      <c r="W84" s="125">
        <v>315200</v>
      </c>
      <c r="X84">
        <v>1</v>
      </c>
      <c r="Z84">
        <f t="array" ref="Z84">SUM(IF(D84=$D$21:$D$209,1,0))</f>
        <v>5</v>
      </c>
      <c r="AA84" t="str">
        <f t="shared" si="3"/>
        <v>Bonneville Power Admin</v>
      </c>
    </row>
    <row r="85" spans="1:27">
      <c r="A85" t="str">
        <f t="shared" si="2"/>
        <v>Salem ElectricOR</v>
      </c>
      <c r="B85">
        <v>2012</v>
      </c>
      <c r="C85">
        <v>16555</v>
      </c>
      <c r="D85" t="s">
        <v>353</v>
      </c>
      <c r="E85" t="s">
        <v>305</v>
      </c>
      <c r="F85" t="s">
        <v>306</v>
      </c>
      <c r="G85" t="s">
        <v>5</v>
      </c>
      <c r="H85" t="s">
        <v>5</v>
      </c>
      <c r="I85" t="s">
        <v>309</v>
      </c>
      <c r="J85">
        <v>15075</v>
      </c>
      <c r="K85">
        <v>183577</v>
      </c>
      <c r="L85">
        <v>16500</v>
      </c>
      <c r="M85">
        <v>7877</v>
      </c>
      <c r="N85">
        <v>102690</v>
      </c>
      <c r="O85">
        <v>2068</v>
      </c>
      <c r="P85">
        <v>1661</v>
      </c>
      <c r="Q85" s="125">
        <v>25806</v>
      </c>
      <c r="R85">
        <v>10</v>
      </c>
      <c r="S85" t="s">
        <v>314</v>
      </c>
      <c r="T85" t="s">
        <v>314</v>
      </c>
      <c r="U85" t="s">
        <v>314</v>
      </c>
      <c r="V85">
        <v>24613</v>
      </c>
      <c r="W85" s="125">
        <v>312073</v>
      </c>
      <c r="X85">
        <v>18578</v>
      </c>
      <c r="Y85" t="s">
        <v>318</v>
      </c>
      <c r="Z85">
        <f t="array" ref="Z85">SUM(IF(D85=$D$21:$D$209,1,0))</f>
        <v>1</v>
      </c>
      <c r="AA85" t="str">
        <f t="shared" si="3"/>
        <v/>
      </c>
    </row>
    <row r="86" spans="1:27">
      <c r="A86" t="str">
        <f t="shared" ref="A86:A149" si="4">D86&amp;H86</f>
        <v>Columbia Rural Elec Assn, IncWA</v>
      </c>
      <c r="B86">
        <v>2012</v>
      </c>
      <c r="C86">
        <v>4041</v>
      </c>
      <c r="D86" t="s">
        <v>142</v>
      </c>
      <c r="E86" t="s">
        <v>305</v>
      </c>
      <c r="F86" t="s">
        <v>306</v>
      </c>
      <c r="G86" t="s">
        <v>1</v>
      </c>
      <c r="H86" t="s">
        <v>1</v>
      </c>
      <c r="I86" t="s">
        <v>309</v>
      </c>
      <c r="J86">
        <v>4500.7</v>
      </c>
      <c r="K86">
        <v>47381</v>
      </c>
      <c r="L86">
        <v>2985</v>
      </c>
      <c r="M86">
        <v>3868.7</v>
      </c>
      <c r="N86">
        <v>46742</v>
      </c>
      <c r="O86">
        <v>1243</v>
      </c>
      <c r="P86">
        <v>11677.9</v>
      </c>
      <c r="Q86" s="125">
        <v>198368</v>
      </c>
      <c r="R86">
        <v>531</v>
      </c>
      <c r="S86" t="s">
        <v>314</v>
      </c>
      <c r="T86" t="s">
        <v>314</v>
      </c>
      <c r="U86" t="s">
        <v>314</v>
      </c>
      <c r="V86">
        <v>20047.3</v>
      </c>
      <c r="W86" s="125">
        <v>292491</v>
      </c>
      <c r="X86">
        <v>4759</v>
      </c>
      <c r="Y86" t="s">
        <v>308</v>
      </c>
      <c r="Z86">
        <f t="array" ref="Z86">SUM(IF(D86=$D$21:$D$209,1,0))</f>
        <v>2</v>
      </c>
      <c r="AA86" t="str">
        <f t="shared" ref="AA86:AA149" si="5">IF(Z86&gt;1,D86,"")</f>
        <v>Columbia Rural Elec Assn, Inc</v>
      </c>
    </row>
    <row r="87" spans="1:27">
      <c r="A87" t="str">
        <f t="shared" si="4"/>
        <v>Pacific Public Utility District No 2WA</v>
      </c>
      <c r="B87">
        <v>2012</v>
      </c>
      <c r="C87">
        <v>14324</v>
      </c>
      <c r="D87" s="67" t="s">
        <v>347</v>
      </c>
      <c r="E87" t="s">
        <v>305</v>
      </c>
      <c r="F87" t="s">
        <v>306</v>
      </c>
      <c r="G87" t="s">
        <v>1</v>
      </c>
      <c r="H87" t="s">
        <v>1</v>
      </c>
      <c r="I87" t="s">
        <v>317</v>
      </c>
      <c r="J87">
        <v>13876.7</v>
      </c>
      <c r="K87">
        <v>179572</v>
      </c>
      <c r="L87">
        <v>14998</v>
      </c>
      <c r="M87">
        <v>6845.7</v>
      </c>
      <c r="N87">
        <v>83201</v>
      </c>
      <c r="O87">
        <v>2261</v>
      </c>
      <c r="P87">
        <v>1158.8</v>
      </c>
      <c r="Q87" s="125">
        <v>23082</v>
      </c>
      <c r="R87">
        <v>2</v>
      </c>
      <c r="S87" t="s">
        <v>314</v>
      </c>
      <c r="T87" t="s">
        <v>314</v>
      </c>
      <c r="U87" t="s">
        <v>314</v>
      </c>
      <c r="V87">
        <v>21881.200000000001</v>
      </c>
      <c r="W87" s="125">
        <v>285855</v>
      </c>
      <c r="X87">
        <v>17261</v>
      </c>
      <c r="Y87" t="s">
        <v>308</v>
      </c>
      <c r="Z87">
        <f t="array" ref="Z87">SUM(IF(D87=$D$21:$D$209,1,0))</f>
        <v>1</v>
      </c>
      <c r="AA87" t="str">
        <f t="shared" si="5"/>
        <v/>
      </c>
    </row>
    <row r="88" spans="1:27">
      <c r="A88" t="str">
        <f t="shared" si="4"/>
        <v>Salmon River Electric Coop IncID</v>
      </c>
      <c r="B88">
        <v>2012</v>
      </c>
      <c r="C88">
        <v>16565</v>
      </c>
      <c r="D88" t="s">
        <v>144</v>
      </c>
      <c r="E88" t="s">
        <v>305</v>
      </c>
      <c r="F88" t="s">
        <v>306</v>
      </c>
      <c r="G88" t="s">
        <v>3</v>
      </c>
      <c r="H88" t="s">
        <v>3</v>
      </c>
      <c r="I88" t="s">
        <v>309</v>
      </c>
      <c r="J88">
        <v>2600</v>
      </c>
      <c r="K88">
        <v>32666</v>
      </c>
      <c r="L88">
        <v>2142</v>
      </c>
      <c r="M88">
        <v>1351</v>
      </c>
      <c r="N88">
        <v>19882</v>
      </c>
      <c r="O88">
        <v>437</v>
      </c>
      <c r="P88">
        <v>7570</v>
      </c>
      <c r="Q88" s="125">
        <v>225195</v>
      </c>
      <c r="R88">
        <v>115</v>
      </c>
      <c r="S88" t="s">
        <v>314</v>
      </c>
      <c r="T88" t="s">
        <v>314</v>
      </c>
      <c r="U88" t="s">
        <v>314</v>
      </c>
      <c r="V88">
        <v>11521</v>
      </c>
      <c r="W88" s="125">
        <v>277743</v>
      </c>
      <c r="X88">
        <v>2694</v>
      </c>
      <c r="Y88" t="s">
        <v>308</v>
      </c>
      <c r="Z88">
        <f t="array" ref="Z88">SUM(IF(D88=$D$21:$D$209,1,0))</f>
        <v>1</v>
      </c>
      <c r="AA88" t="str">
        <f t="shared" si="5"/>
        <v/>
      </c>
    </row>
    <row r="89" spans="1:27">
      <c r="A89" t="str">
        <f t="shared" si="4"/>
        <v>Lakeview Light &amp; PowerWA</v>
      </c>
      <c r="B89">
        <v>2012</v>
      </c>
      <c r="C89">
        <v>10627</v>
      </c>
      <c r="D89" t="s">
        <v>120</v>
      </c>
      <c r="E89" t="s">
        <v>305</v>
      </c>
      <c r="F89" t="s">
        <v>306</v>
      </c>
      <c r="G89" t="s">
        <v>1</v>
      </c>
      <c r="H89" t="s">
        <v>1</v>
      </c>
      <c r="I89" t="s">
        <v>309</v>
      </c>
      <c r="J89">
        <v>8312</v>
      </c>
      <c r="K89">
        <v>114535</v>
      </c>
      <c r="L89">
        <v>9380</v>
      </c>
      <c r="M89">
        <v>10865</v>
      </c>
      <c r="N89">
        <v>149774</v>
      </c>
      <c r="O89">
        <v>2054</v>
      </c>
      <c r="P89" t="s">
        <v>314</v>
      </c>
      <c r="Q89" s="125">
        <v>0</v>
      </c>
      <c r="R89" t="s">
        <v>314</v>
      </c>
      <c r="S89" t="s">
        <v>314</v>
      </c>
      <c r="T89" t="s">
        <v>314</v>
      </c>
      <c r="U89" t="s">
        <v>314</v>
      </c>
      <c r="V89">
        <v>19177</v>
      </c>
      <c r="W89" s="125">
        <v>264309</v>
      </c>
      <c r="X89">
        <v>11434</v>
      </c>
      <c r="Y89" t="s">
        <v>308</v>
      </c>
      <c r="Z89">
        <f t="array" ref="Z89">SUM(IF(D89=$D$21:$D$209,1,0))</f>
        <v>1</v>
      </c>
      <c r="AA89" t="str">
        <f t="shared" si="5"/>
        <v/>
      </c>
    </row>
    <row r="90" spans="1:27">
      <c r="A90" t="str">
        <f t="shared" si="4"/>
        <v>City of CentraliaWA</v>
      </c>
      <c r="B90">
        <v>2012</v>
      </c>
      <c r="C90">
        <v>3295</v>
      </c>
      <c r="D90" t="s">
        <v>33</v>
      </c>
      <c r="E90" t="s">
        <v>305</v>
      </c>
      <c r="F90" t="s">
        <v>306</v>
      </c>
      <c r="G90" t="s">
        <v>1</v>
      </c>
      <c r="H90" t="s">
        <v>1</v>
      </c>
      <c r="I90" t="s">
        <v>307</v>
      </c>
      <c r="J90">
        <v>8923.7000000000007</v>
      </c>
      <c r="K90">
        <v>117052</v>
      </c>
      <c r="L90">
        <v>8415</v>
      </c>
      <c r="M90">
        <v>3069.2</v>
      </c>
      <c r="N90">
        <v>36015</v>
      </c>
      <c r="O90">
        <v>1426</v>
      </c>
      <c r="P90">
        <v>8217.9</v>
      </c>
      <c r="Q90" s="125">
        <v>107760</v>
      </c>
      <c r="R90">
        <v>141</v>
      </c>
      <c r="S90" t="s">
        <v>314</v>
      </c>
      <c r="T90" t="s">
        <v>314</v>
      </c>
      <c r="U90" t="s">
        <v>314</v>
      </c>
      <c r="V90">
        <v>20210.8</v>
      </c>
      <c r="W90" s="125">
        <v>260827</v>
      </c>
      <c r="X90">
        <v>9982</v>
      </c>
      <c r="Y90" t="s">
        <v>308</v>
      </c>
      <c r="Z90">
        <f t="array" ref="Z90">SUM(IF(D90=$D$21:$D$209,1,0))</f>
        <v>1</v>
      </c>
      <c r="AA90" t="str">
        <f t="shared" si="5"/>
        <v/>
      </c>
    </row>
    <row r="91" spans="1:27">
      <c r="A91" t="str">
        <f t="shared" si="4"/>
        <v>Elmhurst Mutual Power &amp; Light CoWA</v>
      </c>
      <c r="B91">
        <v>2012</v>
      </c>
      <c r="C91">
        <v>5832</v>
      </c>
      <c r="D91" t="s">
        <v>106</v>
      </c>
      <c r="E91" t="s">
        <v>305</v>
      </c>
      <c r="F91" t="s">
        <v>306</v>
      </c>
      <c r="G91" t="s">
        <v>1</v>
      </c>
      <c r="H91" t="s">
        <v>1</v>
      </c>
      <c r="I91" t="s">
        <v>309</v>
      </c>
      <c r="J91">
        <v>12390</v>
      </c>
      <c r="K91">
        <v>220710</v>
      </c>
      <c r="L91">
        <v>13288</v>
      </c>
      <c r="M91">
        <v>2008</v>
      </c>
      <c r="N91">
        <v>39861</v>
      </c>
      <c r="O91">
        <v>647</v>
      </c>
      <c r="P91" t="s">
        <v>314</v>
      </c>
      <c r="Q91" s="125">
        <v>0</v>
      </c>
      <c r="R91" t="s">
        <v>314</v>
      </c>
      <c r="S91" t="s">
        <v>314</v>
      </c>
      <c r="T91" t="s">
        <v>314</v>
      </c>
      <c r="U91" t="s">
        <v>314</v>
      </c>
      <c r="V91">
        <v>14398</v>
      </c>
      <c r="W91" s="125">
        <v>260571</v>
      </c>
      <c r="X91">
        <v>13935</v>
      </c>
      <c r="Y91" t="s">
        <v>308</v>
      </c>
      <c r="Z91">
        <f t="array" ref="Z91">SUM(IF(D91=$D$21:$D$209,1,0))</f>
        <v>1</v>
      </c>
      <c r="AA91" t="str">
        <f t="shared" si="5"/>
        <v/>
      </c>
    </row>
    <row r="92" spans="1:27">
      <c r="A92" t="str">
        <f t="shared" si="4"/>
        <v>United Electric Co-op, IncID</v>
      </c>
      <c r="B92">
        <v>2012</v>
      </c>
      <c r="C92">
        <v>19502</v>
      </c>
      <c r="D92" t="s">
        <v>130</v>
      </c>
      <c r="E92" t="s">
        <v>305</v>
      </c>
      <c r="F92" t="s">
        <v>306</v>
      </c>
      <c r="G92" t="s">
        <v>3</v>
      </c>
      <c r="H92" t="s">
        <v>3</v>
      </c>
      <c r="I92" t="s">
        <v>309</v>
      </c>
      <c r="J92">
        <v>5635</v>
      </c>
      <c r="K92">
        <v>86074</v>
      </c>
      <c r="L92">
        <v>4176</v>
      </c>
      <c r="M92">
        <v>2774</v>
      </c>
      <c r="N92">
        <v>45738</v>
      </c>
      <c r="O92">
        <v>935</v>
      </c>
      <c r="P92">
        <v>5780</v>
      </c>
      <c r="Q92" s="125">
        <v>126888</v>
      </c>
      <c r="R92">
        <v>1057</v>
      </c>
      <c r="S92" t="s">
        <v>314</v>
      </c>
      <c r="T92" t="s">
        <v>314</v>
      </c>
      <c r="U92" t="s">
        <v>314</v>
      </c>
      <c r="V92">
        <v>14189</v>
      </c>
      <c r="W92" s="125">
        <v>258700</v>
      </c>
      <c r="X92">
        <v>6168</v>
      </c>
      <c r="Y92" t="s">
        <v>308</v>
      </c>
      <c r="Z92">
        <f t="array" ref="Z92">SUM(IF(D92=$D$21:$D$209,1,0))</f>
        <v>1</v>
      </c>
      <c r="AA92" t="str">
        <f t="shared" si="5"/>
        <v/>
      </c>
    </row>
    <row r="93" spans="1:27">
      <c r="A93" t="str">
        <f t="shared" si="4"/>
        <v>Yellowstone Valley Elec Co-opMT</v>
      </c>
      <c r="B93">
        <v>2012</v>
      </c>
      <c r="C93">
        <v>20997</v>
      </c>
      <c r="D93" t="s">
        <v>367</v>
      </c>
      <c r="E93" t="s">
        <v>305</v>
      </c>
      <c r="F93" t="s">
        <v>306</v>
      </c>
      <c r="G93" t="s">
        <v>316</v>
      </c>
      <c r="H93" t="s">
        <v>4</v>
      </c>
      <c r="I93" t="s">
        <v>309</v>
      </c>
      <c r="J93">
        <v>23304</v>
      </c>
      <c r="K93">
        <v>185958</v>
      </c>
      <c r="L93">
        <v>15863</v>
      </c>
      <c r="M93">
        <v>6080</v>
      </c>
      <c r="N93">
        <v>52012</v>
      </c>
      <c r="O93">
        <v>1444</v>
      </c>
      <c r="P93">
        <v>978</v>
      </c>
      <c r="Q93" s="125">
        <v>8869</v>
      </c>
      <c r="R93">
        <v>187</v>
      </c>
      <c r="S93" t="s">
        <v>314</v>
      </c>
      <c r="T93" t="s">
        <v>314</v>
      </c>
      <c r="U93" t="s">
        <v>314</v>
      </c>
      <c r="V93">
        <v>30362</v>
      </c>
      <c r="W93" s="125">
        <v>246839</v>
      </c>
      <c r="X93">
        <v>17494</v>
      </c>
      <c r="Y93" t="s">
        <v>308</v>
      </c>
      <c r="Z93">
        <f t="array" ref="Z93">SUM(IF(D93=$D$21:$D$209,1,0))</f>
        <v>1</v>
      </c>
      <c r="AA93" t="str">
        <f t="shared" si="5"/>
        <v/>
      </c>
    </row>
    <row r="94" spans="1:27">
      <c r="A94" t="str">
        <f t="shared" si="4"/>
        <v>City of Forest GroveOR</v>
      </c>
      <c r="B94">
        <v>2012</v>
      </c>
      <c r="C94">
        <v>6582</v>
      </c>
      <c r="D94" t="s">
        <v>34</v>
      </c>
      <c r="E94" t="s">
        <v>305</v>
      </c>
      <c r="F94" t="s">
        <v>306</v>
      </c>
      <c r="G94" t="s">
        <v>5</v>
      </c>
      <c r="H94" t="s">
        <v>5</v>
      </c>
      <c r="I94" t="s">
        <v>307</v>
      </c>
      <c r="J94">
        <v>7134.2</v>
      </c>
      <c r="K94">
        <v>109097</v>
      </c>
      <c r="L94">
        <v>8159</v>
      </c>
      <c r="M94">
        <v>1415</v>
      </c>
      <c r="N94">
        <v>20915</v>
      </c>
      <c r="O94">
        <v>810</v>
      </c>
      <c r="P94">
        <v>5333.6</v>
      </c>
      <c r="Q94" s="125">
        <v>102541</v>
      </c>
      <c r="R94">
        <v>141</v>
      </c>
      <c r="S94" t="s">
        <v>314</v>
      </c>
      <c r="T94" t="s">
        <v>314</v>
      </c>
      <c r="U94" t="s">
        <v>314</v>
      </c>
      <c r="V94">
        <v>13882.8</v>
      </c>
      <c r="W94" s="125">
        <v>232553</v>
      </c>
      <c r="X94">
        <v>9110</v>
      </c>
      <c r="Y94" t="s">
        <v>308</v>
      </c>
      <c r="Z94">
        <f t="array" ref="Z94">SUM(IF(D94=$D$21:$D$209,1,0))</f>
        <v>1</v>
      </c>
      <c r="AA94" t="str">
        <f t="shared" si="5"/>
        <v/>
      </c>
    </row>
    <row r="95" spans="1:27">
      <c r="A95" t="str">
        <f t="shared" si="4"/>
        <v>Fall River Rural Elec Coop IncID</v>
      </c>
      <c r="B95">
        <v>2012</v>
      </c>
      <c r="C95">
        <v>6169</v>
      </c>
      <c r="D95" t="s">
        <v>112</v>
      </c>
      <c r="E95" t="s">
        <v>305</v>
      </c>
      <c r="F95" t="s">
        <v>306</v>
      </c>
      <c r="G95" t="s">
        <v>3</v>
      </c>
      <c r="H95" t="s">
        <v>3</v>
      </c>
      <c r="I95" t="s">
        <v>309</v>
      </c>
      <c r="J95">
        <v>14097</v>
      </c>
      <c r="K95">
        <v>130972</v>
      </c>
      <c r="L95">
        <v>11011</v>
      </c>
      <c r="M95">
        <v>6931</v>
      </c>
      <c r="N95">
        <v>100011</v>
      </c>
      <c r="O95">
        <v>2210</v>
      </c>
      <c r="P95" t="s">
        <v>314</v>
      </c>
      <c r="Q95" s="125">
        <v>0</v>
      </c>
      <c r="R95" t="s">
        <v>314</v>
      </c>
      <c r="S95" t="s">
        <v>314</v>
      </c>
      <c r="T95" t="s">
        <v>314</v>
      </c>
      <c r="U95" t="s">
        <v>314</v>
      </c>
      <c r="V95">
        <v>21028</v>
      </c>
      <c r="W95" s="125">
        <v>230983</v>
      </c>
      <c r="X95">
        <v>13221</v>
      </c>
      <c r="Y95" t="s">
        <v>308</v>
      </c>
      <c r="Z95">
        <f t="array" ref="Z95">SUM(IF(D95=$D$21:$D$209,1,0))</f>
        <v>2</v>
      </c>
      <c r="AA95" t="str">
        <f t="shared" si="5"/>
        <v>Fall River Rural Elec Coop Inc</v>
      </c>
    </row>
    <row r="96" spans="1:27">
      <c r="A96" t="str">
        <f t="shared" si="4"/>
        <v>Lane Electric Coop IncOR</v>
      </c>
      <c r="B96">
        <v>2012</v>
      </c>
      <c r="C96">
        <v>10681</v>
      </c>
      <c r="D96" t="s">
        <v>109</v>
      </c>
      <c r="E96" t="s">
        <v>305</v>
      </c>
      <c r="F96" t="s">
        <v>306</v>
      </c>
      <c r="G96" t="s">
        <v>5</v>
      </c>
      <c r="H96" t="s">
        <v>5</v>
      </c>
      <c r="I96" t="s">
        <v>309</v>
      </c>
      <c r="J96">
        <v>17789.900000000001</v>
      </c>
      <c r="K96">
        <v>191562</v>
      </c>
      <c r="L96">
        <v>11884</v>
      </c>
      <c r="M96">
        <v>2949.8</v>
      </c>
      <c r="N96">
        <v>32356</v>
      </c>
      <c r="O96">
        <v>844</v>
      </c>
      <c r="P96">
        <v>270.3</v>
      </c>
      <c r="Q96" s="125">
        <v>3776</v>
      </c>
      <c r="R96">
        <v>1</v>
      </c>
      <c r="S96" t="s">
        <v>314</v>
      </c>
      <c r="T96" t="s">
        <v>314</v>
      </c>
      <c r="U96" t="s">
        <v>314</v>
      </c>
      <c r="V96">
        <v>21010</v>
      </c>
      <c r="W96" s="125">
        <v>227694</v>
      </c>
      <c r="X96">
        <v>12729</v>
      </c>
      <c r="Y96" t="s">
        <v>308</v>
      </c>
      <c r="Z96">
        <f t="array" ref="Z96">SUM(IF(D96=$D$21:$D$209,1,0))</f>
        <v>1</v>
      </c>
      <c r="AA96" t="str">
        <f t="shared" si="5"/>
        <v/>
      </c>
    </row>
    <row r="97" spans="1:27">
      <c r="A97" t="str">
        <f t="shared" si="4"/>
        <v>Vera Irrigation District #15WA</v>
      </c>
      <c r="B97">
        <v>2012</v>
      </c>
      <c r="C97">
        <v>19784</v>
      </c>
      <c r="D97" t="s">
        <v>81</v>
      </c>
      <c r="E97" t="s">
        <v>305</v>
      </c>
      <c r="F97" t="s">
        <v>306</v>
      </c>
      <c r="G97" t="s">
        <v>1</v>
      </c>
      <c r="H97" t="s">
        <v>1</v>
      </c>
      <c r="I97" t="s">
        <v>317</v>
      </c>
      <c r="J97">
        <v>8547</v>
      </c>
      <c r="K97">
        <v>136247</v>
      </c>
      <c r="L97">
        <v>9184</v>
      </c>
      <c r="M97">
        <v>5219</v>
      </c>
      <c r="N97">
        <v>84015</v>
      </c>
      <c r="O97">
        <v>992</v>
      </c>
      <c r="P97" t="s">
        <v>314</v>
      </c>
      <c r="Q97" s="125">
        <v>0</v>
      </c>
      <c r="R97" t="s">
        <v>314</v>
      </c>
      <c r="S97" t="s">
        <v>314</v>
      </c>
      <c r="T97" t="s">
        <v>314</v>
      </c>
      <c r="U97" t="s">
        <v>314</v>
      </c>
      <c r="V97">
        <v>13766</v>
      </c>
      <c r="W97" s="125">
        <v>220262</v>
      </c>
      <c r="X97">
        <v>10176</v>
      </c>
      <c r="Y97" t="s">
        <v>308</v>
      </c>
      <c r="Z97">
        <f t="array" ref="Z97">SUM(IF(D97=$D$21:$D$209,1,0))</f>
        <v>1</v>
      </c>
      <c r="AA97" t="str">
        <f t="shared" si="5"/>
        <v/>
      </c>
    </row>
    <row r="98" spans="1:27">
      <c r="A98" t="str">
        <f t="shared" si="4"/>
        <v>Clear Lake Cogeneration LPID</v>
      </c>
      <c r="B98">
        <v>2012</v>
      </c>
      <c r="C98">
        <v>3775</v>
      </c>
      <c r="D98" t="s">
        <v>325</v>
      </c>
      <c r="E98" t="s">
        <v>305</v>
      </c>
      <c r="F98" t="s">
        <v>312</v>
      </c>
      <c r="G98" t="s">
        <v>3</v>
      </c>
      <c r="H98" t="s">
        <v>3</v>
      </c>
      <c r="I98" t="s">
        <v>313</v>
      </c>
      <c r="J98" t="s">
        <v>314</v>
      </c>
      <c r="K98" t="s">
        <v>314</v>
      </c>
      <c r="L98" t="s">
        <v>314</v>
      </c>
      <c r="M98" t="s">
        <v>314</v>
      </c>
      <c r="N98">
        <v>0</v>
      </c>
      <c r="O98" t="s">
        <v>314</v>
      </c>
      <c r="P98">
        <v>4916</v>
      </c>
      <c r="Q98" s="125">
        <v>218452</v>
      </c>
      <c r="R98">
        <v>1</v>
      </c>
      <c r="S98" t="s">
        <v>314</v>
      </c>
      <c r="T98" t="s">
        <v>314</v>
      </c>
      <c r="U98" t="s">
        <v>314</v>
      </c>
      <c r="V98">
        <v>4916</v>
      </c>
      <c r="W98" s="125">
        <v>218452</v>
      </c>
      <c r="X98">
        <v>1</v>
      </c>
      <c r="Z98">
        <f t="array" ref="Z98">SUM(IF(D98=$D$21:$D$209,1,0))</f>
        <v>1</v>
      </c>
      <c r="AA98" t="str">
        <f t="shared" si="5"/>
        <v/>
      </c>
    </row>
    <row r="99" spans="1:27">
      <c r="A99" t="str">
        <f t="shared" si="4"/>
        <v>Northern Lights, IncID</v>
      </c>
      <c r="B99">
        <v>2012</v>
      </c>
      <c r="C99">
        <v>13758</v>
      </c>
      <c r="D99" t="s">
        <v>102</v>
      </c>
      <c r="E99" t="s">
        <v>305</v>
      </c>
      <c r="F99" t="s">
        <v>306</v>
      </c>
      <c r="G99" t="s">
        <v>3</v>
      </c>
      <c r="H99" t="s">
        <v>3</v>
      </c>
      <c r="I99" t="s">
        <v>309</v>
      </c>
      <c r="J99">
        <v>15212.6</v>
      </c>
      <c r="K99">
        <v>165504</v>
      </c>
      <c r="L99">
        <v>13810</v>
      </c>
      <c r="M99">
        <v>2972.7</v>
      </c>
      <c r="N99">
        <v>34504</v>
      </c>
      <c r="O99">
        <v>742</v>
      </c>
      <c r="P99">
        <v>829</v>
      </c>
      <c r="Q99" s="125">
        <v>18342</v>
      </c>
      <c r="R99">
        <v>4</v>
      </c>
      <c r="S99" t="s">
        <v>314</v>
      </c>
      <c r="T99" t="s">
        <v>314</v>
      </c>
      <c r="U99" t="s">
        <v>314</v>
      </c>
      <c r="V99">
        <v>19014.3</v>
      </c>
      <c r="W99" s="125">
        <v>218350</v>
      </c>
      <c r="X99">
        <v>14556</v>
      </c>
      <c r="Y99" t="s">
        <v>308</v>
      </c>
      <c r="Z99">
        <f t="array" ref="Z99">SUM(IF(D99=$D$21:$D$209,1,0))</f>
        <v>3</v>
      </c>
      <c r="AA99" t="str">
        <f t="shared" si="5"/>
        <v>Northern Lights, Inc</v>
      </c>
    </row>
    <row r="100" spans="1:27">
      <c r="A100" t="str">
        <f t="shared" si="4"/>
        <v>Raft River Rural Elec Coop IncID</v>
      </c>
      <c r="B100">
        <v>2012</v>
      </c>
      <c r="C100">
        <v>22814</v>
      </c>
      <c r="D100" t="s">
        <v>139</v>
      </c>
      <c r="E100" t="s">
        <v>305</v>
      </c>
      <c r="F100" t="s">
        <v>306</v>
      </c>
      <c r="G100" t="s">
        <v>3</v>
      </c>
      <c r="H100" t="s">
        <v>3</v>
      </c>
      <c r="I100" t="s">
        <v>309</v>
      </c>
      <c r="J100">
        <v>1817</v>
      </c>
      <c r="K100">
        <v>22408</v>
      </c>
      <c r="L100">
        <v>1280</v>
      </c>
      <c r="M100">
        <v>1872</v>
      </c>
      <c r="N100">
        <v>38124</v>
      </c>
      <c r="O100">
        <v>320</v>
      </c>
      <c r="P100">
        <v>7074</v>
      </c>
      <c r="Q100" s="125">
        <v>156439</v>
      </c>
      <c r="R100">
        <v>894</v>
      </c>
      <c r="S100">
        <v>0</v>
      </c>
      <c r="T100">
        <v>0</v>
      </c>
      <c r="U100">
        <v>0</v>
      </c>
      <c r="V100">
        <v>10763</v>
      </c>
      <c r="W100" s="125">
        <v>216971</v>
      </c>
      <c r="X100">
        <v>2494</v>
      </c>
      <c r="Y100" t="s">
        <v>308</v>
      </c>
      <c r="Z100">
        <f t="array" ref="Z100">SUM(IF(D100=$D$21:$D$209,1,0))</f>
        <v>1</v>
      </c>
      <c r="AA100" t="str">
        <f t="shared" si="5"/>
        <v/>
      </c>
    </row>
    <row r="101" spans="1:27">
      <c r="A101" t="str">
        <f t="shared" si="4"/>
        <v>Modern Electric Water CompanyWA</v>
      </c>
      <c r="B101">
        <v>2012</v>
      </c>
      <c r="C101">
        <v>12744</v>
      </c>
      <c r="D101" t="s">
        <v>119</v>
      </c>
      <c r="E101" t="s">
        <v>305</v>
      </c>
      <c r="F101" t="s">
        <v>306</v>
      </c>
      <c r="G101" t="s">
        <v>1</v>
      </c>
      <c r="H101" t="s">
        <v>1</v>
      </c>
      <c r="I101" t="s">
        <v>309</v>
      </c>
      <c r="J101">
        <v>5538</v>
      </c>
      <c r="K101">
        <v>96953</v>
      </c>
      <c r="L101">
        <v>8218</v>
      </c>
      <c r="M101">
        <v>6297</v>
      </c>
      <c r="N101">
        <v>112103</v>
      </c>
      <c r="O101">
        <v>1637</v>
      </c>
      <c r="P101" t="s">
        <v>314</v>
      </c>
      <c r="Q101" s="125">
        <v>0</v>
      </c>
      <c r="R101" t="s">
        <v>314</v>
      </c>
      <c r="S101" t="s">
        <v>314</v>
      </c>
      <c r="T101" t="s">
        <v>314</v>
      </c>
      <c r="U101" t="s">
        <v>314</v>
      </c>
      <c r="V101">
        <v>11835</v>
      </c>
      <c r="W101" s="125">
        <v>209056</v>
      </c>
      <c r="X101">
        <v>9855</v>
      </c>
      <c r="Y101" t="s">
        <v>308</v>
      </c>
      <c r="Z101">
        <f t="array" ref="Z101">SUM(IF(D101=$D$21:$D$209,1,0))</f>
        <v>1</v>
      </c>
      <c r="AA101" t="str">
        <f t="shared" si="5"/>
        <v/>
      </c>
    </row>
    <row r="102" spans="1:27">
      <c r="A102" t="str">
        <f t="shared" si="4"/>
        <v>Missoula Electric Coop, IncMT</v>
      </c>
      <c r="B102">
        <v>2012</v>
      </c>
      <c r="C102">
        <v>12692</v>
      </c>
      <c r="D102" t="s">
        <v>107</v>
      </c>
      <c r="E102" t="s">
        <v>305</v>
      </c>
      <c r="F102" t="s">
        <v>306</v>
      </c>
      <c r="G102" t="s">
        <v>28</v>
      </c>
      <c r="H102" t="s">
        <v>4</v>
      </c>
      <c r="I102" t="s">
        <v>309</v>
      </c>
      <c r="J102">
        <v>13974.1</v>
      </c>
      <c r="K102">
        <v>149863</v>
      </c>
      <c r="L102">
        <v>12460</v>
      </c>
      <c r="M102">
        <v>3384.8</v>
      </c>
      <c r="N102">
        <v>40154</v>
      </c>
      <c r="O102">
        <v>1284</v>
      </c>
      <c r="P102">
        <v>1306.2</v>
      </c>
      <c r="Q102" s="125">
        <v>18593</v>
      </c>
      <c r="R102">
        <v>272</v>
      </c>
      <c r="S102">
        <v>0</v>
      </c>
      <c r="T102">
        <v>0</v>
      </c>
      <c r="U102">
        <v>0</v>
      </c>
      <c r="V102">
        <v>18665.099999999999</v>
      </c>
      <c r="W102" s="125">
        <v>208610</v>
      </c>
      <c r="X102">
        <v>14016</v>
      </c>
      <c r="Y102" t="s">
        <v>308</v>
      </c>
      <c r="Z102">
        <f t="array" ref="Z102">SUM(IF(D102=$D$21:$D$209,1,0))</f>
        <v>2</v>
      </c>
      <c r="AA102" t="str">
        <f t="shared" si="5"/>
        <v>Missoula Electric Coop, Inc</v>
      </c>
    </row>
    <row r="103" spans="1:27">
      <c r="A103" t="str">
        <f t="shared" si="4"/>
        <v>City of EllensburgWA</v>
      </c>
      <c r="B103">
        <v>2012</v>
      </c>
      <c r="C103">
        <v>6149</v>
      </c>
      <c r="D103" t="s">
        <v>35</v>
      </c>
      <c r="E103" t="s">
        <v>305</v>
      </c>
      <c r="F103" t="s">
        <v>306</v>
      </c>
      <c r="G103" t="s">
        <v>1</v>
      </c>
      <c r="H103" t="s">
        <v>1</v>
      </c>
      <c r="I103" t="s">
        <v>307</v>
      </c>
      <c r="J103">
        <v>5726</v>
      </c>
      <c r="K103">
        <v>75016</v>
      </c>
      <c r="L103">
        <v>7989</v>
      </c>
      <c r="M103">
        <v>6639</v>
      </c>
      <c r="N103">
        <v>116613</v>
      </c>
      <c r="O103">
        <v>1541</v>
      </c>
      <c r="P103">
        <v>655</v>
      </c>
      <c r="Q103" s="125">
        <v>10519</v>
      </c>
      <c r="R103">
        <v>1</v>
      </c>
      <c r="S103">
        <v>0</v>
      </c>
      <c r="T103">
        <v>0</v>
      </c>
      <c r="U103">
        <v>0</v>
      </c>
      <c r="V103">
        <v>13020</v>
      </c>
      <c r="W103" s="125">
        <v>202148</v>
      </c>
      <c r="X103">
        <v>9531</v>
      </c>
      <c r="Y103" t="s">
        <v>308</v>
      </c>
      <c r="Z103">
        <f t="array" ref="Z103">SUM(IF(D103=$D$21:$D$209,1,0))</f>
        <v>1</v>
      </c>
      <c r="AA103" t="str">
        <f t="shared" si="5"/>
        <v/>
      </c>
    </row>
    <row r="104" spans="1:27">
      <c r="A104" t="str">
        <f t="shared" si="4"/>
        <v>Fergus Electric Coop, IncMT</v>
      </c>
      <c r="B104">
        <v>2012</v>
      </c>
      <c r="C104">
        <v>21513</v>
      </c>
      <c r="D104" t="s">
        <v>368</v>
      </c>
      <c r="E104" t="s">
        <v>305</v>
      </c>
      <c r="F104" t="s">
        <v>306</v>
      </c>
      <c r="G104" t="s">
        <v>316</v>
      </c>
      <c r="H104" t="s">
        <v>4</v>
      </c>
      <c r="I104" t="s">
        <v>309</v>
      </c>
      <c r="J104">
        <v>8900</v>
      </c>
      <c r="K104">
        <v>57000</v>
      </c>
      <c r="L104">
        <v>5816</v>
      </c>
      <c r="M104">
        <v>13100</v>
      </c>
      <c r="N104">
        <v>138000</v>
      </c>
      <c r="O104">
        <v>236</v>
      </c>
      <c r="P104">
        <v>400</v>
      </c>
      <c r="Q104" s="125">
        <v>3000</v>
      </c>
      <c r="R104">
        <v>94</v>
      </c>
      <c r="S104" t="s">
        <v>314</v>
      </c>
      <c r="T104" t="s">
        <v>314</v>
      </c>
      <c r="U104" t="s">
        <v>314</v>
      </c>
      <c r="V104">
        <v>22400</v>
      </c>
      <c r="W104" s="125">
        <v>198000</v>
      </c>
      <c r="X104">
        <v>6146</v>
      </c>
      <c r="Y104" t="s">
        <v>308</v>
      </c>
      <c r="Z104">
        <f t="array" ref="Z104">SUM(IF(D104=$D$21:$D$209,1,0))</f>
        <v>1</v>
      </c>
      <c r="AA104" t="str">
        <f t="shared" si="5"/>
        <v/>
      </c>
    </row>
    <row r="105" spans="1:27">
      <c r="A105" t="str">
        <f t="shared" si="4"/>
        <v>PUD No 1 of Whatcom CountyWA</v>
      </c>
      <c r="B105">
        <v>2012</v>
      </c>
      <c r="C105">
        <v>40456</v>
      </c>
      <c r="D105" t="s">
        <v>88</v>
      </c>
      <c r="E105" t="s">
        <v>305</v>
      </c>
      <c r="F105" t="s">
        <v>306</v>
      </c>
      <c r="G105" t="s">
        <v>1</v>
      </c>
      <c r="H105" t="s">
        <v>1</v>
      </c>
      <c r="I105" t="s">
        <v>317</v>
      </c>
      <c r="J105" t="s">
        <v>314</v>
      </c>
      <c r="K105" t="s">
        <v>314</v>
      </c>
      <c r="L105" t="s">
        <v>314</v>
      </c>
      <c r="M105" t="s">
        <v>314</v>
      </c>
      <c r="N105">
        <v>0</v>
      </c>
      <c r="O105" t="s">
        <v>314</v>
      </c>
      <c r="P105">
        <v>8870.2999999999993</v>
      </c>
      <c r="Q105" s="125">
        <v>195272</v>
      </c>
      <c r="R105">
        <v>1</v>
      </c>
      <c r="S105" t="s">
        <v>314</v>
      </c>
      <c r="T105" t="s">
        <v>314</v>
      </c>
      <c r="U105" t="s">
        <v>314</v>
      </c>
      <c r="V105">
        <v>8870.2999999999993</v>
      </c>
      <c r="W105" s="125">
        <v>195272</v>
      </c>
      <c r="X105">
        <v>1</v>
      </c>
      <c r="Z105">
        <f t="array" ref="Z105">SUM(IF(D105=$D$21:$D$209,1,0))</f>
        <v>1</v>
      </c>
      <c r="AA105" t="str">
        <f t="shared" si="5"/>
        <v/>
      </c>
    </row>
    <row r="106" spans="1:27">
      <c r="A106" t="str">
        <f t="shared" si="4"/>
        <v>Orcas Power &amp; Light CoopWA</v>
      </c>
      <c r="B106">
        <v>2012</v>
      </c>
      <c r="C106">
        <v>14170</v>
      </c>
      <c r="D106" t="s">
        <v>111</v>
      </c>
      <c r="E106" t="s">
        <v>305</v>
      </c>
      <c r="F106" t="s">
        <v>306</v>
      </c>
      <c r="G106" t="s">
        <v>1</v>
      </c>
      <c r="H106" t="s">
        <v>1</v>
      </c>
      <c r="I106" t="s">
        <v>309</v>
      </c>
      <c r="J106">
        <v>14475</v>
      </c>
      <c r="K106">
        <v>140026</v>
      </c>
      <c r="L106">
        <v>12757</v>
      </c>
      <c r="M106">
        <v>5133</v>
      </c>
      <c r="N106">
        <v>55140</v>
      </c>
      <c r="O106">
        <v>1928</v>
      </c>
      <c r="P106" t="s">
        <v>314</v>
      </c>
      <c r="Q106" s="125">
        <v>0</v>
      </c>
      <c r="R106" t="s">
        <v>314</v>
      </c>
      <c r="S106" t="s">
        <v>314</v>
      </c>
      <c r="T106" t="s">
        <v>314</v>
      </c>
      <c r="U106" t="s">
        <v>314</v>
      </c>
      <c r="V106">
        <v>19608</v>
      </c>
      <c r="W106" s="125">
        <v>195166</v>
      </c>
      <c r="X106">
        <v>14685</v>
      </c>
      <c r="Y106" t="s">
        <v>308</v>
      </c>
      <c r="Z106">
        <f t="array" ref="Z106">SUM(IF(D106=$D$21:$D$209,1,0))</f>
        <v>1</v>
      </c>
      <c r="AA106" t="str">
        <f t="shared" si="5"/>
        <v/>
      </c>
    </row>
    <row r="107" spans="1:27">
      <c r="A107" t="str">
        <f t="shared" si="4"/>
        <v>PacifiCorpOR</v>
      </c>
      <c r="B107">
        <v>2012</v>
      </c>
      <c r="C107">
        <v>14354</v>
      </c>
      <c r="D107" t="s">
        <v>22</v>
      </c>
      <c r="E107" t="s">
        <v>324</v>
      </c>
      <c r="F107" t="s">
        <v>335</v>
      </c>
      <c r="G107" t="s">
        <v>5</v>
      </c>
      <c r="H107" t="s">
        <v>5</v>
      </c>
      <c r="I107" t="s">
        <v>336</v>
      </c>
      <c r="J107">
        <v>0</v>
      </c>
      <c r="K107">
        <v>0</v>
      </c>
      <c r="L107">
        <v>0</v>
      </c>
      <c r="M107">
        <v>5152.8</v>
      </c>
      <c r="N107">
        <v>136162</v>
      </c>
      <c r="O107">
        <v>64</v>
      </c>
      <c r="P107">
        <v>1474.6</v>
      </c>
      <c r="Q107" s="125">
        <v>50641</v>
      </c>
      <c r="R107">
        <v>2</v>
      </c>
      <c r="S107">
        <v>0</v>
      </c>
      <c r="T107">
        <v>0</v>
      </c>
      <c r="U107">
        <v>0</v>
      </c>
      <c r="V107">
        <v>6627.4</v>
      </c>
      <c r="W107" s="125">
        <v>186803</v>
      </c>
      <c r="X107">
        <v>66</v>
      </c>
      <c r="Z107">
        <f t="array" ref="Z107">SUM(IF(D107=$D$21:$D$209,1,0))</f>
        <v>4</v>
      </c>
      <c r="AA107" t="str">
        <f t="shared" si="5"/>
        <v>PacifiCorp</v>
      </c>
    </row>
    <row r="108" spans="1:27">
      <c r="A108" t="str">
        <f t="shared" si="4"/>
        <v>City of AshlandOR</v>
      </c>
      <c r="B108">
        <v>2012</v>
      </c>
      <c r="C108">
        <v>907</v>
      </c>
      <c r="D108" t="s">
        <v>32</v>
      </c>
      <c r="E108" t="s">
        <v>305</v>
      </c>
      <c r="F108" t="s">
        <v>306</v>
      </c>
      <c r="G108" t="s">
        <v>5</v>
      </c>
      <c r="H108" t="s">
        <v>5</v>
      </c>
      <c r="I108" t="s">
        <v>307</v>
      </c>
      <c r="J108">
        <v>6483</v>
      </c>
      <c r="K108">
        <v>90862</v>
      </c>
      <c r="L108">
        <v>10172</v>
      </c>
      <c r="M108">
        <v>5992</v>
      </c>
      <c r="N108">
        <v>81286</v>
      </c>
      <c r="O108">
        <v>1516</v>
      </c>
      <c r="P108" t="s">
        <v>314</v>
      </c>
      <c r="Q108" s="125">
        <v>0</v>
      </c>
      <c r="R108" t="s">
        <v>314</v>
      </c>
      <c r="S108" t="s">
        <v>314</v>
      </c>
      <c r="T108" t="s">
        <v>314</v>
      </c>
      <c r="U108" t="s">
        <v>314</v>
      </c>
      <c r="V108">
        <v>12475</v>
      </c>
      <c r="W108" s="125">
        <v>172148</v>
      </c>
      <c r="X108">
        <v>11688</v>
      </c>
      <c r="Y108" t="s">
        <v>308</v>
      </c>
      <c r="Z108">
        <f t="array" ref="Z108">SUM(IF(D108=$D$21:$D$209,1,0))</f>
        <v>1</v>
      </c>
      <c r="AA108" t="str">
        <f t="shared" si="5"/>
        <v/>
      </c>
    </row>
    <row r="109" spans="1:27">
      <c r="A109" t="str">
        <f t="shared" si="4"/>
        <v>Glacier Electric Coop, IncMT</v>
      </c>
      <c r="B109">
        <v>2012</v>
      </c>
      <c r="C109">
        <v>7262</v>
      </c>
      <c r="D109" t="s">
        <v>123</v>
      </c>
      <c r="E109" t="s">
        <v>305</v>
      </c>
      <c r="F109" t="s">
        <v>306</v>
      </c>
      <c r="G109" t="s">
        <v>28</v>
      </c>
      <c r="H109" t="s">
        <v>4</v>
      </c>
      <c r="I109" t="s">
        <v>309</v>
      </c>
      <c r="J109">
        <v>6732</v>
      </c>
      <c r="K109">
        <v>68147</v>
      </c>
      <c r="L109">
        <v>5790</v>
      </c>
      <c r="M109">
        <v>6130</v>
      </c>
      <c r="N109">
        <v>81600</v>
      </c>
      <c r="O109">
        <v>1676</v>
      </c>
      <c r="P109">
        <v>1238</v>
      </c>
      <c r="Q109" s="125">
        <v>19394</v>
      </c>
      <c r="R109">
        <v>5</v>
      </c>
      <c r="S109" t="s">
        <v>314</v>
      </c>
      <c r="T109" t="s">
        <v>314</v>
      </c>
      <c r="U109" t="s">
        <v>314</v>
      </c>
      <c r="V109">
        <v>14100</v>
      </c>
      <c r="W109" s="125">
        <v>169141</v>
      </c>
      <c r="X109">
        <v>7471</v>
      </c>
      <c r="Y109" t="s">
        <v>308</v>
      </c>
      <c r="Z109">
        <f t="array" ref="Z109">SUM(IF(D109=$D$21:$D$209,1,0))</f>
        <v>1</v>
      </c>
      <c r="AA109" t="str">
        <f t="shared" si="5"/>
        <v/>
      </c>
    </row>
    <row r="110" spans="1:27">
      <c r="A110" t="str">
        <f t="shared" si="4"/>
        <v>Canby Utility BoardOR</v>
      </c>
      <c r="B110">
        <v>2012</v>
      </c>
      <c r="C110">
        <v>2955</v>
      </c>
      <c r="D110" t="s">
        <v>6</v>
      </c>
      <c r="E110" t="s">
        <v>305</v>
      </c>
      <c r="F110" t="s">
        <v>306</v>
      </c>
      <c r="G110" t="s">
        <v>5</v>
      </c>
      <c r="H110" t="s">
        <v>5</v>
      </c>
      <c r="I110" t="s">
        <v>307</v>
      </c>
      <c r="J110">
        <v>5027.6000000000004</v>
      </c>
      <c r="K110">
        <v>78374</v>
      </c>
      <c r="L110">
        <v>6049</v>
      </c>
      <c r="M110">
        <v>3029.9</v>
      </c>
      <c r="N110">
        <v>59383</v>
      </c>
      <c r="O110">
        <v>685</v>
      </c>
      <c r="P110">
        <v>1646.8</v>
      </c>
      <c r="Q110" s="125">
        <v>30927</v>
      </c>
      <c r="R110">
        <v>12</v>
      </c>
      <c r="S110" t="s">
        <v>314</v>
      </c>
      <c r="T110" t="s">
        <v>314</v>
      </c>
      <c r="U110" t="s">
        <v>314</v>
      </c>
      <c r="V110">
        <v>9704.2999999999993</v>
      </c>
      <c r="W110" s="125">
        <v>168684</v>
      </c>
      <c r="X110">
        <v>6746</v>
      </c>
      <c r="Y110" t="s">
        <v>308</v>
      </c>
      <c r="Z110">
        <f t="array" ref="Z110">SUM(IF(D110=$D$21:$D$209,1,0))</f>
        <v>1</v>
      </c>
      <c r="AA110" t="str">
        <f t="shared" si="5"/>
        <v/>
      </c>
    </row>
    <row r="111" spans="1:27">
      <c r="A111" t="str">
        <f t="shared" si="4"/>
        <v>Clearwater Power CompanyID</v>
      </c>
      <c r="B111">
        <v>2012</v>
      </c>
      <c r="C111">
        <v>3739</v>
      </c>
      <c r="D111" t="s">
        <v>115</v>
      </c>
      <c r="E111" t="s">
        <v>305</v>
      </c>
      <c r="F111" t="s">
        <v>306</v>
      </c>
      <c r="G111" t="s">
        <v>3</v>
      </c>
      <c r="H111" t="s">
        <v>3</v>
      </c>
      <c r="I111" t="s">
        <v>309</v>
      </c>
      <c r="J111">
        <v>12029.9</v>
      </c>
      <c r="K111">
        <v>117033</v>
      </c>
      <c r="L111">
        <v>8519</v>
      </c>
      <c r="M111">
        <v>2109.1</v>
      </c>
      <c r="N111">
        <v>25204</v>
      </c>
      <c r="O111">
        <v>738</v>
      </c>
      <c r="P111">
        <v>1226</v>
      </c>
      <c r="Q111" s="125">
        <v>23408</v>
      </c>
      <c r="R111">
        <v>5</v>
      </c>
      <c r="S111" t="s">
        <v>314</v>
      </c>
      <c r="T111" t="s">
        <v>314</v>
      </c>
      <c r="U111" t="s">
        <v>314</v>
      </c>
      <c r="V111">
        <v>15365</v>
      </c>
      <c r="W111" s="125">
        <v>165645</v>
      </c>
      <c r="X111">
        <v>9262</v>
      </c>
      <c r="Y111" t="s">
        <v>308</v>
      </c>
      <c r="Z111">
        <f t="array" ref="Z111">SUM(IF(D111=$D$21:$D$209,1,0))</f>
        <v>3</v>
      </c>
      <c r="AA111" t="str">
        <f t="shared" si="5"/>
        <v>Clearwater Power Company</v>
      </c>
    </row>
    <row r="112" spans="1:27">
      <c r="A112" t="str">
        <f t="shared" si="4"/>
        <v>Vigilante Electric Coop, IncMT</v>
      </c>
      <c r="B112">
        <v>2012</v>
      </c>
      <c r="C112">
        <v>23586</v>
      </c>
      <c r="D112" t="s">
        <v>121</v>
      </c>
      <c r="E112" t="s">
        <v>305</v>
      </c>
      <c r="F112" t="s">
        <v>306</v>
      </c>
      <c r="G112" t="s">
        <v>28</v>
      </c>
      <c r="H112" t="s">
        <v>4</v>
      </c>
      <c r="I112" t="s">
        <v>309</v>
      </c>
      <c r="J112">
        <v>7462.2</v>
      </c>
      <c r="K112">
        <v>94838</v>
      </c>
      <c r="L112">
        <v>7809</v>
      </c>
      <c r="M112">
        <v>4188.2</v>
      </c>
      <c r="N112">
        <v>65735</v>
      </c>
      <c r="O112">
        <v>1303</v>
      </c>
      <c r="P112" t="s">
        <v>314</v>
      </c>
      <c r="Q112" s="125">
        <v>0</v>
      </c>
      <c r="R112" t="s">
        <v>314</v>
      </c>
      <c r="S112" t="s">
        <v>314</v>
      </c>
      <c r="T112" t="s">
        <v>314</v>
      </c>
      <c r="U112" t="s">
        <v>314</v>
      </c>
      <c r="V112">
        <v>11650.4</v>
      </c>
      <c r="W112" s="125">
        <v>160573</v>
      </c>
      <c r="X112">
        <v>9112</v>
      </c>
      <c r="Y112" t="s">
        <v>308</v>
      </c>
      <c r="Z112">
        <f t="array" ref="Z112">SUM(IF(D112=$D$21:$D$209,1,0))</f>
        <v>2</v>
      </c>
      <c r="AA112" t="str">
        <f t="shared" si="5"/>
        <v>Vigilante Electric Coop, Inc</v>
      </c>
    </row>
    <row r="113" spans="1:27">
      <c r="A113" t="str">
        <f t="shared" si="4"/>
        <v>Blachly-Lane Cnty Coop El AssnOR</v>
      </c>
      <c r="B113">
        <v>2012</v>
      </c>
      <c r="C113">
        <v>1736</v>
      </c>
      <c r="D113" t="s">
        <v>135</v>
      </c>
      <c r="E113" t="s">
        <v>305</v>
      </c>
      <c r="F113" t="s">
        <v>306</v>
      </c>
      <c r="G113" t="s">
        <v>5</v>
      </c>
      <c r="H113" t="s">
        <v>5</v>
      </c>
      <c r="I113" t="s">
        <v>309</v>
      </c>
      <c r="J113">
        <v>5272</v>
      </c>
      <c r="K113">
        <v>51494</v>
      </c>
      <c r="L113">
        <v>3242</v>
      </c>
      <c r="M113">
        <v>2554</v>
      </c>
      <c r="N113">
        <v>41345</v>
      </c>
      <c r="O113">
        <v>375</v>
      </c>
      <c r="P113">
        <v>3692</v>
      </c>
      <c r="Q113" s="125">
        <v>65684</v>
      </c>
      <c r="R113">
        <v>4</v>
      </c>
      <c r="S113" t="s">
        <v>314</v>
      </c>
      <c r="T113" t="s">
        <v>314</v>
      </c>
      <c r="U113" t="s">
        <v>314</v>
      </c>
      <c r="V113">
        <v>11518</v>
      </c>
      <c r="W113" s="125">
        <v>158523</v>
      </c>
      <c r="X113">
        <v>3621</v>
      </c>
      <c r="Y113" t="s">
        <v>308</v>
      </c>
      <c r="Z113">
        <f t="array" ref="Z113">SUM(IF(D113=$D$21:$D$209,1,0))</f>
        <v>1</v>
      </c>
      <c r="AA113" t="str">
        <f t="shared" si="5"/>
        <v/>
      </c>
    </row>
    <row r="114" spans="1:27">
      <c r="A114" t="str">
        <f t="shared" si="4"/>
        <v>JP MorganOR</v>
      </c>
      <c r="B114">
        <v>2012</v>
      </c>
      <c r="C114">
        <v>56528</v>
      </c>
      <c r="D114" t="s">
        <v>371</v>
      </c>
      <c r="E114" t="s">
        <v>311</v>
      </c>
      <c r="F114" t="s">
        <v>312</v>
      </c>
      <c r="G114" t="s">
        <v>5</v>
      </c>
      <c r="H114" t="s">
        <v>5</v>
      </c>
      <c r="I114" t="s">
        <v>313</v>
      </c>
      <c r="J114">
        <v>0</v>
      </c>
      <c r="K114">
        <v>0</v>
      </c>
      <c r="L114">
        <v>0</v>
      </c>
      <c r="M114">
        <v>0</v>
      </c>
      <c r="N114">
        <v>0</v>
      </c>
      <c r="O114">
        <v>0</v>
      </c>
      <c r="P114">
        <v>3088</v>
      </c>
      <c r="Q114" s="125">
        <v>158044</v>
      </c>
      <c r="R114">
        <v>1</v>
      </c>
      <c r="S114">
        <v>0</v>
      </c>
      <c r="T114">
        <v>0</v>
      </c>
      <c r="U114">
        <v>0</v>
      </c>
      <c r="V114">
        <v>3088</v>
      </c>
      <c r="W114" s="125">
        <v>158044</v>
      </c>
      <c r="X114">
        <v>1</v>
      </c>
      <c r="Z114">
        <f t="array" ref="Z114">SUM(IF(D114=$D$21:$D$209,1,0))</f>
        <v>2</v>
      </c>
      <c r="AA114" t="str">
        <f t="shared" si="5"/>
        <v>JP Morgan</v>
      </c>
    </row>
    <row r="115" spans="1:27">
      <c r="A115" t="str">
        <f t="shared" si="4"/>
        <v>Emerald People's Utility DistOR</v>
      </c>
      <c r="B115">
        <v>2012</v>
      </c>
      <c r="C115">
        <v>40437</v>
      </c>
      <c r="D115" t="s">
        <v>75</v>
      </c>
      <c r="E115" t="s">
        <v>324</v>
      </c>
      <c r="F115" t="s">
        <v>306</v>
      </c>
      <c r="G115" t="s">
        <v>5</v>
      </c>
      <c r="H115" t="s">
        <v>5</v>
      </c>
      <c r="I115" t="s">
        <v>317</v>
      </c>
      <c r="J115">
        <v>0</v>
      </c>
      <c r="K115">
        <v>0</v>
      </c>
      <c r="L115">
        <v>0</v>
      </c>
      <c r="M115">
        <v>0</v>
      </c>
      <c r="N115">
        <v>0</v>
      </c>
      <c r="O115">
        <v>0</v>
      </c>
      <c r="P115">
        <v>607.29999999999995</v>
      </c>
      <c r="Q115" s="125">
        <v>158031</v>
      </c>
      <c r="R115">
        <v>1</v>
      </c>
      <c r="S115">
        <v>0</v>
      </c>
      <c r="T115">
        <v>0</v>
      </c>
      <c r="U115">
        <v>0</v>
      </c>
      <c r="V115">
        <v>607.29999999999995</v>
      </c>
      <c r="W115" s="125">
        <v>158031</v>
      </c>
      <c r="X115">
        <v>1</v>
      </c>
      <c r="Y115" t="s">
        <v>308</v>
      </c>
      <c r="Z115">
        <f t="array" ref="Z115">SUM(IF(D115=$D$21:$D$209,1,0))</f>
        <v>2</v>
      </c>
      <c r="AA115" t="str">
        <f t="shared" si="5"/>
        <v>Emerald People's Utility Dist</v>
      </c>
    </row>
    <row r="116" spans="1:27">
      <c r="A116" t="str">
        <f t="shared" si="4"/>
        <v>Park Electric Coop IncMT</v>
      </c>
      <c r="B116">
        <v>2012</v>
      </c>
      <c r="C116">
        <v>14500</v>
      </c>
      <c r="D116" t="s">
        <v>348</v>
      </c>
      <c r="E116" t="s">
        <v>305</v>
      </c>
      <c r="F116" t="s">
        <v>306</v>
      </c>
      <c r="G116" t="s">
        <v>316</v>
      </c>
      <c r="H116" t="s">
        <v>4</v>
      </c>
      <c r="I116" t="s">
        <v>309</v>
      </c>
      <c r="J116">
        <v>6333.9</v>
      </c>
      <c r="K116">
        <v>65094</v>
      </c>
      <c r="L116">
        <v>5181</v>
      </c>
      <c r="M116">
        <v>552.6</v>
      </c>
      <c r="N116">
        <v>7610</v>
      </c>
      <c r="O116">
        <v>85</v>
      </c>
      <c r="P116">
        <v>6248.2</v>
      </c>
      <c r="Q116" s="125">
        <v>81627</v>
      </c>
      <c r="R116">
        <v>292</v>
      </c>
      <c r="S116" t="s">
        <v>314</v>
      </c>
      <c r="T116" t="s">
        <v>314</v>
      </c>
      <c r="U116" t="s">
        <v>314</v>
      </c>
      <c r="V116">
        <v>13134.7</v>
      </c>
      <c r="W116" s="125">
        <v>154331</v>
      </c>
      <c r="X116">
        <v>5558</v>
      </c>
      <c r="Y116" t="s">
        <v>308</v>
      </c>
      <c r="Z116">
        <f t="array" ref="Z116">SUM(IF(D116=$D$21:$D$209,1,0))</f>
        <v>1</v>
      </c>
      <c r="AA116" t="str">
        <f t="shared" si="5"/>
        <v/>
      </c>
    </row>
    <row r="117" spans="1:27">
      <c r="A117" t="str">
        <f t="shared" si="4"/>
        <v>Lower Yellowstone R E A, IncMT</v>
      </c>
      <c r="B117">
        <v>2012</v>
      </c>
      <c r="C117">
        <v>11272</v>
      </c>
      <c r="D117" t="s">
        <v>337</v>
      </c>
      <c r="E117" t="s">
        <v>305</v>
      </c>
      <c r="F117" t="s">
        <v>306</v>
      </c>
      <c r="G117" t="s">
        <v>316</v>
      </c>
      <c r="H117" t="s">
        <v>4</v>
      </c>
      <c r="I117" t="s">
        <v>309</v>
      </c>
      <c r="J117">
        <v>2835</v>
      </c>
      <c r="K117">
        <v>37263</v>
      </c>
      <c r="L117">
        <v>2813</v>
      </c>
      <c r="M117">
        <v>2683</v>
      </c>
      <c r="N117">
        <v>29379</v>
      </c>
      <c r="O117">
        <v>774</v>
      </c>
      <c r="P117">
        <v>8648</v>
      </c>
      <c r="Q117" s="125">
        <v>86946</v>
      </c>
      <c r="R117">
        <v>979</v>
      </c>
      <c r="S117" t="s">
        <v>314</v>
      </c>
      <c r="T117" t="s">
        <v>314</v>
      </c>
      <c r="U117" t="s">
        <v>314</v>
      </c>
      <c r="V117">
        <v>14166</v>
      </c>
      <c r="W117" s="125">
        <v>153588</v>
      </c>
      <c r="X117">
        <v>4566</v>
      </c>
      <c r="Y117" t="s">
        <v>308</v>
      </c>
      <c r="Z117">
        <f t="array" ref="Z117">SUM(IF(D117=$D$21:$D$209,1,0))</f>
        <v>1</v>
      </c>
      <c r="AA117" t="str">
        <f t="shared" si="5"/>
        <v/>
      </c>
    </row>
    <row r="118" spans="1:27">
      <c r="A118" t="str">
        <f t="shared" si="4"/>
        <v>Douglas Electric Coop, IncOR</v>
      </c>
      <c r="B118">
        <v>2012</v>
      </c>
      <c r="C118">
        <v>5327</v>
      </c>
      <c r="D118" t="s">
        <v>118</v>
      </c>
      <c r="E118" t="s">
        <v>305</v>
      </c>
      <c r="F118" t="s">
        <v>306</v>
      </c>
      <c r="G118" t="s">
        <v>5</v>
      </c>
      <c r="H118" t="s">
        <v>5</v>
      </c>
      <c r="I118" t="s">
        <v>309</v>
      </c>
      <c r="J118">
        <v>11268</v>
      </c>
      <c r="K118">
        <v>120998</v>
      </c>
      <c r="L118">
        <v>9027</v>
      </c>
      <c r="M118">
        <v>1758</v>
      </c>
      <c r="N118">
        <v>18649</v>
      </c>
      <c r="O118">
        <v>744</v>
      </c>
      <c r="P118">
        <v>525</v>
      </c>
      <c r="Q118" s="125">
        <v>6765</v>
      </c>
      <c r="R118">
        <v>7</v>
      </c>
      <c r="S118" t="s">
        <v>314</v>
      </c>
      <c r="T118" t="s">
        <v>314</v>
      </c>
      <c r="U118" t="s">
        <v>314</v>
      </c>
      <c r="V118">
        <v>13551</v>
      </c>
      <c r="W118" s="125">
        <v>146412</v>
      </c>
      <c r="X118">
        <v>9778</v>
      </c>
      <c r="Y118" t="s">
        <v>308</v>
      </c>
      <c r="Z118">
        <f t="array" ref="Z118">SUM(IF(D118=$D$21:$D$209,1,0))</f>
        <v>1</v>
      </c>
      <c r="AA118" t="str">
        <f t="shared" si="5"/>
        <v/>
      </c>
    </row>
    <row r="119" spans="1:27">
      <c r="A119" t="str">
        <f t="shared" si="4"/>
        <v>Ravalli County Elec Coop, IncMT</v>
      </c>
      <c r="B119">
        <v>2012</v>
      </c>
      <c r="C119">
        <v>26916</v>
      </c>
      <c r="D119" t="s">
        <v>117</v>
      </c>
      <c r="E119" t="s">
        <v>305</v>
      </c>
      <c r="F119" t="s">
        <v>306</v>
      </c>
      <c r="G119" t="s">
        <v>28</v>
      </c>
      <c r="H119" t="s">
        <v>4</v>
      </c>
      <c r="I119" t="s">
        <v>309</v>
      </c>
      <c r="J119">
        <v>11060</v>
      </c>
      <c r="K119">
        <v>130987</v>
      </c>
      <c r="L119">
        <v>9416</v>
      </c>
      <c r="M119">
        <v>759</v>
      </c>
      <c r="N119">
        <v>9461</v>
      </c>
      <c r="O119">
        <v>377</v>
      </c>
      <c r="P119">
        <v>173</v>
      </c>
      <c r="Q119" s="125">
        <v>2743</v>
      </c>
      <c r="R119">
        <v>1</v>
      </c>
      <c r="S119">
        <v>0</v>
      </c>
      <c r="T119">
        <v>0</v>
      </c>
      <c r="U119">
        <v>0</v>
      </c>
      <c r="V119">
        <v>11992</v>
      </c>
      <c r="W119" s="125">
        <v>143191</v>
      </c>
      <c r="X119">
        <v>9794</v>
      </c>
      <c r="Y119" t="s">
        <v>308</v>
      </c>
      <c r="Z119">
        <f t="array" ref="Z119">SUM(IF(D119=$D$21:$D$209,1,0))</f>
        <v>1</v>
      </c>
      <c r="AA119" t="str">
        <f t="shared" si="5"/>
        <v/>
      </c>
    </row>
    <row r="120" spans="1:27">
      <c r="A120" t="str">
        <f t="shared" si="4"/>
        <v>City of CheneyWA</v>
      </c>
      <c r="B120">
        <v>2012</v>
      </c>
      <c r="C120">
        <v>3420</v>
      </c>
      <c r="D120" t="s">
        <v>37</v>
      </c>
      <c r="E120" t="s">
        <v>305</v>
      </c>
      <c r="F120" t="s">
        <v>306</v>
      </c>
      <c r="G120" t="s">
        <v>1</v>
      </c>
      <c r="H120" t="s">
        <v>1</v>
      </c>
      <c r="I120" t="s">
        <v>307</v>
      </c>
      <c r="J120">
        <v>3224.5</v>
      </c>
      <c r="K120">
        <v>52056</v>
      </c>
      <c r="L120">
        <v>4507</v>
      </c>
      <c r="M120">
        <v>3429.7</v>
      </c>
      <c r="N120">
        <v>70429</v>
      </c>
      <c r="O120">
        <v>410</v>
      </c>
      <c r="P120">
        <v>468.3</v>
      </c>
      <c r="Q120" s="125">
        <v>9741</v>
      </c>
      <c r="R120">
        <v>8</v>
      </c>
      <c r="S120" t="s">
        <v>314</v>
      </c>
      <c r="T120" t="s">
        <v>314</v>
      </c>
      <c r="U120" t="s">
        <v>314</v>
      </c>
      <c r="V120">
        <v>7122.5</v>
      </c>
      <c r="W120" s="125">
        <v>132226</v>
      </c>
      <c r="X120">
        <v>4925</v>
      </c>
      <c r="Y120" t="s">
        <v>308</v>
      </c>
      <c r="Z120">
        <f t="array" ref="Z120">SUM(IF(D120=$D$21:$D$209,1,0))</f>
        <v>1</v>
      </c>
      <c r="AA120" t="str">
        <f t="shared" si="5"/>
        <v/>
      </c>
    </row>
    <row r="121" spans="1:27">
      <c r="A121" t="str">
        <f t="shared" si="4"/>
        <v>Hill County Electric Coop, IncMT</v>
      </c>
      <c r="B121">
        <v>2012</v>
      </c>
      <c r="C121">
        <v>8632</v>
      </c>
      <c r="D121" t="s">
        <v>332</v>
      </c>
      <c r="E121" t="s">
        <v>305</v>
      </c>
      <c r="F121" t="s">
        <v>306</v>
      </c>
      <c r="G121" t="s">
        <v>316</v>
      </c>
      <c r="H121" t="s">
        <v>4</v>
      </c>
      <c r="I121" t="s">
        <v>309</v>
      </c>
      <c r="J121">
        <v>4893.1000000000004</v>
      </c>
      <c r="K121">
        <v>39008</v>
      </c>
      <c r="L121">
        <v>3566</v>
      </c>
      <c r="M121">
        <v>2618.1</v>
      </c>
      <c r="N121">
        <v>26909</v>
      </c>
      <c r="O121">
        <v>190</v>
      </c>
      <c r="P121">
        <v>4551.5</v>
      </c>
      <c r="Q121" s="125">
        <v>59591</v>
      </c>
      <c r="R121">
        <v>3</v>
      </c>
      <c r="S121" t="s">
        <v>314</v>
      </c>
      <c r="T121" t="s">
        <v>314</v>
      </c>
      <c r="U121" t="s">
        <v>314</v>
      </c>
      <c r="V121">
        <v>12062.7</v>
      </c>
      <c r="W121" s="125">
        <v>125508</v>
      </c>
      <c r="X121">
        <v>3759</v>
      </c>
      <c r="Y121" t="s">
        <v>308</v>
      </c>
      <c r="Z121">
        <f t="array" ref="Z121">SUM(IF(D121=$D$21:$D$209,1,0))</f>
        <v>1</v>
      </c>
      <c r="AA121" t="str">
        <f t="shared" si="5"/>
        <v/>
      </c>
    </row>
    <row r="122" spans="1:27">
      <c r="A122" t="str">
        <f t="shared" si="4"/>
        <v>PUD No 1 of Skamania CoWA</v>
      </c>
      <c r="B122">
        <v>2012</v>
      </c>
      <c r="C122">
        <v>17279</v>
      </c>
      <c r="D122" s="67" t="s">
        <v>358</v>
      </c>
      <c r="E122" t="s">
        <v>305</v>
      </c>
      <c r="F122" t="s">
        <v>306</v>
      </c>
      <c r="G122" t="s">
        <v>1</v>
      </c>
      <c r="H122" t="s">
        <v>1</v>
      </c>
      <c r="I122" t="s">
        <v>317</v>
      </c>
      <c r="J122">
        <v>5480</v>
      </c>
      <c r="K122">
        <v>74327</v>
      </c>
      <c r="L122">
        <v>5223</v>
      </c>
      <c r="M122">
        <v>1395.1</v>
      </c>
      <c r="N122">
        <v>21912</v>
      </c>
      <c r="O122">
        <v>563</v>
      </c>
      <c r="P122">
        <v>1525.2</v>
      </c>
      <c r="Q122" s="125">
        <v>26953</v>
      </c>
      <c r="R122">
        <v>55</v>
      </c>
      <c r="S122" t="s">
        <v>314</v>
      </c>
      <c r="T122" t="s">
        <v>314</v>
      </c>
      <c r="U122" t="s">
        <v>314</v>
      </c>
      <c r="V122">
        <v>8400.2999999999993</v>
      </c>
      <c r="W122" s="125">
        <v>123192</v>
      </c>
      <c r="X122">
        <v>5841</v>
      </c>
      <c r="Y122" t="s">
        <v>308</v>
      </c>
      <c r="Z122">
        <f t="array" ref="Z122">SUM(IF(D122=$D$21:$D$209,1,0))</f>
        <v>1</v>
      </c>
      <c r="AA122" t="str">
        <f t="shared" si="5"/>
        <v/>
      </c>
    </row>
    <row r="123" spans="1:27">
      <c r="A123" t="str">
        <f t="shared" si="4"/>
        <v>Parkland Light &amp; Water CompanyWA</v>
      </c>
      <c r="B123">
        <v>2012</v>
      </c>
      <c r="C123">
        <v>14505</v>
      </c>
      <c r="D123" t="s">
        <v>131</v>
      </c>
      <c r="E123" t="s">
        <v>305</v>
      </c>
      <c r="F123" t="s">
        <v>306</v>
      </c>
      <c r="G123" t="s">
        <v>1</v>
      </c>
      <c r="H123" t="s">
        <v>1</v>
      </c>
      <c r="I123" t="s">
        <v>309</v>
      </c>
      <c r="J123">
        <v>3360</v>
      </c>
      <c r="K123">
        <v>55916</v>
      </c>
      <c r="L123">
        <v>3862</v>
      </c>
      <c r="M123">
        <v>3297</v>
      </c>
      <c r="N123">
        <v>60861</v>
      </c>
      <c r="O123">
        <v>591</v>
      </c>
      <c r="P123" t="s">
        <v>314</v>
      </c>
      <c r="Q123" s="125">
        <v>0</v>
      </c>
      <c r="R123" t="s">
        <v>314</v>
      </c>
      <c r="S123" t="s">
        <v>314</v>
      </c>
      <c r="T123" t="s">
        <v>314</v>
      </c>
      <c r="U123" t="s">
        <v>314</v>
      </c>
      <c r="V123">
        <v>6657</v>
      </c>
      <c r="W123" s="125">
        <v>116777</v>
      </c>
      <c r="X123">
        <v>4453</v>
      </c>
      <c r="Y123" t="s">
        <v>308</v>
      </c>
      <c r="Z123">
        <f t="array" ref="Z123">SUM(IF(D123=$D$21:$D$209,1,0))</f>
        <v>1</v>
      </c>
      <c r="AA123" t="str">
        <f t="shared" si="5"/>
        <v/>
      </c>
    </row>
    <row r="124" spans="1:27">
      <c r="A124" t="str">
        <f t="shared" si="4"/>
        <v>City of BurleyID</v>
      </c>
      <c r="B124">
        <v>2012</v>
      </c>
      <c r="C124">
        <v>2545</v>
      </c>
      <c r="D124" t="s">
        <v>38</v>
      </c>
      <c r="E124" t="s">
        <v>305</v>
      </c>
      <c r="F124" t="s">
        <v>306</v>
      </c>
      <c r="G124" t="s">
        <v>3</v>
      </c>
      <c r="H124" t="s">
        <v>3</v>
      </c>
      <c r="I124" t="s">
        <v>307</v>
      </c>
      <c r="J124">
        <v>3143</v>
      </c>
      <c r="K124">
        <v>46454</v>
      </c>
      <c r="L124">
        <v>3791</v>
      </c>
      <c r="M124">
        <v>3706</v>
      </c>
      <c r="N124">
        <v>64345</v>
      </c>
      <c r="O124">
        <v>723</v>
      </c>
      <c r="P124">
        <v>0</v>
      </c>
      <c r="Q124" s="125">
        <v>0</v>
      </c>
      <c r="R124">
        <v>0</v>
      </c>
      <c r="S124">
        <v>0</v>
      </c>
      <c r="T124">
        <v>0</v>
      </c>
      <c r="U124">
        <v>0</v>
      </c>
      <c r="V124">
        <v>6849</v>
      </c>
      <c r="W124" s="125">
        <v>110799</v>
      </c>
      <c r="X124">
        <v>4514</v>
      </c>
      <c r="Y124" t="s">
        <v>308</v>
      </c>
      <c r="Z124">
        <f t="array" ref="Z124">SUM(IF(D124=$D$21:$D$209,1,0))</f>
        <v>1</v>
      </c>
      <c r="AA124" t="str">
        <f t="shared" si="5"/>
        <v/>
      </c>
    </row>
    <row r="125" spans="1:27">
      <c r="A125" t="str">
        <f t="shared" si="4"/>
        <v>Powder River Energy CorporationMT</v>
      </c>
      <c r="B125">
        <v>2012</v>
      </c>
      <c r="C125">
        <v>19156</v>
      </c>
      <c r="D125" t="s">
        <v>364</v>
      </c>
      <c r="E125" t="s">
        <v>305</v>
      </c>
      <c r="F125" t="s">
        <v>306</v>
      </c>
      <c r="G125" t="s">
        <v>316</v>
      </c>
      <c r="H125" t="s">
        <v>4</v>
      </c>
      <c r="I125" t="s">
        <v>309</v>
      </c>
      <c r="J125">
        <v>45.7</v>
      </c>
      <c r="K125">
        <v>532</v>
      </c>
      <c r="L125">
        <v>44</v>
      </c>
      <c r="M125">
        <v>1817.1</v>
      </c>
      <c r="N125">
        <v>13020</v>
      </c>
      <c r="O125">
        <v>175</v>
      </c>
      <c r="P125">
        <v>5465.5</v>
      </c>
      <c r="Q125" s="125">
        <v>96387</v>
      </c>
      <c r="R125">
        <v>64</v>
      </c>
      <c r="S125" t="s">
        <v>314</v>
      </c>
      <c r="T125" t="s">
        <v>314</v>
      </c>
      <c r="U125" t="s">
        <v>314</v>
      </c>
      <c r="V125">
        <v>7328.3</v>
      </c>
      <c r="W125" s="125">
        <v>109939</v>
      </c>
      <c r="X125">
        <v>283</v>
      </c>
      <c r="Y125" t="s">
        <v>308</v>
      </c>
      <c r="Z125">
        <f t="array" ref="Z125">SUM(IF(D125=$D$21:$D$209,1,0))</f>
        <v>1</v>
      </c>
      <c r="AA125" t="str">
        <f t="shared" si="5"/>
        <v/>
      </c>
    </row>
    <row r="126" spans="1:27">
      <c r="A126" t="str">
        <f t="shared" si="4"/>
        <v>Hood River Electric CoopOR</v>
      </c>
      <c r="B126">
        <v>2012</v>
      </c>
      <c r="C126">
        <v>8830</v>
      </c>
      <c r="D126" t="s">
        <v>136</v>
      </c>
      <c r="E126" t="s">
        <v>305</v>
      </c>
      <c r="F126" t="s">
        <v>306</v>
      </c>
      <c r="G126" t="s">
        <v>5</v>
      </c>
      <c r="H126" t="s">
        <v>5</v>
      </c>
      <c r="I126" t="s">
        <v>309</v>
      </c>
      <c r="J126">
        <v>3768.9</v>
      </c>
      <c r="K126">
        <v>53201</v>
      </c>
      <c r="L126">
        <v>3262</v>
      </c>
      <c r="M126">
        <v>394</v>
      </c>
      <c r="N126">
        <v>5606</v>
      </c>
      <c r="O126">
        <v>215</v>
      </c>
      <c r="P126">
        <v>2761.3</v>
      </c>
      <c r="Q126" s="125">
        <v>49640</v>
      </c>
      <c r="R126">
        <v>208</v>
      </c>
      <c r="S126" t="s">
        <v>314</v>
      </c>
      <c r="T126" t="s">
        <v>314</v>
      </c>
      <c r="U126" t="s">
        <v>314</v>
      </c>
      <c r="V126">
        <v>6924.2</v>
      </c>
      <c r="W126" s="125">
        <v>108447</v>
      </c>
      <c r="X126">
        <v>3685</v>
      </c>
      <c r="Y126" t="s">
        <v>308</v>
      </c>
      <c r="Z126">
        <f t="array" ref="Z126">SUM(IF(D126=$D$21:$D$209,1,0))</f>
        <v>1</v>
      </c>
      <c r="AA126" t="str">
        <f t="shared" si="5"/>
        <v/>
      </c>
    </row>
    <row r="127" spans="1:27">
      <c r="A127" t="str">
        <f t="shared" si="4"/>
        <v>Lincoln Electric Coop, IncMT</v>
      </c>
      <c r="B127">
        <v>2012</v>
      </c>
      <c r="C127">
        <v>11022</v>
      </c>
      <c r="D127" t="s">
        <v>127</v>
      </c>
      <c r="E127" t="s">
        <v>305</v>
      </c>
      <c r="F127" t="s">
        <v>306</v>
      </c>
      <c r="G127" t="s">
        <v>28</v>
      </c>
      <c r="H127" t="s">
        <v>4</v>
      </c>
      <c r="I127" t="s">
        <v>309</v>
      </c>
      <c r="J127">
        <v>6063</v>
      </c>
      <c r="K127">
        <v>71230</v>
      </c>
      <c r="L127">
        <v>4684</v>
      </c>
      <c r="M127">
        <v>1906</v>
      </c>
      <c r="N127">
        <v>26060</v>
      </c>
      <c r="O127">
        <v>695</v>
      </c>
      <c r="P127">
        <v>860</v>
      </c>
      <c r="Q127" s="125">
        <v>11010</v>
      </c>
      <c r="R127">
        <v>4</v>
      </c>
      <c r="S127" t="s">
        <v>314</v>
      </c>
      <c r="T127" t="s">
        <v>314</v>
      </c>
      <c r="U127" t="s">
        <v>314</v>
      </c>
      <c r="V127">
        <v>8829</v>
      </c>
      <c r="W127" s="125">
        <v>108300</v>
      </c>
      <c r="X127">
        <v>5383</v>
      </c>
      <c r="Y127" t="s">
        <v>308</v>
      </c>
      <c r="Z127">
        <f t="array" ref="Z127">SUM(IF(D127=$D$21:$D$209,1,0))</f>
        <v>1</v>
      </c>
      <c r="AA127" t="str">
        <f t="shared" si="5"/>
        <v/>
      </c>
    </row>
    <row r="128" spans="1:27">
      <c r="A128" t="str">
        <f t="shared" si="4"/>
        <v>Wasco Electric Coop, IncOR</v>
      </c>
      <c r="B128">
        <v>2012</v>
      </c>
      <c r="C128">
        <v>20138</v>
      </c>
      <c r="D128" t="s">
        <v>134</v>
      </c>
      <c r="E128" t="s">
        <v>305</v>
      </c>
      <c r="F128" t="s">
        <v>306</v>
      </c>
      <c r="G128" t="s">
        <v>5</v>
      </c>
      <c r="H128" t="s">
        <v>5</v>
      </c>
      <c r="I128" t="s">
        <v>309</v>
      </c>
      <c r="J128">
        <v>4711</v>
      </c>
      <c r="K128">
        <v>49264</v>
      </c>
      <c r="L128">
        <v>3769</v>
      </c>
      <c r="M128">
        <v>1545</v>
      </c>
      <c r="N128">
        <v>15986</v>
      </c>
      <c r="O128">
        <v>533</v>
      </c>
      <c r="P128">
        <v>3107</v>
      </c>
      <c r="Q128" s="125">
        <v>42057</v>
      </c>
      <c r="R128">
        <v>331</v>
      </c>
      <c r="S128" t="s">
        <v>314</v>
      </c>
      <c r="T128" t="s">
        <v>314</v>
      </c>
      <c r="U128" t="s">
        <v>314</v>
      </c>
      <c r="V128">
        <v>9363</v>
      </c>
      <c r="W128" s="125">
        <v>107307</v>
      </c>
      <c r="X128">
        <v>4633</v>
      </c>
      <c r="Y128" t="s">
        <v>308</v>
      </c>
      <c r="Z128">
        <f t="array" ref="Z128">SUM(IF(D128=$D$21:$D$209,1,0))</f>
        <v>1</v>
      </c>
      <c r="AA128" t="str">
        <f t="shared" si="5"/>
        <v/>
      </c>
    </row>
    <row r="129" spans="1:27">
      <c r="A129" t="str">
        <f t="shared" si="4"/>
        <v>Sheridan Electric Coop, IncMT</v>
      </c>
      <c r="B129">
        <v>2012</v>
      </c>
      <c r="C129">
        <v>16759</v>
      </c>
      <c r="D129" t="s">
        <v>354</v>
      </c>
      <c r="E129" t="s">
        <v>305</v>
      </c>
      <c r="F129" t="s">
        <v>306</v>
      </c>
      <c r="G129" t="s">
        <v>316</v>
      </c>
      <c r="H129" t="s">
        <v>4</v>
      </c>
      <c r="I129" t="s">
        <v>309</v>
      </c>
      <c r="J129">
        <v>2950</v>
      </c>
      <c r="K129">
        <v>34059</v>
      </c>
      <c r="L129">
        <v>2729</v>
      </c>
      <c r="M129">
        <v>7448.1</v>
      </c>
      <c r="N129">
        <v>67399</v>
      </c>
      <c r="O129">
        <v>781</v>
      </c>
      <c r="P129">
        <v>606.29999999999995</v>
      </c>
      <c r="Q129" s="125">
        <v>4435</v>
      </c>
      <c r="R129">
        <v>614</v>
      </c>
      <c r="S129" t="s">
        <v>314</v>
      </c>
      <c r="T129" t="s">
        <v>314</v>
      </c>
      <c r="U129" t="s">
        <v>314</v>
      </c>
      <c r="V129">
        <v>11004.4</v>
      </c>
      <c r="W129" s="125">
        <v>105893</v>
      </c>
      <c r="X129">
        <v>4124</v>
      </c>
      <c r="Y129" t="s">
        <v>308</v>
      </c>
      <c r="Z129">
        <f t="array" ref="Z129">SUM(IF(D129=$D$21:$D$209,1,0))</f>
        <v>1</v>
      </c>
      <c r="AA129" t="str">
        <f t="shared" si="5"/>
        <v/>
      </c>
    </row>
    <row r="130" spans="1:27">
      <c r="A130" t="str">
        <f t="shared" si="4"/>
        <v>Western Area Power AdministrationMT</v>
      </c>
      <c r="B130">
        <v>2012</v>
      </c>
      <c r="C130">
        <v>27000</v>
      </c>
      <c r="D130" t="s">
        <v>369</v>
      </c>
      <c r="E130" t="s">
        <v>305</v>
      </c>
      <c r="F130" t="s">
        <v>306</v>
      </c>
      <c r="G130" t="s">
        <v>316</v>
      </c>
      <c r="H130" t="s">
        <v>4</v>
      </c>
      <c r="I130" t="s">
        <v>323</v>
      </c>
      <c r="J130" t="s">
        <v>314</v>
      </c>
      <c r="K130" t="s">
        <v>314</v>
      </c>
      <c r="L130" t="s">
        <v>314</v>
      </c>
      <c r="M130">
        <v>2402</v>
      </c>
      <c r="N130">
        <v>105218</v>
      </c>
      <c r="O130">
        <v>22</v>
      </c>
      <c r="P130" t="s">
        <v>314</v>
      </c>
      <c r="Q130" s="125">
        <v>0</v>
      </c>
      <c r="R130" t="s">
        <v>314</v>
      </c>
      <c r="S130" t="s">
        <v>314</v>
      </c>
      <c r="T130" t="s">
        <v>314</v>
      </c>
      <c r="U130" t="s">
        <v>314</v>
      </c>
      <c r="V130">
        <v>2402</v>
      </c>
      <c r="W130" s="125">
        <v>105218</v>
      </c>
      <c r="X130">
        <v>22</v>
      </c>
      <c r="Z130">
        <f t="array" ref="Z130">SUM(IF(D130=$D$21:$D$209,1,0))</f>
        <v>1</v>
      </c>
      <c r="AA130" t="str">
        <f t="shared" si="5"/>
        <v/>
      </c>
    </row>
    <row r="131" spans="1:27">
      <c r="A131" t="str">
        <f t="shared" si="4"/>
        <v>City of Milton-FreewaterOR</v>
      </c>
      <c r="B131">
        <v>2012</v>
      </c>
      <c r="C131">
        <v>12615</v>
      </c>
      <c r="D131" t="s">
        <v>39</v>
      </c>
      <c r="E131" t="s">
        <v>305</v>
      </c>
      <c r="F131" t="s">
        <v>306</v>
      </c>
      <c r="G131" t="s">
        <v>5</v>
      </c>
      <c r="H131" t="s">
        <v>5</v>
      </c>
      <c r="I131" t="s">
        <v>307</v>
      </c>
      <c r="J131">
        <v>3646</v>
      </c>
      <c r="K131">
        <v>60331</v>
      </c>
      <c r="L131">
        <v>3504</v>
      </c>
      <c r="M131">
        <v>828</v>
      </c>
      <c r="N131">
        <v>14487</v>
      </c>
      <c r="O131">
        <v>500</v>
      </c>
      <c r="P131">
        <v>1738</v>
      </c>
      <c r="Q131" s="125">
        <v>30391</v>
      </c>
      <c r="R131">
        <v>340</v>
      </c>
      <c r="S131" t="s">
        <v>314</v>
      </c>
      <c r="T131" t="s">
        <v>314</v>
      </c>
      <c r="U131" t="s">
        <v>314</v>
      </c>
      <c r="V131">
        <v>6212</v>
      </c>
      <c r="W131" s="125">
        <v>105209</v>
      </c>
      <c r="X131">
        <v>4344</v>
      </c>
      <c r="Y131" t="s">
        <v>308</v>
      </c>
      <c r="Z131">
        <f t="array" ref="Z131">SUM(IF(D131=$D$21:$D$209,1,0))</f>
        <v>1</v>
      </c>
      <c r="AA131" t="str">
        <f t="shared" si="5"/>
        <v/>
      </c>
    </row>
    <row r="132" spans="1:27">
      <c r="A132" t="str">
        <f t="shared" si="4"/>
        <v>Columbia Basin Elec Cooperative, IncOR</v>
      </c>
      <c r="B132">
        <v>2012</v>
      </c>
      <c r="C132">
        <v>4005</v>
      </c>
      <c r="D132" t="s">
        <v>138</v>
      </c>
      <c r="E132" t="s">
        <v>305</v>
      </c>
      <c r="F132" t="s">
        <v>306</v>
      </c>
      <c r="G132" t="s">
        <v>5</v>
      </c>
      <c r="H132" t="s">
        <v>5</v>
      </c>
      <c r="I132" t="s">
        <v>309</v>
      </c>
      <c r="J132">
        <v>3744.6</v>
      </c>
      <c r="K132">
        <v>41387</v>
      </c>
      <c r="L132">
        <v>3092</v>
      </c>
      <c r="M132">
        <v>1932</v>
      </c>
      <c r="N132">
        <v>27649</v>
      </c>
      <c r="O132">
        <v>513</v>
      </c>
      <c r="P132">
        <v>1857.4</v>
      </c>
      <c r="Q132" s="125">
        <v>35848</v>
      </c>
      <c r="R132">
        <v>233</v>
      </c>
      <c r="S132">
        <v>0</v>
      </c>
      <c r="T132">
        <v>0</v>
      </c>
      <c r="U132">
        <v>0</v>
      </c>
      <c r="V132">
        <v>7534</v>
      </c>
      <c r="W132" s="125">
        <v>104884</v>
      </c>
      <c r="X132">
        <v>3838</v>
      </c>
      <c r="Y132" t="s">
        <v>308</v>
      </c>
      <c r="Z132">
        <f t="array" ref="Z132">SUM(IF(D132=$D$21:$D$209,1,0))</f>
        <v>1</v>
      </c>
      <c r="AA132" t="str">
        <f t="shared" si="5"/>
        <v/>
      </c>
    </row>
    <row r="133" spans="1:27">
      <c r="A133" t="str">
        <f t="shared" si="4"/>
        <v>City of HermistonOR</v>
      </c>
      <c r="B133">
        <v>2012</v>
      </c>
      <c r="C133">
        <v>8515</v>
      </c>
      <c r="D133" t="s">
        <v>36</v>
      </c>
      <c r="E133" t="s">
        <v>305</v>
      </c>
      <c r="F133" t="s">
        <v>306</v>
      </c>
      <c r="G133" t="s">
        <v>5</v>
      </c>
      <c r="H133" t="s">
        <v>5</v>
      </c>
      <c r="I133" t="s">
        <v>307</v>
      </c>
      <c r="J133">
        <v>3577</v>
      </c>
      <c r="K133">
        <v>51129</v>
      </c>
      <c r="L133">
        <v>4472</v>
      </c>
      <c r="M133">
        <v>3480</v>
      </c>
      <c r="N133">
        <v>53502</v>
      </c>
      <c r="O133">
        <v>816</v>
      </c>
      <c r="P133">
        <v>0</v>
      </c>
      <c r="Q133" s="125">
        <v>0</v>
      </c>
      <c r="R133">
        <v>0</v>
      </c>
      <c r="S133">
        <v>0</v>
      </c>
      <c r="T133">
        <v>0</v>
      </c>
      <c r="U133">
        <v>0</v>
      </c>
      <c r="V133">
        <v>7057</v>
      </c>
      <c r="W133" s="125">
        <v>104631</v>
      </c>
      <c r="X133">
        <v>5288</v>
      </c>
      <c r="Y133" t="s">
        <v>308</v>
      </c>
      <c r="Z133">
        <f t="array" ref="Z133">SUM(IF(D133=$D$21:$D$209,1,0))</f>
        <v>1</v>
      </c>
      <c r="AA133" t="str">
        <f t="shared" si="5"/>
        <v/>
      </c>
    </row>
    <row r="134" spans="1:27">
      <c r="A134" t="str">
        <f t="shared" si="4"/>
        <v>PUD No 1 of Ferry CountyWA</v>
      </c>
      <c r="B134">
        <v>2012</v>
      </c>
      <c r="C134">
        <v>6297</v>
      </c>
      <c r="D134" t="s">
        <v>86</v>
      </c>
      <c r="E134" t="s">
        <v>305</v>
      </c>
      <c r="F134" t="s">
        <v>306</v>
      </c>
      <c r="G134" t="s">
        <v>1</v>
      </c>
      <c r="H134" t="s">
        <v>1</v>
      </c>
      <c r="I134" t="s">
        <v>317</v>
      </c>
      <c r="J134">
        <v>3609.5</v>
      </c>
      <c r="K134">
        <v>38511</v>
      </c>
      <c r="L134">
        <v>2829</v>
      </c>
      <c r="M134">
        <v>893.8</v>
      </c>
      <c r="N134">
        <v>9664</v>
      </c>
      <c r="O134">
        <v>489</v>
      </c>
      <c r="P134">
        <v>3044.8</v>
      </c>
      <c r="Q134" s="125">
        <v>54878</v>
      </c>
      <c r="R134">
        <v>25</v>
      </c>
      <c r="S134">
        <v>0</v>
      </c>
      <c r="T134">
        <v>0</v>
      </c>
      <c r="U134">
        <v>0</v>
      </c>
      <c r="V134">
        <v>7548.1</v>
      </c>
      <c r="W134" s="125">
        <v>103053</v>
      </c>
      <c r="X134">
        <v>3343</v>
      </c>
      <c r="Y134" t="s">
        <v>308</v>
      </c>
      <c r="Z134">
        <f t="array" ref="Z134">SUM(IF(D134=$D$21:$D$209,1,0))</f>
        <v>1</v>
      </c>
      <c r="AA134" t="str">
        <f t="shared" si="5"/>
        <v/>
      </c>
    </row>
    <row r="135" spans="1:27">
      <c r="A135" t="str">
        <f t="shared" si="4"/>
        <v>Northern Lights, IncMT</v>
      </c>
      <c r="B135">
        <v>2012</v>
      </c>
      <c r="C135">
        <v>13758</v>
      </c>
      <c r="D135" t="s">
        <v>102</v>
      </c>
      <c r="E135" t="s">
        <v>305</v>
      </c>
      <c r="F135" t="s">
        <v>306</v>
      </c>
      <c r="G135" t="s">
        <v>28</v>
      </c>
      <c r="H135" t="s">
        <v>4</v>
      </c>
      <c r="I135" t="s">
        <v>309</v>
      </c>
      <c r="J135">
        <v>3920.3</v>
      </c>
      <c r="K135">
        <v>41489</v>
      </c>
      <c r="L135">
        <v>3717</v>
      </c>
      <c r="M135">
        <v>573.6</v>
      </c>
      <c r="N135">
        <v>6639</v>
      </c>
      <c r="O135">
        <v>250</v>
      </c>
      <c r="P135">
        <v>1909.8</v>
      </c>
      <c r="Q135" s="125">
        <v>48286</v>
      </c>
      <c r="R135">
        <v>5</v>
      </c>
      <c r="S135" t="s">
        <v>314</v>
      </c>
      <c r="T135" t="s">
        <v>314</v>
      </c>
      <c r="U135" t="s">
        <v>314</v>
      </c>
      <c r="V135">
        <v>6403.7</v>
      </c>
      <c r="W135" s="125">
        <v>96414</v>
      </c>
      <c r="X135">
        <v>3972</v>
      </c>
      <c r="Y135" t="s">
        <v>308</v>
      </c>
      <c r="Z135">
        <f t="array" ref="Z135">SUM(IF(D135=$D$21:$D$209,1,0))</f>
        <v>3</v>
      </c>
      <c r="AA135" t="str">
        <f t="shared" si="5"/>
        <v>Northern Lights, Inc</v>
      </c>
    </row>
    <row r="136" spans="1:27">
      <c r="A136" t="str">
        <f t="shared" si="4"/>
        <v>PUD No 1 of Kittitas CountyWA</v>
      </c>
      <c r="B136">
        <v>2012</v>
      </c>
      <c r="C136">
        <v>10326</v>
      </c>
      <c r="D136" t="s">
        <v>85</v>
      </c>
      <c r="E136" t="s">
        <v>305</v>
      </c>
      <c r="F136" t="s">
        <v>306</v>
      </c>
      <c r="G136" t="s">
        <v>1</v>
      </c>
      <c r="H136" t="s">
        <v>1</v>
      </c>
      <c r="I136" t="s">
        <v>317</v>
      </c>
      <c r="J136">
        <v>5468.5515395095381</v>
      </c>
      <c r="K136">
        <v>56179.824430750981</v>
      </c>
      <c r="L136">
        <v>3503.0762924163059</v>
      </c>
      <c r="M136">
        <v>1994.2721525885559</v>
      </c>
      <c r="N136">
        <v>29453.638206961699</v>
      </c>
      <c r="O136">
        <v>297.64700523798678</v>
      </c>
      <c r="P136">
        <v>594.17630790190731</v>
      </c>
      <c r="Q136" s="125">
        <v>6812.5373622873212</v>
      </c>
      <c r="R136">
        <v>388.27670234570712</v>
      </c>
      <c r="S136">
        <v>0</v>
      </c>
      <c r="T136">
        <v>0</v>
      </c>
      <c r="U136">
        <v>0</v>
      </c>
      <c r="V136">
        <v>8057</v>
      </c>
      <c r="W136" s="125">
        <v>92446</v>
      </c>
      <c r="X136">
        <v>4189</v>
      </c>
      <c r="Y136" t="s">
        <v>308</v>
      </c>
      <c r="Z136">
        <f t="array" ref="Z136">SUM(IF(D136=$D$21:$D$209,1,0))</f>
        <v>1</v>
      </c>
      <c r="AA136" t="str">
        <f t="shared" si="5"/>
        <v/>
      </c>
    </row>
    <row r="137" spans="1:27">
      <c r="A137" t="str">
        <f t="shared" si="4"/>
        <v>Tanner Electric CoopWA</v>
      </c>
      <c r="B137">
        <v>2012</v>
      </c>
      <c r="C137">
        <v>18448</v>
      </c>
      <c r="D137" t="s">
        <v>128</v>
      </c>
      <c r="E137" t="s">
        <v>305</v>
      </c>
      <c r="F137" t="s">
        <v>306</v>
      </c>
      <c r="G137" t="s">
        <v>1</v>
      </c>
      <c r="H137" t="s">
        <v>1</v>
      </c>
      <c r="I137" t="s">
        <v>309</v>
      </c>
      <c r="J137">
        <v>6312.8</v>
      </c>
      <c r="K137">
        <v>56449</v>
      </c>
      <c r="L137">
        <v>4268</v>
      </c>
      <c r="M137">
        <v>2877.8</v>
      </c>
      <c r="N137">
        <v>35279</v>
      </c>
      <c r="O137">
        <v>290</v>
      </c>
      <c r="P137" t="s">
        <v>314</v>
      </c>
      <c r="Q137" s="125">
        <v>0</v>
      </c>
      <c r="R137" t="s">
        <v>314</v>
      </c>
      <c r="S137" t="s">
        <v>314</v>
      </c>
      <c r="T137" t="s">
        <v>314</v>
      </c>
      <c r="U137" t="s">
        <v>314</v>
      </c>
      <c r="V137">
        <v>9190.6</v>
      </c>
      <c r="W137" s="125">
        <v>91728</v>
      </c>
      <c r="X137">
        <v>4558</v>
      </c>
      <c r="Y137" t="s">
        <v>308</v>
      </c>
      <c r="Z137">
        <f t="array" ref="Z137">SUM(IF(D137=$D$21:$D$209,1,0))</f>
        <v>1</v>
      </c>
      <c r="AA137" t="str">
        <f t="shared" si="5"/>
        <v/>
      </c>
    </row>
    <row r="138" spans="1:27">
      <c r="A138" t="str">
        <f t="shared" si="4"/>
        <v>Sun River Electric Coop, IncMT</v>
      </c>
      <c r="B138">
        <v>2012</v>
      </c>
      <c r="C138">
        <v>18401</v>
      </c>
      <c r="D138" t="s">
        <v>361</v>
      </c>
      <c r="E138" t="s">
        <v>305</v>
      </c>
      <c r="F138" t="s">
        <v>306</v>
      </c>
      <c r="G138" t="s">
        <v>316</v>
      </c>
      <c r="H138" t="s">
        <v>4</v>
      </c>
      <c r="I138" t="s">
        <v>309</v>
      </c>
      <c r="J138">
        <v>5660.2</v>
      </c>
      <c r="K138">
        <v>45248</v>
      </c>
      <c r="L138">
        <v>4435</v>
      </c>
      <c r="M138">
        <v>1318.2</v>
      </c>
      <c r="N138">
        <v>15275</v>
      </c>
      <c r="O138">
        <v>285</v>
      </c>
      <c r="P138">
        <v>3009.3</v>
      </c>
      <c r="Q138" s="125">
        <v>28919</v>
      </c>
      <c r="R138">
        <v>890</v>
      </c>
      <c r="S138" t="s">
        <v>314</v>
      </c>
      <c r="T138" t="s">
        <v>314</v>
      </c>
      <c r="U138" t="s">
        <v>314</v>
      </c>
      <c r="V138">
        <v>9987.7000000000007</v>
      </c>
      <c r="W138" s="125">
        <v>89442</v>
      </c>
      <c r="X138">
        <v>5610</v>
      </c>
      <c r="Y138" t="s">
        <v>308</v>
      </c>
      <c r="Z138">
        <f t="array" ref="Z138">SUM(IF(D138=$D$21:$D$209,1,0))</f>
        <v>1</v>
      </c>
      <c r="AA138" t="str">
        <f t="shared" si="5"/>
        <v/>
      </c>
    </row>
    <row r="139" spans="1:27">
      <c r="A139" t="str">
        <f t="shared" si="4"/>
        <v>Marias River Electric Coop IncMT</v>
      </c>
      <c r="B139">
        <v>2012</v>
      </c>
      <c r="C139">
        <v>11643</v>
      </c>
      <c r="D139" t="s">
        <v>338</v>
      </c>
      <c r="E139" t="s">
        <v>305</v>
      </c>
      <c r="F139" t="s">
        <v>306</v>
      </c>
      <c r="G139" t="s">
        <v>316</v>
      </c>
      <c r="H139" t="s">
        <v>4</v>
      </c>
      <c r="I139" t="s">
        <v>309</v>
      </c>
      <c r="J139">
        <v>2354.4</v>
      </c>
      <c r="K139">
        <v>29843</v>
      </c>
      <c r="L139">
        <v>2512</v>
      </c>
      <c r="M139">
        <v>4431</v>
      </c>
      <c r="N139">
        <v>56393</v>
      </c>
      <c r="O139">
        <v>1326</v>
      </c>
      <c r="P139" t="s">
        <v>314</v>
      </c>
      <c r="Q139" s="125">
        <v>0</v>
      </c>
      <c r="R139" t="s">
        <v>314</v>
      </c>
      <c r="S139" t="s">
        <v>314</v>
      </c>
      <c r="T139" t="s">
        <v>314</v>
      </c>
      <c r="U139" t="s">
        <v>314</v>
      </c>
      <c r="V139">
        <v>6785.4</v>
      </c>
      <c r="W139" s="125">
        <v>86236</v>
      </c>
      <c r="X139">
        <v>3838</v>
      </c>
      <c r="Y139" t="s">
        <v>308</v>
      </c>
      <c r="Z139">
        <f t="array" ref="Z139">SUM(IF(D139=$D$21:$D$209,1,0))</f>
        <v>1</v>
      </c>
      <c r="AA139" t="str">
        <f t="shared" si="5"/>
        <v/>
      </c>
    </row>
    <row r="140" spans="1:27">
      <c r="A140" t="str">
        <f t="shared" si="4"/>
        <v>Tongue River Electric Coop IncMT</v>
      </c>
      <c r="B140">
        <v>2012</v>
      </c>
      <c r="C140">
        <v>19022</v>
      </c>
      <c r="D140" t="s">
        <v>363</v>
      </c>
      <c r="E140" t="s">
        <v>305</v>
      </c>
      <c r="F140" t="s">
        <v>306</v>
      </c>
      <c r="G140" t="s">
        <v>316</v>
      </c>
      <c r="H140" t="s">
        <v>4</v>
      </c>
      <c r="I140" t="s">
        <v>309</v>
      </c>
      <c r="J140">
        <v>7360</v>
      </c>
      <c r="K140">
        <v>51389</v>
      </c>
      <c r="L140">
        <v>4258</v>
      </c>
      <c r="M140">
        <v>1531</v>
      </c>
      <c r="N140">
        <v>12602</v>
      </c>
      <c r="O140">
        <v>527</v>
      </c>
      <c r="P140">
        <v>2503</v>
      </c>
      <c r="Q140" s="125">
        <v>19184</v>
      </c>
      <c r="R140">
        <v>148</v>
      </c>
      <c r="S140" t="s">
        <v>314</v>
      </c>
      <c r="T140" t="s">
        <v>314</v>
      </c>
      <c r="U140" t="s">
        <v>314</v>
      </c>
      <c r="V140">
        <v>11394</v>
      </c>
      <c r="W140" s="125">
        <v>83175</v>
      </c>
      <c r="X140">
        <v>4933</v>
      </c>
      <c r="Y140" t="s">
        <v>308</v>
      </c>
      <c r="Z140">
        <f t="array" ref="Z140">SUM(IF(D140=$D$21:$D$209,1,0))</f>
        <v>1</v>
      </c>
      <c r="AA140" t="str">
        <f t="shared" si="5"/>
        <v/>
      </c>
    </row>
    <row r="141" spans="1:27">
      <c r="A141" t="str">
        <f t="shared" si="4"/>
        <v>Harney Electric Coop, IncOR</v>
      </c>
      <c r="B141">
        <v>2012</v>
      </c>
      <c r="C141">
        <v>11589</v>
      </c>
      <c r="D141" t="s">
        <v>146</v>
      </c>
      <c r="E141" t="s">
        <v>305</v>
      </c>
      <c r="F141" t="s">
        <v>306</v>
      </c>
      <c r="G141" t="s">
        <v>5</v>
      </c>
      <c r="H141" t="s">
        <v>5</v>
      </c>
      <c r="I141" t="s">
        <v>309</v>
      </c>
      <c r="J141">
        <v>1256</v>
      </c>
      <c r="K141">
        <v>17596</v>
      </c>
      <c r="L141">
        <v>945</v>
      </c>
      <c r="M141" t="s">
        <v>314</v>
      </c>
      <c r="N141">
        <v>0</v>
      </c>
      <c r="O141" t="s">
        <v>314</v>
      </c>
      <c r="P141">
        <v>3638.2</v>
      </c>
      <c r="Q141" s="125">
        <v>64794</v>
      </c>
      <c r="R141">
        <v>1468</v>
      </c>
      <c r="S141" t="s">
        <v>314</v>
      </c>
      <c r="T141" t="s">
        <v>314</v>
      </c>
      <c r="U141" t="s">
        <v>314</v>
      </c>
      <c r="V141">
        <v>4894.2</v>
      </c>
      <c r="W141" s="125">
        <v>82390</v>
      </c>
      <c r="X141">
        <v>2413</v>
      </c>
      <c r="Y141" t="s">
        <v>308</v>
      </c>
      <c r="Z141">
        <f t="array" ref="Z141">SUM(IF(D141=$D$21:$D$209,1,0))</f>
        <v>1</v>
      </c>
      <c r="AA141" t="str">
        <f t="shared" si="5"/>
        <v/>
      </c>
    </row>
    <row r="142" spans="1:27">
      <c r="A142" t="str">
        <f t="shared" si="4"/>
        <v>Ohop Mutual Light Company, IncWA</v>
      </c>
      <c r="B142">
        <v>2012</v>
      </c>
      <c r="C142">
        <v>14012</v>
      </c>
      <c r="D142" t="s">
        <v>132</v>
      </c>
      <c r="E142" t="s">
        <v>305</v>
      </c>
      <c r="F142" t="s">
        <v>306</v>
      </c>
      <c r="G142" t="s">
        <v>1</v>
      </c>
      <c r="H142" t="s">
        <v>1</v>
      </c>
      <c r="I142" t="s">
        <v>309</v>
      </c>
      <c r="J142">
        <v>5893</v>
      </c>
      <c r="K142">
        <v>74133</v>
      </c>
      <c r="L142">
        <v>4065</v>
      </c>
      <c r="M142">
        <v>290</v>
      </c>
      <c r="N142">
        <v>3897</v>
      </c>
      <c r="O142">
        <v>112</v>
      </c>
      <c r="P142">
        <v>5</v>
      </c>
      <c r="Q142" s="125">
        <v>52</v>
      </c>
      <c r="R142">
        <v>11</v>
      </c>
      <c r="S142" t="s">
        <v>314</v>
      </c>
      <c r="T142" t="s">
        <v>314</v>
      </c>
      <c r="U142" t="s">
        <v>314</v>
      </c>
      <c r="V142">
        <v>6188</v>
      </c>
      <c r="W142" s="125">
        <v>78082</v>
      </c>
      <c r="X142">
        <v>4188</v>
      </c>
      <c r="Y142" t="s">
        <v>308</v>
      </c>
      <c r="Z142">
        <f t="array" ref="Z142">SUM(IF(D142=$D$21:$D$209,1,0))</f>
        <v>1</v>
      </c>
      <c r="AA142" t="str">
        <f t="shared" si="5"/>
        <v/>
      </c>
    </row>
    <row r="143" spans="1:27">
      <c r="A143" t="str">
        <f t="shared" si="4"/>
        <v>Lost River Electric Coop IncID</v>
      </c>
      <c r="B143">
        <v>2012</v>
      </c>
      <c r="C143">
        <v>11211</v>
      </c>
      <c r="D143" t="s">
        <v>145</v>
      </c>
      <c r="E143" t="s">
        <v>305</v>
      </c>
      <c r="F143" t="s">
        <v>306</v>
      </c>
      <c r="G143" t="s">
        <v>3</v>
      </c>
      <c r="H143" t="s">
        <v>3</v>
      </c>
      <c r="I143" t="s">
        <v>309</v>
      </c>
      <c r="J143">
        <v>2482.6088992974242</v>
      </c>
      <c r="K143">
        <v>31934.353011093503</v>
      </c>
      <c r="L143">
        <v>1800.4253846153847</v>
      </c>
      <c r="M143">
        <v>335.74531615925059</v>
      </c>
      <c r="N143">
        <v>4667.0572503961967</v>
      </c>
      <c r="O143">
        <v>215.72846153846152</v>
      </c>
      <c r="P143">
        <v>2608.6457845433256</v>
      </c>
      <c r="Q143" s="125">
        <v>41280.589738510302</v>
      </c>
      <c r="R143">
        <v>604.84615384615392</v>
      </c>
      <c r="S143">
        <v>0</v>
      </c>
      <c r="T143">
        <v>0</v>
      </c>
      <c r="U143">
        <v>0</v>
      </c>
      <c r="V143">
        <v>5427</v>
      </c>
      <c r="W143" s="125">
        <v>77882</v>
      </c>
      <c r="X143">
        <v>2621</v>
      </c>
      <c r="Y143" t="s">
        <v>308</v>
      </c>
      <c r="Z143">
        <f t="array" ref="Z143">SUM(IF(D143=$D$21:$D$209,1,0))</f>
        <v>1</v>
      </c>
      <c r="AA143" t="str">
        <f t="shared" si="5"/>
        <v/>
      </c>
    </row>
    <row r="144" spans="1:27">
      <c r="A144" t="str">
        <f t="shared" si="4"/>
        <v>PUD No 1 of Mason CountyWA</v>
      </c>
      <c r="B144">
        <v>2012</v>
      </c>
      <c r="C144">
        <v>22355</v>
      </c>
      <c r="D144" t="s">
        <v>83</v>
      </c>
      <c r="E144" t="s">
        <v>305</v>
      </c>
      <c r="F144" t="s">
        <v>306</v>
      </c>
      <c r="G144" t="s">
        <v>1</v>
      </c>
      <c r="H144" t="s">
        <v>1</v>
      </c>
      <c r="I144" t="s">
        <v>317</v>
      </c>
      <c r="J144">
        <v>5287.517078897934</v>
      </c>
      <c r="K144">
        <v>59327.573883020261</v>
      </c>
      <c r="L144">
        <v>4657.3341135166766</v>
      </c>
      <c r="M144">
        <v>1493.5829211020664</v>
      </c>
      <c r="N144">
        <v>15933.426116979737</v>
      </c>
      <c r="O144">
        <v>454.66588648332362</v>
      </c>
      <c r="P144">
        <v>0</v>
      </c>
      <c r="Q144" s="125">
        <v>0</v>
      </c>
      <c r="R144">
        <v>0</v>
      </c>
      <c r="S144">
        <v>0</v>
      </c>
      <c r="T144">
        <v>0</v>
      </c>
      <c r="U144">
        <v>0</v>
      </c>
      <c r="V144">
        <v>6781.1</v>
      </c>
      <c r="W144" s="125">
        <v>75261</v>
      </c>
      <c r="X144">
        <v>5112</v>
      </c>
      <c r="Y144" t="s">
        <v>308</v>
      </c>
      <c r="Z144">
        <f t="array" ref="Z144">SUM(IF(D144=$D$21:$D$209,1,0))</f>
        <v>1</v>
      </c>
      <c r="AA144" t="str">
        <f t="shared" si="5"/>
        <v/>
      </c>
    </row>
    <row r="145" spans="1:27">
      <c r="A145" t="str">
        <f t="shared" si="4"/>
        <v>Rupert City ofID</v>
      </c>
      <c r="B145">
        <v>2012</v>
      </c>
      <c r="C145">
        <v>16416</v>
      </c>
      <c r="D145" t="s">
        <v>352</v>
      </c>
      <c r="E145" t="s">
        <v>305</v>
      </c>
      <c r="F145" t="s">
        <v>306</v>
      </c>
      <c r="G145" t="s">
        <v>3</v>
      </c>
      <c r="H145" t="s">
        <v>3</v>
      </c>
      <c r="I145" t="s">
        <v>307</v>
      </c>
      <c r="J145">
        <v>1948</v>
      </c>
      <c r="K145">
        <v>36354</v>
      </c>
      <c r="L145">
        <v>2380</v>
      </c>
      <c r="M145">
        <v>940</v>
      </c>
      <c r="N145">
        <v>24800</v>
      </c>
      <c r="O145">
        <v>232</v>
      </c>
      <c r="P145">
        <v>479</v>
      </c>
      <c r="Q145" s="125">
        <v>11920</v>
      </c>
      <c r="R145">
        <v>1</v>
      </c>
      <c r="S145" t="s">
        <v>314</v>
      </c>
      <c r="T145" t="s">
        <v>314</v>
      </c>
      <c r="U145" t="s">
        <v>314</v>
      </c>
      <c r="V145">
        <v>3367</v>
      </c>
      <c r="W145" s="125">
        <v>73074</v>
      </c>
      <c r="X145">
        <v>2613</v>
      </c>
      <c r="Y145" t="s">
        <v>308</v>
      </c>
      <c r="Z145">
        <f t="array" ref="Z145">SUM(IF(D145=$D$21:$D$209,1,0))</f>
        <v>1</v>
      </c>
      <c r="AA145" t="str">
        <f t="shared" si="5"/>
        <v/>
      </c>
    </row>
    <row r="146" spans="1:27">
      <c r="A146" t="str">
        <f t="shared" si="4"/>
        <v>City of BlaineWA</v>
      </c>
      <c r="B146">
        <v>2012</v>
      </c>
      <c r="C146">
        <v>1818</v>
      </c>
      <c r="D146" t="s">
        <v>45</v>
      </c>
      <c r="E146" t="s">
        <v>305</v>
      </c>
      <c r="F146" t="s">
        <v>306</v>
      </c>
      <c r="G146" t="s">
        <v>1</v>
      </c>
      <c r="H146" t="s">
        <v>1</v>
      </c>
      <c r="I146" t="s">
        <v>307</v>
      </c>
      <c r="J146">
        <v>1621</v>
      </c>
      <c r="K146">
        <v>24042</v>
      </c>
      <c r="L146">
        <v>2490</v>
      </c>
      <c r="M146">
        <v>2915</v>
      </c>
      <c r="N146">
        <v>39249</v>
      </c>
      <c r="O146">
        <v>517</v>
      </c>
      <c r="P146">
        <v>706</v>
      </c>
      <c r="Q146" s="125">
        <v>9519</v>
      </c>
      <c r="R146">
        <v>13</v>
      </c>
      <c r="S146" t="s">
        <v>314</v>
      </c>
      <c r="T146" t="s">
        <v>314</v>
      </c>
      <c r="U146" t="s">
        <v>314</v>
      </c>
      <c r="V146">
        <v>5242</v>
      </c>
      <c r="W146" s="125">
        <v>72810</v>
      </c>
      <c r="X146">
        <v>3020</v>
      </c>
      <c r="Y146" t="s">
        <v>308</v>
      </c>
      <c r="Z146">
        <f t="array" ref="Z146">SUM(IF(D146=$D$21:$D$209,1,0))</f>
        <v>1</v>
      </c>
      <c r="AA146" t="str">
        <f t="shared" si="5"/>
        <v/>
      </c>
    </row>
    <row r="147" spans="1:27">
      <c r="A147" t="str">
        <f t="shared" si="4"/>
        <v>City of MonmouthOR</v>
      </c>
      <c r="B147">
        <v>2012</v>
      </c>
      <c r="C147">
        <v>12789</v>
      </c>
      <c r="D147" t="s">
        <v>40</v>
      </c>
      <c r="E147" t="s">
        <v>305</v>
      </c>
      <c r="F147" t="s">
        <v>306</v>
      </c>
      <c r="G147" t="s">
        <v>5</v>
      </c>
      <c r="H147" t="s">
        <v>5</v>
      </c>
      <c r="I147" t="s">
        <v>307</v>
      </c>
      <c r="J147">
        <v>3760.7</v>
      </c>
      <c r="K147">
        <v>43642</v>
      </c>
      <c r="L147">
        <v>3994</v>
      </c>
      <c r="M147">
        <v>331.2</v>
      </c>
      <c r="N147">
        <v>3758</v>
      </c>
      <c r="O147">
        <v>213</v>
      </c>
      <c r="P147">
        <v>1675</v>
      </c>
      <c r="Q147" s="125">
        <v>21919</v>
      </c>
      <c r="R147">
        <v>61</v>
      </c>
      <c r="S147" t="s">
        <v>314</v>
      </c>
      <c r="T147" t="s">
        <v>314</v>
      </c>
      <c r="U147" t="s">
        <v>314</v>
      </c>
      <c r="V147">
        <v>5766.9</v>
      </c>
      <c r="W147" s="125">
        <v>69319</v>
      </c>
      <c r="X147">
        <v>4268</v>
      </c>
      <c r="Y147" t="s">
        <v>308</v>
      </c>
      <c r="Z147">
        <f t="array" ref="Z147">SUM(IF(D147=$D$21:$D$209,1,0))</f>
        <v>1</v>
      </c>
      <c r="AA147" t="str">
        <f t="shared" si="5"/>
        <v/>
      </c>
    </row>
    <row r="148" spans="1:27">
      <c r="A148" t="str">
        <f t="shared" si="4"/>
        <v>West Oregon Electric Coop IncOR</v>
      </c>
      <c r="B148">
        <v>2012</v>
      </c>
      <c r="C148">
        <v>20385</v>
      </c>
      <c r="D148" t="s">
        <v>129</v>
      </c>
      <c r="E148" t="s">
        <v>305</v>
      </c>
      <c r="F148" t="s">
        <v>306</v>
      </c>
      <c r="G148" t="s">
        <v>5</v>
      </c>
      <c r="H148" t="s">
        <v>5</v>
      </c>
      <c r="I148" t="s">
        <v>309</v>
      </c>
      <c r="J148">
        <v>7202.0619337079943</v>
      </c>
      <c r="K148">
        <v>53372.287175979152</v>
      </c>
      <c r="L148">
        <v>3922.7832558139535</v>
      </c>
      <c r="M148">
        <v>711.36552356921663</v>
      </c>
      <c r="N148">
        <v>5319.0650879823024</v>
      </c>
      <c r="O148">
        <v>278.78651162790698</v>
      </c>
      <c r="P148">
        <v>1049.5725427227894</v>
      </c>
      <c r="Q148" s="125">
        <v>9503.6477360385397</v>
      </c>
      <c r="R148">
        <v>49.430232558139537</v>
      </c>
      <c r="S148">
        <v>0</v>
      </c>
      <c r="T148">
        <v>0</v>
      </c>
      <c r="U148">
        <v>0</v>
      </c>
      <c r="V148">
        <v>8963</v>
      </c>
      <c r="W148" s="125">
        <v>68195</v>
      </c>
      <c r="X148">
        <v>4251</v>
      </c>
      <c r="Y148" t="s">
        <v>308</v>
      </c>
      <c r="Z148">
        <f t="array" ref="Z148">SUM(IF(D148=$D$21:$D$209,1,0))</f>
        <v>1</v>
      </c>
      <c r="AA148" t="str">
        <f t="shared" si="5"/>
        <v/>
      </c>
    </row>
    <row r="149" spans="1:27">
      <c r="A149" t="str">
        <f t="shared" si="4"/>
        <v>McCone Electric Coop IncMT</v>
      </c>
      <c r="B149">
        <v>2012</v>
      </c>
      <c r="C149">
        <v>11989</v>
      </c>
      <c r="D149" t="s">
        <v>339</v>
      </c>
      <c r="E149" t="s">
        <v>305</v>
      </c>
      <c r="F149" t="s">
        <v>306</v>
      </c>
      <c r="G149" t="s">
        <v>316</v>
      </c>
      <c r="H149" t="s">
        <v>4</v>
      </c>
      <c r="I149" t="s">
        <v>309</v>
      </c>
      <c r="J149">
        <v>5377.4</v>
      </c>
      <c r="K149">
        <v>43344</v>
      </c>
      <c r="L149">
        <v>4539</v>
      </c>
      <c r="M149">
        <v>2221.1999999999998</v>
      </c>
      <c r="N149">
        <v>21603</v>
      </c>
      <c r="O149">
        <v>514</v>
      </c>
      <c r="P149">
        <v>214.1</v>
      </c>
      <c r="Q149" s="125">
        <v>1744</v>
      </c>
      <c r="R149">
        <v>70</v>
      </c>
      <c r="S149" t="s">
        <v>314</v>
      </c>
      <c r="T149" t="s">
        <v>314</v>
      </c>
      <c r="U149" t="s">
        <v>314</v>
      </c>
      <c r="V149">
        <v>7812.7</v>
      </c>
      <c r="W149" s="125">
        <v>66691</v>
      </c>
      <c r="X149">
        <v>5123</v>
      </c>
      <c r="Y149" t="s">
        <v>308</v>
      </c>
      <c r="Z149">
        <f t="array" ref="Z149">SUM(IF(D149=$D$21:$D$209,1,0))</f>
        <v>1</v>
      </c>
      <c r="AA149" t="str">
        <f t="shared" si="5"/>
        <v/>
      </c>
    </row>
    <row r="150" spans="1:27">
      <c r="A150" t="str">
        <f t="shared" ref="A150:A209" si="6">D150&amp;H150</f>
        <v>City of Bonners FerryID</v>
      </c>
      <c r="B150">
        <v>2012</v>
      </c>
      <c r="C150">
        <v>1956</v>
      </c>
      <c r="D150" t="s">
        <v>46</v>
      </c>
      <c r="E150" t="s">
        <v>305</v>
      </c>
      <c r="F150" t="s">
        <v>306</v>
      </c>
      <c r="G150" t="s">
        <v>3</v>
      </c>
      <c r="H150" t="s">
        <v>3</v>
      </c>
      <c r="I150" t="s">
        <v>307</v>
      </c>
      <c r="J150">
        <v>1793.4080145719493</v>
      </c>
      <c r="K150">
        <v>24225.027278916714</v>
      </c>
      <c r="L150">
        <v>1914</v>
      </c>
      <c r="M150">
        <v>1536.7206109009387</v>
      </c>
      <c r="N150">
        <v>23244.754550268553</v>
      </c>
      <c r="O150">
        <v>659</v>
      </c>
      <c r="P150">
        <v>956.87137452711215</v>
      </c>
      <c r="Q150" s="125">
        <v>18576.218170814736</v>
      </c>
      <c r="R150">
        <v>20</v>
      </c>
      <c r="S150">
        <v>0</v>
      </c>
      <c r="T150">
        <v>0</v>
      </c>
      <c r="U150">
        <v>0</v>
      </c>
      <c r="V150">
        <v>4287</v>
      </c>
      <c r="W150" s="125">
        <v>66046</v>
      </c>
      <c r="X150">
        <v>2593</v>
      </c>
      <c r="Y150" t="s">
        <v>308</v>
      </c>
      <c r="Z150">
        <f t="array" ref="Z150">SUM(IF(D150=$D$21:$D$209,1,0))</f>
        <v>1</v>
      </c>
      <c r="AA150" t="str">
        <f t="shared" ref="AA150:AA209" si="7">IF(Z150&gt;1,D150,"")</f>
        <v/>
      </c>
    </row>
    <row r="151" spans="1:27">
      <c r="A151" t="str">
        <f t="shared" si="6"/>
        <v>City of BandonOR</v>
      </c>
      <c r="B151">
        <v>2012</v>
      </c>
      <c r="C151">
        <v>1176</v>
      </c>
      <c r="D151" t="s">
        <v>42</v>
      </c>
      <c r="E151" t="s">
        <v>305</v>
      </c>
      <c r="F151" t="s">
        <v>306</v>
      </c>
      <c r="G151" t="s">
        <v>5</v>
      </c>
      <c r="H151" t="s">
        <v>5</v>
      </c>
      <c r="I151" t="s">
        <v>307</v>
      </c>
      <c r="J151">
        <v>2653</v>
      </c>
      <c r="K151">
        <v>34629</v>
      </c>
      <c r="L151">
        <v>2781</v>
      </c>
      <c r="M151">
        <v>2179</v>
      </c>
      <c r="N151">
        <v>27842</v>
      </c>
      <c r="O151">
        <v>975</v>
      </c>
      <c r="P151">
        <v>131</v>
      </c>
      <c r="Q151" s="125">
        <v>1333</v>
      </c>
      <c r="R151">
        <v>3</v>
      </c>
      <c r="S151" t="s">
        <v>314</v>
      </c>
      <c r="T151" t="s">
        <v>314</v>
      </c>
      <c r="U151" t="s">
        <v>314</v>
      </c>
      <c r="V151">
        <v>4963</v>
      </c>
      <c r="W151" s="125">
        <v>63804</v>
      </c>
      <c r="X151">
        <v>3759</v>
      </c>
      <c r="Y151" t="s">
        <v>308</v>
      </c>
      <c r="Z151">
        <f t="array" ref="Z151">SUM(IF(D151=$D$21:$D$209,1,0))</f>
        <v>1</v>
      </c>
      <c r="AA151" t="str">
        <f t="shared" si="7"/>
        <v/>
      </c>
    </row>
    <row r="152" spans="1:27">
      <c r="A152" t="str">
        <f t="shared" si="6"/>
        <v>Constellation NewEnergy, IncOR</v>
      </c>
      <c r="B152">
        <v>2012</v>
      </c>
      <c r="C152">
        <v>13374</v>
      </c>
      <c r="D152" t="s">
        <v>345</v>
      </c>
      <c r="E152" t="s">
        <v>311</v>
      </c>
      <c r="F152" t="s">
        <v>312</v>
      </c>
      <c r="G152" t="s">
        <v>5</v>
      </c>
      <c r="H152" t="s">
        <v>5</v>
      </c>
      <c r="I152" t="s">
        <v>313</v>
      </c>
      <c r="J152">
        <v>0</v>
      </c>
      <c r="K152">
        <v>0</v>
      </c>
      <c r="L152">
        <v>0</v>
      </c>
      <c r="M152">
        <v>5204.7</v>
      </c>
      <c r="N152">
        <v>63284</v>
      </c>
      <c r="O152">
        <v>1</v>
      </c>
      <c r="P152">
        <v>0</v>
      </c>
      <c r="Q152" s="125">
        <v>0</v>
      </c>
      <c r="R152">
        <v>0</v>
      </c>
      <c r="S152">
        <v>0</v>
      </c>
      <c r="T152">
        <v>0</v>
      </c>
      <c r="U152">
        <v>0</v>
      </c>
      <c r="V152">
        <v>5204.7</v>
      </c>
      <c r="W152" s="125">
        <v>63284</v>
      </c>
      <c r="X152">
        <v>1</v>
      </c>
      <c r="Z152">
        <f t="array" ref="Z152">SUM(IF(D152=$D$21:$D$209,1,0))</f>
        <v>1</v>
      </c>
      <c r="AA152" t="str">
        <f t="shared" si="7"/>
        <v/>
      </c>
    </row>
    <row r="153" spans="1:27">
      <c r="A153" t="str">
        <f t="shared" si="6"/>
        <v>Lower Valley Energy IncID</v>
      </c>
      <c r="B153">
        <v>2012</v>
      </c>
      <c r="C153">
        <v>11273</v>
      </c>
      <c r="D153" t="s">
        <v>100</v>
      </c>
      <c r="E153" t="s">
        <v>305</v>
      </c>
      <c r="F153" t="s">
        <v>306</v>
      </c>
      <c r="G153" t="s">
        <v>3</v>
      </c>
      <c r="H153" t="s">
        <v>3</v>
      </c>
      <c r="I153" t="s">
        <v>309</v>
      </c>
      <c r="J153">
        <v>784</v>
      </c>
      <c r="K153">
        <v>13073</v>
      </c>
      <c r="L153">
        <v>1265</v>
      </c>
      <c r="M153">
        <v>158</v>
      </c>
      <c r="N153">
        <v>2690</v>
      </c>
      <c r="O153">
        <v>317</v>
      </c>
      <c r="P153">
        <v>1803</v>
      </c>
      <c r="Q153" s="125">
        <v>46527</v>
      </c>
      <c r="R153">
        <v>39</v>
      </c>
      <c r="S153" t="s">
        <v>314</v>
      </c>
      <c r="T153" t="s">
        <v>314</v>
      </c>
      <c r="U153" t="s">
        <v>314</v>
      </c>
      <c r="V153">
        <v>2745</v>
      </c>
      <c r="W153" s="125">
        <v>62290</v>
      </c>
      <c r="X153">
        <v>1621</v>
      </c>
      <c r="Y153" t="s">
        <v>308</v>
      </c>
      <c r="Z153">
        <f t="array" ref="Z153">SUM(IF(D153=$D$21:$D$209,1,0))</f>
        <v>1</v>
      </c>
      <c r="AA153" t="str">
        <f t="shared" si="7"/>
        <v/>
      </c>
    </row>
    <row r="154" spans="1:27">
      <c r="A154" t="str">
        <f t="shared" si="6"/>
        <v>City of MiltonWA</v>
      </c>
      <c r="B154">
        <v>2012</v>
      </c>
      <c r="C154">
        <v>12616</v>
      </c>
      <c r="D154" t="s">
        <v>41</v>
      </c>
      <c r="E154" t="s">
        <v>305</v>
      </c>
      <c r="F154" t="s">
        <v>306</v>
      </c>
      <c r="G154" t="s">
        <v>1</v>
      </c>
      <c r="H154" t="s">
        <v>1</v>
      </c>
      <c r="I154" t="s">
        <v>307</v>
      </c>
      <c r="J154">
        <v>2723.8796648895659</v>
      </c>
      <c r="K154">
        <v>41313.93656192725</v>
      </c>
      <c r="L154">
        <v>3193.5769457547171</v>
      </c>
      <c r="M154">
        <v>1278.1203351104341</v>
      </c>
      <c r="N154">
        <v>17681.06343807275</v>
      </c>
      <c r="O154">
        <v>205.423054245283</v>
      </c>
      <c r="P154">
        <v>0</v>
      </c>
      <c r="Q154" s="125">
        <v>0</v>
      </c>
      <c r="R154">
        <v>0</v>
      </c>
      <c r="S154">
        <v>0</v>
      </c>
      <c r="T154">
        <v>0</v>
      </c>
      <c r="U154">
        <v>0</v>
      </c>
      <c r="V154">
        <v>4002</v>
      </c>
      <c r="W154" s="125">
        <v>58995</v>
      </c>
      <c r="X154">
        <v>3399</v>
      </c>
      <c r="Y154" t="s">
        <v>308</v>
      </c>
      <c r="Z154">
        <f t="array" ref="Z154">SUM(IF(D154=$D$21:$D$209,1,0))</f>
        <v>1</v>
      </c>
      <c r="AA154" t="str">
        <f t="shared" si="7"/>
        <v/>
      </c>
    </row>
    <row r="155" spans="1:27">
      <c r="A155" t="str">
        <f t="shared" si="6"/>
        <v>Big Horn County Elec Coop, IncMT</v>
      </c>
      <c r="B155">
        <v>2012</v>
      </c>
      <c r="C155">
        <v>1683</v>
      </c>
      <c r="D155" t="s">
        <v>321</v>
      </c>
      <c r="E155" t="s">
        <v>305</v>
      </c>
      <c r="F155" t="s">
        <v>306</v>
      </c>
      <c r="G155" t="s">
        <v>316</v>
      </c>
      <c r="H155" t="s">
        <v>4</v>
      </c>
      <c r="I155" t="s">
        <v>309</v>
      </c>
      <c r="J155">
        <v>3824.2</v>
      </c>
      <c r="K155">
        <v>38911</v>
      </c>
      <c r="L155">
        <v>3102</v>
      </c>
      <c r="M155">
        <v>2055</v>
      </c>
      <c r="N155">
        <v>20022</v>
      </c>
      <c r="O155">
        <v>543</v>
      </c>
      <c r="P155" t="s">
        <v>314</v>
      </c>
      <c r="Q155" s="125">
        <v>0</v>
      </c>
      <c r="R155" t="s">
        <v>314</v>
      </c>
      <c r="S155" t="s">
        <v>314</v>
      </c>
      <c r="T155" t="s">
        <v>314</v>
      </c>
      <c r="U155" t="s">
        <v>314</v>
      </c>
      <c r="V155">
        <v>5879.2</v>
      </c>
      <c r="W155" s="125">
        <v>58933</v>
      </c>
      <c r="X155">
        <v>3645</v>
      </c>
      <c r="Y155" t="s">
        <v>308</v>
      </c>
      <c r="Z155">
        <f t="array" ref="Z155">SUM(IF(D155=$D$21:$D$209,1,0))</f>
        <v>1</v>
      </c>
      <c r="AA155" t="str">
        <f t="shared" si="7"/>
        <v/>
      </c>
    </row>
    <row r="156" spans="1:27">
      <c r="A156" t="str">
        <f t="shared" si="6"/>
        <v>South Side Electric, IncID</v>
      </c>
      <c r="B156">
        <v>2012</v>
      </c>
      <c r="C156">
        <v>17576</v>
      </c>
      <c r="D156" t="s">
        <v>150</v>
      </c>
      <c r="E156" t="s">
        <v>305</v>
      </c>
      <c r="F156" t="s">
        <v>306</v>
      </c>
      <c r="G156" t="s">
        <v>3</v>
      </c>
      <c r="H156" t="s">
        <v>3</v>
      </c>
      <c r="I156" t="s">
        <v>309</v>
      </c>
      <c r="J156">
        <v>1525.1507186858316</v>
      </c>
      <c r="K156">
        <v>27737.647961668063</v>
      </c>
      <c r="L156">
        <v>917.72756933115818</v>
      </c>
      <c r="M156">
        <v>0</v>
      </c>
      <c r="N156">
        <v>0</v>
      </c>
      <c r="O156">
        <v>0</v>
      </c>
      <c r="P156">
        <v>1093.8492813141684</v>
      </c>
      <c r="Q156" s="125">
        <v>29768.352038331941</v>
      </c>
      <c r="R156">
        <v>313.27243066884176</v>
      </c>
      <c r="S156">
        <v>0</v>
      </c>
      <c r="T156">
        <v>0</v>
      </c>
      <c r="U156">
        <v>0</v>
      </c>
      <c r="V156">
        <v>2619</v>
      </c>
      <c r="W156" s="125">
        <v>57506</v>
      </c>
      <c r="X156">
        <v>1231</v>
      </c>
      <c r="Y156" t="s">
        <v>308</v>
      </c>
      <c r="Z156">
        <f t="array" ref="Z156">SUM(IF(D156=$D$21:$D$209,1,0))</f>
        <v>1</v>
      </c>
      <c r="AA156" t="str">
        <f t="shared" si="7"/>
        <v/>
      </c>
    </row>
    <row r="157" spans="1:27">
      <c r="A157" t="str">
        <f t="shared" si="6"/>
        <v>Beartooth Electric Coop, IncMT</v>
      </c>
      <c r="B157">
        <v>2012</v>
      </c>
      <c r="C157">
        <v>1417</v>
      </c>
      <c r="D157" t="s">
        <v>315</v>
      </c>
      <c r="E157" t="s">
        <v>305</v>
      </c>
      <c r="F157" t="s">
        <v>306</v>
      </c>
      <c r="G157" t="s">
        <v>316</v>
      </c>
      <c r="H157" t="s">
        <v>4</v>
      </c>
      <c r="I157" t="s">
        <v>309</v>
      </c>
      <c r="J157">
        <v>7681</v>
      </c>
      <c r="K157">
        <v>44600</v>
      </c>
      <c r="L157">
        <v>4943</v>
      </c>
      <c r="M157">
        <v>1125</v>
      </c>
      <c r="N157">
        <v>7810</v>
      </c>
      <c r="O157">
        <v>400</v>
      </c>
      <c r="P157">
        <v>234</v>
      </c>
      <c r="Q157" s="125">
        <v>2094</v>
      </c>
      <c r="R157">
        <v>1</v>
      </c>
      <c r="S157" t="s">
        <v>314</v>
      </c>
      <c r="T157" t="s">
        <v>314</v>
      </c>
      <c r="U157" t="s">
        <v>314</v>
      </c>
      <c r="V157">
        <v>9040</v>
      </c>
      <c r="W157" s="125">
        <v>54504</v>
      </c>
      <c r="X157">
        <v>5344</v>
      </c>
      <c r="Y157" t="s">
        <v>308</v>
      </c>
      <c r="Z157">
        <f t="array" ref="Z157">SUM(IF(D157=$D$21:$D$209,1,0))</f>
        <v>1</v>
      </c>
      <c r="AA157" t="str">
        <f t="shared" si="7"/>
        <v/>
      </c>
    </row>
    <row r="158" spans="1:27">
      <c r="A158" t="str">
        <f t="shared" si="6"/>
        <v>Okanogan County Elec Coop, IncWA</v>
      </c>
      <c r="B158">
        <v>2012</v>
      </c>
      <c r="C158">
        <v>14074</v>
      </c>
      <c r="D158" t="s">
        <v>141</v>
      </c>
      <c r="E158" t="s">
        <v>305</v>
      </c>
      <c r="F158" t="s">
        <v>306</v>
      </c>
      <c r="G158" t="s">
        <v>1</v>
      </c>
      <c r="H158" t="s">
        <v>1</v>
      </c>
      <c r="I158" t="s">
        <v>309</v>
      </c>
      <c r="J158">
        <v>3852.5</v>
      </c>
      <c r="K158">
        <v>37438</v>
      </c>
      <c r="L158">
        <v>3212</v>
      </c>
      <c r="M158">
        <v>1038.0999999999999</v>
      </c>
      <c r="N158">
        <v>16803</v>
      </c>
      <c r="O158">
        <v>300</v>
      </c>
      <c r="P158" t="s">
        <v>314</v>
      </c>
      <c r="Q158" s="125">
        <v>0</v>
      </c>
      <c r="R158" t="s">
        <v>314</v>
      </c>
      <c r="S158" t="s">
        <v>314</v>
      </c>
      <c r="T158" t="s">
        <v>314</v>
      </c>
      <c r="U158" t="s">
        <v>314</v>
      </c>
      <c r="V158">
        <v>4890.6000000000004</v>
      </c>
      <c r="W158" s="125">
        <v>54241</v>
      </c>
      <c r="X158">
        <v>3512</v>
      </c>
      <c r="Y158" t="s">
        <v>308</v>
      </c>
      <c r="Z158">
        <f t="array" ref="Z158">SUM(IF(D158=$D$21:$D$209,1,0))</f>
        <v>1</v>
      </c>
      <c r="AA158" t="str">
        <f t="shared" si="7"/>
        <v/>
      </c>
    </row>
    <row r="159" spans="1:27">
      <c r="A159" t="str">
        <f t="shared" si="6"/>
        <v>NorVal Electric Cooperative, IncMT</v>
      </c>
      <c r="B159">
        <v>2012</v>
      </c>
      <c r="C159">
        <v>13749</v>
      </c>
      <c r="D159" t="s">
        <v>346</v>
      </c>
      <c r="E159" t="s">
        <v>305</v>
      </c>
      <c r="F159" t="s">
        <v>306</v>
      </c>
      <c r="G159" t="s">
        <v>316</v>
      </c>
      <c r="H159" t="s">
        <v>4</v>
      </c>
      <c r="I159" t="s">
        <v>309</v>
      </c>
      <c r="J159">
        <v>3768.784712986318</v>
      </c>
      <c r="K159">
        <v>29622.197781178271</v>
      </c>
      <c r="L159">
        <v>1923.3629560336763</v>
      </c>
      <c r="M159">
        <v>2897.6</v>
      </c>
      <c r="N159">
        <v>17547.156656465188</v>
      </c>
      <c r="O159">
        <v>1327.577174929841</v>
      </c>
      <c r="P159">
        <v>577.61528701368195</v>
      </c>
      <c r="Q159" s="125">
        <v>5380.6455623565416</v>
      </c>
      <c r="R159">
        <v>4.0598690364826941</v>
      </c>
      <c r="S159">
        <v>0</v>
      </c>
      <c r="T159">
        <v>0</v>
      </c>
      <c r="U159">
        <v>0</v>
      </c>
      <c r="V159">
        <v>7244</v>
      </c>
      <c r="W159" s="125">
        <v>52550</v>
      </c>
      <c r="X159">
        <v>3255</v>
      </c>
      <c r="Y159" t="s">
        <v>308</v>
      </c>
      <c r="Z159">
        <f t="array" ref="Z159">SUM(IF(D159=$D$21:$D$209,1,0))</f>
        <v>1</v>
      </c>
      <c r="AA159" t="str">
        <f t="shared" si="7"/>
        <v/>
      </c>
    </row>
    <row r="160" spans="1:27">
      <c r="A160" t="str">
        <f t="shared" si="6"/>
        <v>Black Hills Power IncMT</v>
      </c>
      <c r="B160">
        <v>2012</v>
      </c>
      <c r="C160">
        <v>19545</v>
      </c>
      <c r="D160" t="s">
        <v>365</v>
      </c>
      <c r="E160" t="s">
        <v>305</v>
      </c>
      <c r="F160" t="s">
        <v>335</v>
      </c>
      <c r="G160" t="s">
        <v>316</v>
      </c>
      <c r="H160" t="s">
        <v>4</v>
      </c>
      <c r="I160" t="s">
        <v>336</v>
      </c>
      <c r="J160">
        <v>5.2</v>
      </c>
      <c r="K160">
        <v>61</v>
      </c>
      <c r="L160">
        <v>12</v>
      </c>
      <c r="M160">
        <v>114.3</v>
      </c>
      <c r="N160">
        <v>1519</v>
      </c>
      <c r="O160">
        <v>20</v>
      </c>
      <c r="P160">
        <v>2464.6999999999998</v>
      </c>
      <c r="Q160" s="125">
        <v>48328</v>
      </c>
      <c r="R160">
        <v>3</v>
      </c>
      <c r="S160" t="s">
        <v>314</v>
      </c>
      <c r="T160" t="s">
        <v>314</v>
      </c>
      <c r="U160" t="s">
        <v>314</v>
      </c>
      <c r="V160">
        <v>2584.1999999999998</v>
      </c>
      <c r="W160" s="125">
        <v>49908</v>
      </c>
      <c r="X160">
        <v>35</v>
      </c>
      <c r="Z160">
        <f t="array" ref="Z160">SUM(IF(D160=$D$21:$D$209,1,0))</f>
        <v>1</v>
      </c>
      <c r="AA160" t="str">
        <f t="shared" si="7"/>
        <v/>
      </c>
    </row>
    <row r="161" spans="1:27">
      <c r="A161" t="str">
        <f t="shared" si="6"/>
        <v>Nespelem Valley Elec Coop, IncWA</v>
      </c>
      <c r="B161">
        <v>2012</v>
      </c>
      <c r="C161">
        <v>13387</v>
      </c>
      <c r="D161" t="s">
        <v>148</v>
      </c>
      <c r="E161" t="s">
        <v>305</v>
      </c>
      <c r="F161" t="s">
        <v>306</v>
      </c>
      <c r="G161" t="s">
        <v>1</v>
      </c>
      <c r="H161" t="s">
        <v>1</v>
      </c>
      <c r="I161" t="s">
        <v>309</v>
      </c>
      <c r="J161">
        <v>1578.6453759148369</v>
      </c>
      <c r="K161">
        <v>21214.356283193421</v>
      </c>
      <c r="L161">
        <v>1207.3594053005818</v>
      </c>
      <c r="M161">
        <v>999.77112441783106</v>
      </c>
      <c r="N161">
        <v>14765.972310262121</v>
      </c>
      <c r="O161">
        <v>257.63736263736263</v>
      </c>
      <c r="P161">
        <v>813.58349966733203</v>
      </c>
      <c r="Q161" s="125">
        <v>13528.671406544458</v>
      </c>
      <c r="R161">
        <v>98.003232062055588</v>
      </c>
      <c r="S161">
        <v>0</v>
      </c>
      <c r="T161">
        <v>0</v>
      </c>
      <c r="U161">
        <v>0</v>
      </c>
      <c r="V161">
        <v>3392</v>
      </c>
      <c r="W161" s="125">
        <v>49509</v>
      </c>
      <c r="X161">
        <v>1563</v>
      </c>
      <c r="Y161" t="s">
        <v>308</v>
      </c>
      <c r="Z161">
        <f t="array" ref="Z161">SUM(IF(D161=$D$21:$D$209,1,0))</f>
        <v>1</v>
      </c>
      <c r="AA161" t="str">
        <f t="shared" si="7"/>
        <v/>
      </c>
    </row>
    <row r="162" spans="1:27">
      <c r="A162" t="str">
        <f t="shared" si="6"/>
        <v>City of WeiserID</v>
      </c>
      <c r="B162">
        <v>2012</v>
      </c>
      <c r="C162">
        <v>20297</v>
      </c>
      <c r="D162" t="s">
        <v>44</v>
      </c>
      <c r="E162" t="s">
        <v>305</v>
      </c>
      <c r="F162" t="s">
        <v>306</v>
      </c>
      <c r="G162" t="s">
        <v>3</v>
      </c>
      <c r="H162" t="s">
        <v>3</v>
      </c>
      <c r="I162" t="s">
        <v>307</v>
      </c>
      <c r="J162">
        <v>1663.0828468261734</v>
      </c>
      <c r="K162">
        <v>25177.688858884499</v>
      </c>
      <c r="L162">
        <v>2405.8453038674033</v>
      </c>
      <c r="M162">
        <v>773.34630310802152</v>
      </c>
      <c r="N162">
        <v>14221.4739392014</v>
      </c>
      <c r="O162">
        <v>326.14806629834254</v>
      </c>
      <c r="P162">
        <v>476.57085006580502</v>
      </c>
      <c r="Q162" s="125">
        <v>9836.8372019141043</v>
      </c>
      <c r="R162">
        <v>1.0066298342541435</v>
      </c>
      <c r="S162">
        <v>0</v>
      </c>
      <c r="T162">
        <v>0</v>
      </c>
      <c r="U162">
        <v>0</v>
      </c>
      <c r="V162">
        <v>2913</v>
      </c>
      <c r="W162" s="125">
        <v>49236</v>
      </c>
      <c r="X162">
        <v>2733</v>
      </c>
      <c r="Y162" t="s">
        <v>308</v>
      </c>
      <c r="Z162">
        <f t="array" ref="Z162">SUM(IF(D162=$D$21:$D$209,1,0))</f>
        <v>1</v>
      </c>
      <c r="AA162" t="str">
        <f t="shared" si="7"/>
        <v/>
      </c>
    </row>
    <row r="163" spans="1:27">
      <c r="A163" t="str">
        <f t="shared" si="6"/>
        <v>Idaho Cnty L&amp;P Coop Assn, IncID</v>
      </c>
      <c r="B163">
        <v>2012</v>
      </c>
      <c r="C163">
        <v>9186</v>
      </c>
      <c r="D163" t="s">
        <v>137</v>
      </c>
      <c r="E163" t="s">
        <v>305</v>
      </c>
      <c r="F163" t="s">
        <v>306</v>
      </c>
      <c r="G163" t="s">
        <v>3</v>
      </c>
      <c r="H163" t="s">
        <v>3</v>
      </c>
      <c r="I163" t="s">
        <v>309</v>
      </c>
      <c r="J163">
        <v>4292.6242718026397</v>
      </c>
      <c r="K163">
        <v>40455.648569317709</v>
      </c>
      <c r="L163">
        <v>3493.2614555256064</v>
      </c>
      <c r="M163">
        <v>791.0668015581042</v>
      </c>
      <c r="N163">
        <v>8115.6695353527284</v>
      </c>
      <c r="O163">
        <v>247.64150943396226</v>
      </c>
      <c r="P163">
        <v>28.208926639255573</v>
      </c>
      <c r="Q163" s="125">
        <v>197.68189532956609</v>
      </c>
      <c r="R163">
        <v>9.0970350404312672</v>
      </c>
      <c r="S163">
        <v>0</v>
      </c>
      <c r="T163">
        <v>0</v>
      </c>
      <c r="U163">
        <v>0</v>
      </c>
      <c r="V163">
        <v>5111.8999999999996</v>
      </c>
      <c r="W163" s="125">
        <v>48769</v>
      </c>
      <c r="X163">
        <v>3750</v>
      </c>
      <c r="Y163" t="s">
        <v>308</v>
      </c>
      <c r="Z163">
        <f t="array" ref="Z163">SUM(IF(D163=$D$21:$D$209,1,0))</f>
        <v>1</v>
      </c>
      <c r="AA163" t="str">
        <f t="shared" si="7"/>
        <v/>
      </c>
    </row>
    <row r="164" spans="1:27">
      <c r="A164" t="str">
        <f t="shared" si="6"/>
        <v>Fall River Rural Elec Coop IncMT</v>
      </c>
      <c r="B164">
        <v>2012</v>
      </c>
      <c r="C164">
        <v>6169</v>
      </c>
      <c r="D164" t="s">
        <v>112</v>
      </c>
      <c r="E164" t="s">
        <v>305</v>
      </c>
      <c r="F164" t="s">
        <v>306</v>
      </c>
      <c r="G164" t="s">
        <v>28</v>
      </c>
      <c r="H164" t="s">
        <v>4</v>
      </c>
      <c r="I164" t="s">
        <v>309</v>
      </c>
      <c r="J164">
        <v>1735</v>
      </c>
      <c r="K164">
        <v>15995</v>
      </c>
      <c r="L164">
        <v>1371</v>
      </c>
      <c r="M164">
        <v>2232</v>
      </c>
      <c r="N164">
        <v>29952</v>
      </c>
      <c r="O164">
        <v>484</v>
      </c>
      <c r="P164" t="s">
        <v>314</v>
      </c>
      <c r="Q164" s="125">
        <v>0</v>
      </c>
      <c r="R164" t="s">
        <v>314</v>
      </c>
      <c r="S164" t="s">
        <v>314</v>
      </c>
      <c r="T164" t="s">
        <v>314</v>
      </c>
      <c r="U164" t="s">
        <v>314</v>
      </c>
      <c r="V164">
        <v>3967</v>
      </c>
      <c r="W164" s="125">
        <v>45947</v>
      </c>
      <c r="X164">
        <v>1855</v>
      </c>
      <c r="Y164" t="s">
        <v>308</v>
      </c>
      <c r="Z164">
        <f t="array" ref="Z164">SUM(IF(D164=$D$21:$D$209,1,0))</f>
        <v>2</v>
      </c>
      <c r="AA164" t="str">
        <f t="shared" si="7"/>
        <v>Fall River Rural Elec Coop Inc</v>
      </c>
    </row>
    <row r="165" spans="1:27">
      <c r="A165" t="str">
        <f t="shared" si="6"/>
        <v>Public Utility District No 1WA</v>
      </c>
      <c r="B165">
        <v>2012</v>
      </c>
      <c r="C165">
        <v>15327</v>
      </c>
      <c r="D165" t="s">
        <v>351</v>
      </c>
      <c r="E165" t="s">
        <v>305</v>
      </c>
      <c r="F165" t="s">
        <v>306</v>
      </c>
      <c r="G165" t="s">
        <v>1</v>
      </c>
      <c r="H165" t="s">
        <v>1</v>
      </c>
      <c r="I165" t="s">
        <v>317</v>
      </c>
      <c r="J165">
        <v>2521.5517241379312</v>
      </c>
      <c r="K165">
        <v>30472.061672410666</v>
      </c>
      <c r="L165">
        <v>1938.6909693454847</v>
      </c>
      <c r="M165">
        <v>871.44827586206895</v>
      </c>
      <c r="N165">
        <v>10611.938327589336</v>
      </c>
      <c r="O165">
        <v>461.30903065451537</v>
      </c>
      <c r="P165">
        <v>0</v>
      </c>
      <c r="Q165" s="125">
        <v>0</v>
      </c>
      <c r="R165">
        <v>0</v>
      </c>
      <c r="S165">
        <v>0</v>
      </c>
      <c r="T165">
        <v>0</v>
      </c>
      <c r="U165">
        <v>0</v>
      </c>
      <c r="V165">
        <v>3393</v>
      </c>
      <c r="W165" s="125">
        <v>41084</v>
      </c>
      <c r="X165">
        <v>2400</v>
      </c>
      <c r="Y165" t="s">
        <v>308</v>
      </c>
      <c r="Z165">
        <f t="array" ref="Z165">SUM(IF(D165=$D$21:$D$209,1,0))</f>
        <v>1</v>
      </c>
      <c r="AA165" t="str">
        <f t="shared" si="7"/>
        <v/>
      </c>
    </row>
    <row r="166" spans="1:27">
      <c r="A166" t="str">
        <f t="shared" si="6"/>
        <v>Heyburn City ofID</v>
      </c>
      <c r="B166">
        <v>2012</v>
      </c>
      <c r="C166">
        <v>8532</v>
      </c>
      <c r="D166" t="s">
        <v>331</v>
      </c>
      <c r="E166" t="s">
        <v>305</v>
      </c>
      <c r="F166" t="s">
        <v>306</v>
      </c>
      <c r="G166" t="s">
        <v>3</v>
      </c>
      <c r="H166" t="s">
        <v>3</v>
      </c>
      <c r="I166" t="s">
        <v>307</v>
      </c>
      <c r="J166">
        <v>1083.3494024743354</v>
      </c>
      <c r="K166">
        <v>19715.931969939633</v>
      </c>
      <c r="L166">
        <v>1376.3623978201636</v>
      </c>
      <c r="M166">
        <v>465.6661963674652</v>
      </c>
      <c r="N166">
        <v>6790.399211531354</v>
      </c>
      <c r="O166">
        <v>119.55040871934604</v>
      </c>
      <c r="P166">
        <v>762.88440115819958</v>
      </c>
      <c r="Q166" s="125">
        <v>13364.668818529013</v>
      </c>
      <c r="R166">
        <v>4.0871934604904627</v>
      </c>
      <c r="S166">
        <v>0</v>
      </c>
      <c r="T166">
        <v>0</v>
      </c>
      <c r="U166">
        <v>0</v>
      </c>
      <c r="V166">
        <v>2311.9</v>
      </c>
      <c r="W166" s="125">
        <v>39871</v>
      </c>
      <c r="X166">
        <v>1500</v>
      </c>
      <c r="Y166" t="s">
        <v>308</v>
      </c>
      <c r="Z166">
        <f t="array" ref="Z166">SUM(IF(D166=$D$21:$D$209,1,0))</f>
        <v>1</v>
      </c>
      <c r="AA166" t="str">
        <f t="shared" si="7"/>
        <v/>
      </c>
    </row>
    <row r="167" spans="1:27">
      <c r="A167" t="str">
        <f t="shared" si="6"/>
        <v>Town of SteilacoomWA</v>
      </c>
      <c r="B167">
        <v>2012</v>
      </c>
      <c r="C167">
        <v>18051</v>
      </c>
      <c r="D167" t="s">
        <v>43</v>
      </c>
      <c r="E167" t="s">
        <v>305</v>
      </c>
      <c r="F167" t="s">
        <v>306</v>
      </c>
      <c r="G167" t="s">
        <v>1</v>
      </c>
      <c r="H167" t="s">
        <v>1</v>
      </c>
      <c r="I167" t="s">
        <v>307</v>
      </c>
      <c r="J167">
        <v>2166.8000000000002</v>
      </c>
      <c r="K167">
        <v>30911</v>
      </c>
      <c r="L167">
        <v>2701</v>
      </c>
      <c r="M167">
        <v>459.2</v>
      </c>
      <c r="N167">
        <v>7376</v>
      </c>
      <c r="O167">
        <v>162</v>
      </c>
      <c r="P167" t="s">
        <v>314</v>
      </c>
      <c r="Q167" s="125">
        <v>0</v>
      </c>
      <c r="R167" t="s">
        <v>314</v>
      </c>
      <c r="S167" t="s">
        <v>314</v>
      </c>
      <c r="T167" t="s">
        <v>314</v>
      </c>
      <c r="U167" t="s">
        <v>314</v>
      </c>
      <c r="V167">
        <v>2626</v>
      </c>
      <c r="W167" s="125">
        <v>38287</v>
      </c>
      <c r="X167">
        <v>2863</v>
      </c>
      <c r="Y167" t="s">
        <v>308</v>
      </c>
      <c r="Z167">
        <f t="array" ref="Z167">SUM(IF(D167=$D$21:$D$209,1,0))</f>
        <v>1</v>
      </c>
      <c r="AA167" t="str">
        <f t="shared" si="7"/>
        <v/>
      </c>
    </row>
    <row r="168" spans="1:27">
      <c r="A168" t="str">
        <f t="shared" si="6"/>
        <v>Sierra Pacific Industries IncWA</v>
      </c>
      <c r="B168">
        <v>2012</v>
      </c>
      <c r="C168">
        <v>17164</v>
      </c>
      <c r="D168" t="s">
        <v>357</v>
      </c>
      <c r="E168" t="s">
        <v>305</v>
      </c>
      <c r="F168" t="s">
        <v>312</v>
      </c>
      <c r="G168" t="s">
        <v>1</v>
      </c>
      <c r="H168" t="s">
        <v>1</v>
      </c>
      <c r="I168" t="s">
        <v>313</v>
      </c>
      <c r="J168" t="s">
        <v>314</v>
      </c>
      <c r="K168" t="s">
        <v>314</v>
      </c>
      <c r="L168" t="s">
        <v>314</v>
      </c>
      <c r="M168" t="s">
        <v>314</v>
      </c>
      <c r="N168">
        <v>0</v>
      </c>
      <c r="O168" t="s">
        <v>314</v>
      </c>
      <c r="P168">
        <v>3553</v>
      </c>
      <c r="Q168" s="125">
        <v>37537</v>
      </c>
      <c r="R168">
        <v>1</v>
      </c>
      <c r="S168" t="s">
        <v>314</v>
      </c>
      <c r="T168" t="s">
        <v>314</v>
      </c>
      <c r="U168" t="s">
        <v>314</v>
      </c>
      <c r="V168">
        <v>3553</v>
      </c>
      <c r="W168" s="125">
        <v>37537</v>
      </c>
      <c r="X168">
        <v>1</v>
      </c>
      <c r="Z168">
        <f t="array" ref="Z168">SUM(IF(D168=$D$21:$D$209,1,0))</f>
        <v>1</v>
      </c>
      <c r="AA168" t="str">
        <f t="shared" si="7"/>
        <v/>
      </c>
    </row>
    <row r="169" spans="1:27">
      <c r="A169" t="str">
        <f t="shared" si="6"/>
        <v>Surprise Valley Electrification Corp.OR</v>
      </c>
      <c r="B169">
        <v>2012</v>
      </c>
      <c r="C169">
        <v>18260</v>
      </c>
      <c r="D169" t="s">
        <v>7</v>
      </c>
      <c r="E169" t="s">
        <v>305</v>
      </c>
      <c r="F169" t="s">
        <v>306</v>
      </c>
      <c r="G169" t="s">
        <v>5</v>
      </c>
      <c r="H169" t="s">
        <v>5</v>
      </c>
      <c r="I169" t="s">
        <v>309</v>
      </c>
      <c r="J169">
        <v>1161.9000000000001</v>
      </c>
      <c r="K169">
        <v>15827</v>
      </c>
      <c r="L169">
        <v>1148</v>
      </c>
      <c r="M169">
        <v>297</v>
      </c>
      <c r="N169">
        <v>3872</v>
      </c>
      <c r="O169">
        <v>365</v>
      </c>
      <c r="P169">
        <v>984.2</v>
      </c>
      <c r="Q169" s="125">
        <v>15105</v>
      </c>
      <c r="R169">
        <v>250</v>
      </c>
      <c r="S169">
        <v>0</v>
      </c>
      <c r="T169">
        <v>0</v>
      </c>
      <c r="U169">
        <v>0</v>
      </c>
      <c r="V169">
        <v>2443.1</v>
      </c>
      <c r="W169" s="125">
        <v>34804</v>
      </c>
      <c r="X169">
        <v>1763</v>
      </c>
      <c r="Y169" t="s">
        <v>308</v>
      </c>
      <c r="Z169">
        <f t="array" ref="Z169">SUM(IF(D169=$D$21:$D$209,1,0))</f>
        <v>1</v>
      </c>
      <c r="AA169" t="str">
        <f t="shared" si="7"/>
        <v/>
      </c>
    </row>
    <row r="170" spans="1:27">
      <c r="A170" t="str">
        <f t="shared" si="6"/>
        <v>City of PlummerID</v>
      </c>
      <c r="B170">
        <v>2012</v>
      </c>
      <c r="C170">
        <v>15297</v>
      </c>
      <c r="D170" t="s">
        <v>53</v>
      </c>
      <c r="E170" t="s">
        <v>305</v>
      </c>
      <c r="F170" t="s">
        <v>306</v>
      </c>
      <c r="G170" t="s">
        <v>3</v>
      </c>
      <c r="H170" t="s">
        <v>3</v>
      </c>
      <c r="I170" t="s">
        <v>307</v>
      </c>
      <c r="J170">
        <v>828.68131685533297</v>
      </c>
      <c r="K170">
        <v>9994.5608240986421</v>
      </c>
      <c r="L170">
        <v>826.23309053069715</v>
      </c>
      <c r="M170">
        <v>568.45948696645564</v>
      </c>
      <c r="N170">
        <v>8646.8999531762129</v>
      </c>
      <c r="O170">
        <v>163.59001040582726</v>
      </c>
      <c r="P170">
        <v>699.6591961782118</v>
      </c>
      <c r="Q170" s="125">
        <v>13794.539222725145</v>
      </c>
      <c r="R170">
        <v>5.1768990634755463</v>
      </c>
      <c r="S170">
        <v>0</v>
      </c>
      <c r="T170">
        <v>0</v>
      </c>
      <c r="U170">
        <v>0</v>
      </c>
      <c r="V170">
        <v>2096.8000000000002</v>
      </c>
      <c r="W170" s="125">
        <v>32436</v>
      </c>
      <c r="X170">
        <v>995</v>
      </c>
      <c r="Y170" t="s">
        <v>308</v>
      </c>
      <c r="Z170">
        <f t="array" ref="Z170">SUM(IF(D170=$D$21:$D$209,1,0))</f>
        <v>1</v>
      </c>
      <c r="AA170" t="str">
        <f t="shared" si="7"/>
        <v/>
      </c>
    </row>
    <row r="171" spans="1:27">
      <c r="A171" t="str">
        <f t="shared" si="6"/>
        <v>City of McClearyWA</v>
      </c>
      <c r="B171">
        <v>2012</v>
      </c>
      <c r="C171">
        <v>11965</v>
      </c>
      <c r="D171" t="s">
        <v>50</v>
      </c>
      <c r="E171" t="s">
        <v>305</v>
      </c>
      <c r="F171" t="s">
        <v>306</v>
      </c>
      <c r="G171" t="s">
        <v>1</v>
      </c>
      <c r="H171" t="s">
        <v>1</v>
      </c>
      <c r="I171" t="s">
        <v>307</v>
      </c>
      <c r="J171">
        <v>1126.6256507876076</v>
      </c>
      <c r="K171">
        <v>15655.409098893377</v>
      </c>
      <c r="L171">
        <v>920.8984375</v>
      </c>
      <c r="M171">
        <v>422.56281349640699</v>
      </c>
      <c r="N171">
        <v>4308.0532232566311</v>
      </c>
      <c r="O171">
        <v>101.0986328125</v>
      </c>
      <c r="P171">
        <v>641.61153571598538</v>
      </c>
      <c r="Q171" s="125">
        <v>9721.5376778499904</v>
      </c>
      <c r="R171">
        <v>3.0029296875</v>
      </c>
      <c r="S171">
        <v>0</v>
      </c>
      <c r="T171">
        <v>0</v>
      </c>
      <c r="U171">
        <v>0</v>
      </c>
      <c r="V171">
        <v>2190.8000000000002</v>
      </c>
      <c r="W171" s="125">
        <v>29685</v>
      </c>
      <c r="X171">
        <v>1025</v>
      </c>
      <c r="Y171" t="s">
        <v>308</v>
      </c>
      <c r="Z171">
        <f t="array" ref="Z171">SUM(IF(D171=$D$21:$D$209,1,0))</f>
        <v>1</v>
      </c>
      <c r="AA171" t="str">
        <f t="shared" si="7"/>
        <v/>
      </c>
    </row>
    <row r="172" spans="1:27">
      <c r="A172" t="str">
        <f t="shared" si="6"/>
        <v>City of SumasWA</v>
      </c>
      <c r="B172">
        <v>2012</v>
      </c>
      <c r="C172">
        <v>18282</v>
      </c>
      <c r="D172" t="s">
        <v>57</v>
      </c>
      <c r="E172" t="s">
        <v>305</v>
      </c>
      <c r="F172" t="s">
        <v>306</v>
      </c>
      <c r="G172" t="s">
        <v>1</v>
      </c>
      <c r="H172" t="s">
        <v>1</v>
      </c>
      <c r="I172" t="s">
        <v>307</v>
      </c>
      <c r="J172">
        <v>352.85792649478884</v>
      </c>
      <c r="K172">
        <v>5513.8690363562646</v>
      </c>
      <c r="L172">
        <v>545.62770562770561</v>
      </c>
      <c r="M172">
        <v>297.19583104772357</v>
      </c>
      <c r="N172">
        <v>4826.130490606839</v>
      </c>
      <c r="O172">
        <v>126.45021645021646</v>
      </c>
      <c r="P172">
        <v>1161.9462424574876</v>
      </c>
      <c r="Q172" s="125">
        <v>19159.000473036896</v>
      </c>
      <c r="R172">
        <v>17.922077922077925</v>
      </c>
      <c r="S172">
        <v>0</v>
      </c>
      <c r="T172">
        <v>0</v>
      </c>
      <c r="U172">
        <v>0</v>
      </c>
      <c r="V172">
        <v>1812</v>
      </c>
      <c r="W172" s="125">
        <v>29499</v>
      </c>
      <c r="X172">
        <v>690</v>
      </c>
      <c r="Y172" t="s">
        <v>308</v>
      </c>
      <c r="Z172">
        <f t="array" ref="Z172">SUM(IF(D172=$D$21:$D$209,1,0))</f>
        <v>1</v>
      </c>
      <c r="AA172" t="str">
        <f t="shared" si="7"/>
        <v/>
      </c>
    </row>
    <row r="173" spans="1:27">
      <c r="A173" t="str">
        <f t="shared" si="6"/>
        <v>Mid-Yellowstone Elec Coop, IncMT</v>
      </c>
      <c r="B173">
        <v>2012</v>
      </c>
      <c r="C173">
        <v>12463</v>
      </c>
      <c r="D173" t="s">
        <v>343</v>
      </c>
      <c r="E173" t="s">
        <v>305</v>
      </c>
      <c r="F173" t="s">
        <v>306</v>
      </c>
      <c r="G173" t="s">
        <v>316</v>
      </c>
      <c r="H173" t="s">
        <v>4</v>
      </c>
      <c r="I173" t="s">
        <v>309</v>
      </c>
      <c r="J173">
        <v>2108.3000000000002</v>
      </c>
      <c r="K173">
        <v>13438</v>
      </c>
      <c r="L173">
        <v>1020</v>
      </c>
      <c r="M173">
        <v>497.4</v>
      </c>
      <c r="N173">
        <v>3713</v>
      </c>
      <c r="O173">
        <v>204</v>
      </c>
      <c r="P173">
        <v>1588</v>
      </c>
      <c r="Q173" s="125">
        <v>11883</v>
      </c>
      <c r="R173">
        <v>732</v>
      </c>
      <c r="S173" t="s">
        <v>314</v>
      </c>
      <c r="T173" t="s">
        <v>314</v>
      </c>
      <c r="U173" t="s">
        <v>314</v>
      </c>
      <c r="V173">
        <v>4193.7</v>
      </c>
      <c r="W173" s="125">
        <v>29034</v>
      </c>
      <c r="X173">
        <v>1956</v>
      </c>
      <c r="Y173" t="s">
        <v>308</v>
      </c>
      <c r="Z173">
        <f t="array" ref="Z173">SUM(IF(D173=$D$21:$D$209,1,0))</f>
        <v>1</v>
      </c>
      <c r="AA173" t="str">
        <f t="shared" si="7"/>
        <v/>
      </c>
    </row>
    <row r="174" spans="1:27">
      <c r="A174" t="str">
        <f t="shared" si="6"/>
        <v>Town of EatonvilleWA</v>
      </c>
      <c r="B174">
        <v>2012</v>
      </c>
      <c r="C174">
        <v>5631</v>
      </c>
      <c r="D174" t="s">
        <v>47</v>
      </c>
      <c r="E174" t="s">
        <v>305</v>
      </c>
      <c r="F174" t="s">
        <v>306</v>
      </c>
      <c r="G174" t="s">
        <v>1</v>
      </c>
      <c r="H174" t="s">
        <v>1</v>
      </c>
      <c r="I174" t="s">
        <v>307</v>
      </c>
      <c r="J174">
        <v>1023.8560221504383</v>
      </c>
      <c r="K174">
        <v>15557.961500660858</v>
      </c>
      <c r="L174">
        <v>973.15879828326183</v>
      </c>
      <c r="M174">
        <v>828.14397784956157</v>
      </c>
      <c r="N174">
        <v>12187.03849933914</v>
      </c>
      <c r="O174">
        <v>196.8412017167382</v>
      </c>
      <c r="P174">
        <v>0</v>
      </c>
      <c r="Q174" s="125">
        <v>0</v>
      </c>
      <c r="R174">
        <v>0</v>
      </c>
      <c r="S174">
        <v>0</v>
      </c>
      <c r="T174">
        <v>0</v>
      </c>
      <c r="U174">
        <v>0</v>
      </c>
      <c r="V174">
        <v>1852</v>
      </c>
      <c r="W174" s="125">
        <v>27745</v>
      </c>
      <c r="X174">
        <v>1170</v>
      </c>
      <c r="Y174" t="s">
        <v>308</v>
      </c>
      <c r="Z174">
        <f t="array" ref="Z174">SUM(IF(D174=$D$21:$D$209,1,0))</f>
        <v>1</v>
      </c>
      <c r="AA174" t="str">
        <f t="shared" si="7"/>
        <v/>
      </c>
    </row>
    <row r="175" spans="1:27">
      <c r="A175" t="str">
        <f t="shared" si="6"/>
        <v>City of Soda SpringsID</v>
      </c>
      <c r="B175">
        <v>2012</v>
      </c>
      <c r="C175">
        <v>17493</v>
      </c>
      <c r="D175" t="s">
        <v>48</v>
      </c>
      <c r="E175" t="s">
        <v>305</v>
      </c>
      <c r="F175" t="s">
        <v>306</v>
      </c>
      <c r="G175" t="s">
        <v>3</v>
      </c>
      <c r="H175" t="s">
        <v>3</v>
      </c>
      <c r="I175" t="s">
        <v>307</v>
      </c>
      <c r="J175">
        <v>1060.3414609571789</v>
      </c>
      <c r="K175">
        <v>13569.954664757814</v>
      </c>
      <c r="L175">
        <v>1449.815506508206</v>
      </c>
      <c r="M175">
        <v>896.59758186397983</v>
      </c>
      <c r="N175">
        <v>13229.625387735623</v>
      </c>
      <c r="O175">
        <v>325.09790605546124</v>
      </c>
      <c r="P175">
        <v>24.960957178841312</v>
      </c>
      <c r="Q175" s="125">
        <v>368.41994750656164</v>
      </c>
      <c r="R175">
        <v>9.0865874363327688</v>
      </c>
      <c r="S175">
        <v>0</v>
      </c>
      <c r="T175">
        <v>0</v>
      </c>
      <c r="U175">
        <v>0</v>
      </c>
      <c r="V175">
        <v>1981.9</v>
      </c>
      <c r="W175" s="125">
        <v>27168</v>
      </c>
      <c r="X175">
        <v>1784</v>
      </c>
      <c r="Y175" t="s">
        <v>308</v>
      </c>
      <c r="Z175">
        <f t="array" ref="Z175">SUM(IF(D175=$D$21:$D$209,1,0))</f>
        <v>1</v>
      </c>
      <c r="AA175" t="str">
        <f t="shared" si="7"/>
        <v/>
      </c>
    </row>
    <row r="176" spans="1:27">
      <c r="A176" t="str">
        <f t="shared" si="6"/>
        <v>Big Flat Electric Coop IncMT</v>
      </c>
      <c r="B176">
        <v>2012</v>
      </c>
      <c r="C176">
        <v>1671</v>
      </c>
      <c r="D176" t="s">
        <v>319</v>
      </c>
      <c r="E176" t="s">
        <v>305</v>
      </c>
      <c r="F176" t="s">
        <v>306</v>
      </c>
      <c r="G176" t="s">
        <v>316</v>
      </c>
      <c r="H176" t="s">
        <v>4</v>
      </c>
      <c r="I176" t="s">
        <v>309</v>
      </c>
      <c r="J176">
        <v>2107.6247971556209</v>
      </c>
      <c r="K176">
        <v>18204.530820800872</v>
      </c>
      <c r="L176">
        <v>1659.0074231177093</v>
      </c>
      <c r="M176">
        <v>418.22600054699615</v>
      </c>
      <c r="N176">
        <v>3790.4867910853413</v>
      </c>
      <c r="O176">
        <v>201.8525980911983</v>
      </c>
      <c r="P176">
        <v>685.94920229738352</v>
      </c>
      <c r="Q176" s="125">
        <v>5053.9823881137891</v>
      </c>
      <c r="R176">
        <v>33.139978791092261</v>
      </c>
      <c r="S176">
        <v>0</v>
      </c>
      <c r="T176">
        <v>0</v>
      </c>
      <c r="U176">
        <v>0</v>
      </c>
      <c r="V176">
        <v>3211.8</v>
      </c>
      <c r="W176" s="125">
        <v>27049</v>
      </c>
      <c r="X176">
        <v>1894</v>
      </c>
      <c r="Y176" t="s">
        <v>308</v>
      </c>
      <c r="Z176">
        <f t="array" ref="Z176">SUM(IF(D176=$D$21:$D$209,1,0))</f>
        <v>1</v>
      </c>
      <c r="AA176" t="str">
        <f t="shared" si="7"/>
        <v/>
      </c>
    </row>
    <row r="177" spans="1:27">
      <c r="A177" t="str">
        <f t="shared" si="6"/>
        <v>Inland Power &amp; Light CompanyID</v>
      </c>
      <c r="B177">
        <v>2012</v>
      </c>
      <c r="C177">
        <v>8699</v>
      </c>
      <c r="D177" t="s">
        <v>92</v>
      </c>
      <c r="E177" t="s">
        <v>305</v>
      </c>
      <c r="F177" t="s">
        <v>306</v>
      </c>
      <c r="G177" t="s">
        <v>3</v>
      </c>
      <c r="H177" t="s">
        <v>3</v>
      </c>
      <c r="I177" t="s">
        <v>309</v>
      </c>
      <c r="J177">
        <v>1736</v>
      </c>
      <c r="K177">
        <v>23474</v>
      </c>
      <c r="L177">
        <v>1561</v>
      </c>
      <c r="M177">
        <v>221</v>
      </c>
      <c r="N177">
        <v>2973</v>
      </c>
      <c r="O177">
        <v>99</v>
      </c>
      <c r="P177">
        <v>1</v>
      </c>
      <c r="Q177" s="125">
        <v>4</v>
      </c>
      <c r="R177">
        <v>4</v>
      </c>
      <c r="S177" t="s">
        <v>314</v>
      </c>
      <c r="T177" t="s">
        <v>314</v>
      </c>
      <c r="U177" t="s">
        <v>314</v>
      </c>
      <c r="V177">
        <v>1958</v>
      </c>
      <c r="W177" s="125">
        <v>26451</v>
      </c>
      <c r="X177">
        <v>1664</v>
      </c>
      <c r="Y177" t="s">
        <v>308</v>
      </c>
      <c r="Z177">
        <f t="array" ref="Z177">SUM(IF(D177=$D$21:$D$209,1,0))</f>
        <v>2</v>
      </c>
      <c r="AA177" t="str">
        <f t="shared" si="7"/>
        <v>Inland Power &amp; Light Company</v>
      </c>
    </row>
    <row r="178" spans="1:27">
      <c r="A178" t="str">
        <f t="shared" si="6"/>
        <v>Southeast Electric Coop, IncMT</v>
      </c>
      <c r="B178">
        <v>2012</v>
      </c>
      <c r="C178">
        <v>17593</v>
      </c>
      <c r="D178" t="s">
        <v>360</v>
      </c>
      <c r="E178" t="s">
        <v>305</v>
      </c>
      <c r="F178" t="s">
        <v>306</v>
      </c>
      <c r="G178" t="s">
        <v>316</v>
      </c>
      <c r="H178" t="s">
        <v>4</v>
      </c>
      <c r="I178" t="s">
        <v>309</v>
      </c>
      <c r="J178">
        <v>2338.7896749521988</v>
      </c>
      <c r="K178">
        <v>16224.692896557084</v>
      </c>
      <c r="L178">
        <v>1940.2020202020203</v>
      </c>
      <c r="M178">
        <v>92.572657743785854</v>
      </c>
      <c r="N178">
        <v>791.47334265951656</v>
      </c>
      <c r="O178">
        <v>17.818181818181817</v>
      </c>
      <c r="P178">
        <v>907.63766730401517</v>
      </c>
      <c r="Q178" s="125">
        <v>9264.8337607834001</v>
      </c>
      <c r="R178">
        <v>1.9797979797979799</v>
      </c>
      <c r="S178">
        <v>0</v>
      </c>
      <c r="T178">
        <v>0</v>
      </c>
      <c r="U178">
        <v>0</v>
      </c>
      <c r="V178">
        <v>3339</v>
      </c>
      <c r="W178" s="125">
        <v>26281</v>
      </c>
      <c r="X178">
        <v>1960</v>
      </c>
      <c r="Y178" t="s">
        <v>308</v>
      </c>
      <c r="Z178">
        <f t="array" ref="Z178">SUM(IF(D178=$D$21:$D$209,1,0))</f>
        <v>1</v>
      </c>
      <c r="AA178" t="str">
        <f t="shared" si="7"/>
        <v/>
      </c>
    </row>
    <row r="179" spans="1:27">
      <c r="A179" t="str">
        <f t="shared" si="6"/>
        <v>Columbia Power Coop Assn IncOR</v>
      </c>
      <c r="B179">
        <v>2012</v>
      </c>
      <c r="C179">
        <v>4008</v>
      </c>
      <c r="D179" t="s">
        <v>149</v>
      </c>
      <c r="E179" t="s">
        <v>305</v>
      </c>
      <c r="F179" t="s">
        <v>306</v>
      </c>
      <c r="G179" t="s">
        <v>5</v>
      </c>
      <c r="H179" t="s">
        <v>5</v>
      </c>
      <c r="I179" t="s">
        <v>309</v>
      </c>
      <c r="J179">
        <v>1279.4000000000001</v>
      </c>
      <c r="K179">
        <v>13912</v>
      </c>
      <c r="L179">
        <v>1329</v>
      </c>
      <c r="M179">
        <v>405</v>
      </c>
      <c r="N179">
        <v>5034</v>
      </c>
      <c r="O179">
        <v>236</v>
      </c>
      <c r="P179">
        <v>353</v>
      </c>
      <c r="Q179" s="125">
        <v>5138</v>
      </c>
      <c r="R179">
        <v>249</v>
      </c>
      <c r="S179" t="s">
        <v>314</v>
      </c>
      <c r="T179" t="s">
        <v>314</v>
      </c>
      <c r="U179">
        <v>0</v>
      </c>
      <c r="V179">
        <v>2037.4</v>
      </c>
      <c r="W179" s="125">
        <v>24084</v>
      </c>
      <c r="X179">
        <v>1814</v>
      </c>
      <c r="Y179" t="s">
        <v>308</v>
      </c>
      <c r="Z179">
        <f t="array" ref="Z179">SUM(IF(D179=$D$21:$D$209,1,0))</f>
        <v>1</v>
      </c>
      <c r="AA179" t="str">
        <f t="shared" si="7"/>
        <v/>
      </c>
    </row>
    <row r="180" spans="1:27">
      <c r="A180" t="str">
        <f t="shared" si="6"/>
        <v>East End Mutual Elec Co LtdID</v>
      </c>
      <c r="B180">
        <v>2012</v>
      </c>
      <c r="C180">
        <v>5584</v>
      </c>
      <c r="D180" t="s">
        <v>151</v>
      </c>
      <c r="E180" t="s">
        <v>305</v>
      </c>
      <c r="F180" t="s">
        <v>306</v>
      </c>
      <c r="G180" t="s">
        <v>3</v>
      </c>
      <c r="H180" t="s">
        <v>3</v>
      </c>
      <c r="I180" t="s">
        <v>309</v>
      </c>
      <c r="J180">
        <v>970.73172569706105</v>
      </c>
      <c r="K180">
        <v>15333.333333333332</v>
      </c>
      <c r="L180">
        <v>487.77350427350422</v>
      </c>
      <c r="M180">
        <v>478.26827430293901</v>
      </c>
      <c r="N180">
        <v>7666.6666666666661</v>
      </c>
      <c r="O180">
        <v>239.22649572649573</v>
      </c>
      <c r="P180">
        <v>0</v>
      </c>
      <c r="Q180" s="125">
        <v>0</v>
      </c>
      <c r="R180">
        <v>0</v>
      </c>
      <c r="S180">
        <v>0</v>
      </c>
      <c r="T180">
        <v>0</v>
      </c>
      <c r="U180">
        <v>0</v>
      </c>
      <c r="V180">
        <v>1449</v>
      </c>
      <c r="W180" s="125">
        <v>23000</v>
      </c>
      <c r="X180">
        <v>727</v>
      </c>
      <c r="Y180" t="s">
        <v>308</v>
      </c>
      <c r="Z180">
        <f t="array" ref="Z180">SUM(IF(D180=$D$21:$D$209,1,0))</f>
        <v>1</v>
      </c>
      <c r="AA180" t="str">
        <f t="shared" si="7"/>
        <v/>
      </c>
    </row>
    <row r="181" spans="1:27">
      <c r="A181" t="str">
        <f t="shared" si="6"/>
        <v>City of ChewelahWA</v>
      </c>
      <c r="B181">
        <v>2012</v>
      </c>
      <c r="C181">
        <v>3459</v>
      </c>
      <c r="D181" t="s">
        <v>49</v>
      </c>
      <c r="E181" t="s">
        <v>305</v>
      </c>
      <c r="F181" t="s">
        <v>306</v>
      </c>
      <c r="G181" t="s">
        <v>1</v>
      </c>
      <c r="H181" t="s">
        <v>1</v>
      </c>
      <c r="I181" t="s">
        <v>307</v>
      </c>
      <c r="J181">
        <v>1014.4386885245902</v>
      </c>
      <c r="K181">
        <v>12568.357165846704</v>
      </c>
      <c r="L181">
        <v>1085.2696456086287</v>
      </c>
      <c r="M181">
        <v>902.56131147540987</v>
      </c>
      <c r="N181">
        <v>10231.642834153294</v>
      </c>
      <c r="O181">
        <v>204.73035439137132</v>
      </c>
      <c r="P181">
        <v>0</v>
      </c>
      <c r="Q181" s="125">
        <v>0</v>
      </c>
      <c r="R181">
        <v>0</v>
      </c>
      <c r="S181">
        <v>0</v>
      </c>
      <c r="T181">
        <v>0</v>
      </c>
      <c r="U181">
        <v>0</v>
      </c>
      <c r="V181">
        <v>1917</v>
      </c>
      <c r="W181" s="125">
        <v>22800</v>
      </c>
      <c r="X181">
        <v>1290</v>
      </c>
      <c r="Y181" t="s">
        <v>308</v>
      </c>
      <c r="Z181">
        <f t="array" ref="Z181">SUM(IF(D181=$D$21:$D$209,1,0))</f>
        <v>1</v>
      </c>
      <c r="AA181" t="str">
        <f t="shared" si="7"/>
        <v/>
      </c>
    </row>
    <row r="182" spans="1:27">
      <c r="A182" t="str">
        <f t="shared" si="6"/>
        <v>Riverside Electric CooperativeID</v>
      </c>
      <c r="B182">
        <v>2012</v>
      </c>
      <c r="C182">
        <v>56536</v>
      </c>
      <c r="D182" t="s">
        <v>372</v>
      </c>
      <c r="E182" t="s">
        <v>305</v>
      </c>
      <c r="F182" t="s">
        <v>306</v>
      </c>
      <c r="G182" t="s">
        <v>3</v>
      </c>
      <c r="H182" t="s">
        <v>3</v>
      </c>
      <c r="I182" t="s">
        <v>309</v>
      </c>
      <c r="J182">
        <v>1238</v>
      </c>
      <c r="K182">
        <v>20000</v>
      </c>
      <c r="L182">
        <v>540</v>
      </c>
      <c r="M182">
        <v>0</v>
      </c>
      <c r="N182">
        <v>0</v>
      </c>
      <c r="O182">
        <v>0</v>
      </c>
      <c r="P182">
        <v>0</v>
      </c>
      <c r="Q182" s="125">
        <v>0</v>
      </c>
      <c r="R182">
        <v>0</v>
      </c>
      <c r="S182">
        <v>0</v>
      </c>
      <c r="T182">
        <v>0</v>
      </c>
      <c r="U182">
        <v>0</v>
      </c>
      <c r="V182">
        <v>1238</v>
      </c>
      <c r="W182" s="125">
        <v>20000</v>
      </c>
      <c r="X182">
        <v>540</v>
      </c>
      <c r="Y182" t="s">
        <v>308</v>
      </c>
      <c r="Z182">
        <f t="array" ref="Z182">SUM(IF(D182=$D$21:$D$209,1,0))</f>
        <v>1</v>
      </c>
      <c r="AA182" t="str">
        <f t="shared" si="7"/>
        <v/>
      </c>
    </row>
    <row r="183" spans="1:27">
      <c r="A183" t="str">
        <f t="shared" si="6"/>
        <v>Bonneville Power AdminID</v>
      </c>
      <c r="B183">
        <v>2012</v>
      </c>
      <c r="C183">
        <v>1738</v>
      </c>
      <c r="D183" t="s">
        <v>322</v>
      </c>
      <c r="E183" t="s">
        <v>305</v>
      </c>
      <c r="F183" t="s">
        <v>306</v>
      </c>
      <c r="G183" t="s">
        <v>3</v>
      </c>
      <c r="H183" t="s">
        <v>3</v>
      </c>
      <c r="I183" t="s">
        <v>323</v>
      </c>
      <c r="J183" t="s">
        <v>314</v>
      </c>
      <c r="K183" t="s">
        <v>314</v>
      </c>
      <c r="L183" t="s">
        <v>314</v>
      </c>
      <c r="M183" t="s">
        <v>314</v>
      </c>
      <c r="N183">
        <v>0</v>
      </c>
      <c r="O183" t="s">
        <v>314</v>
      </c>
      <c r="P183">
        <v>1</v>
      </c>
      <c r="Q183" s="125">
        <v>19796</v>
      </c>
      <c r="R183">
        <v>1</v>
      </c>
      <c r="S183" t="s">
        <v>314</v>
      </c>
      <c r="T183" t="s">
        <v>314</v>
      </c>
      <c r="U183">
        <v>0</v>
      </c>
      <c r="V183">
        <v>1</v>
      </c>
      <c r="W183" s="125">
        <v>19796</v>
      </c>
      <c r="X183">
        <v>1</v>
      </c>
      <c r="Z183">
        <f t="array" ref="Z183">SUM(IF(D183=$D$21:$D$209,1,0))</f>
        <v>5</v>
      </c>
      <c r="AA183" t="str">
        <f t="shared" si="7"/>
        <v>Bonneville Power Admin</v>
      </c>
    </row>
    <row r="184" spans="1:27">
      <c r="A184" t="str">
        <f t="shared" si="6"/>
        <v>City of TroyMT</v>
      </c>
      <c r="B184">
        <v>2012</v>
      </c>
      <c r="C184">
        <v>19236</v>
      </c>
      <c r="D184" t="s">
        <v>52</v>
      </c>
      <c r="E184" t="s">
        <v>305</v>
      </c>
      <c r="F184" t="s">
        <v>306</v>
      </c>
      <c r="G184" t="s">
        <v>28</v>
      </c>
      <c r="H184" t="s">
        <v>4</v>
      </c>
      <c r="I184" t="s">
        <v>307</v>
      </c>
      <c r="J184">
        <v>763.62</v>
      </c>
      <c r="K184">
        <v>12816.645864574923</v>
      </c>
      <c r="L184">
        <v>846.94214876033061</v>
      </c>
      <c r="M184">
        <v>297.97200000000004</v>
      </c>
      <c r="N184">
        <v>5649.7169223670544</v>
      </c>
      <c r="O184">
        <v>124.01652892561982</v>
      </c>
      <c r="P184">
        <v>6.4080000000000004</v>
      </c>
      <c r="Q184" s="125">
        <v>71.637213058022837</v>
      </c>
      <c r="R184">
        <v>5.0413223140495873</v>
      </c>
      <c r="S184">
        <v>0</v>
      </c>
      <c r="T184">
        <v>0</v>
      </c>
      <c r="U184">
        <v>0</v>
      </c>
      <c r="V184">
        <v>1068</v>
      </c>
      <c r="W184" s="125">
        <v>18538</v>
      </c>
      <c r="X184">
        <v>976</v>
      </c>
      <c r="Y184" t="s">
        <v>308</v>
      </c>
      <c r="Z184">
        <f t="array" ref="Z184">SUM(IF(D184=$D$21:$D$209,1,0))</f>
        <v>1</v>
      </c>
      <c r="AA184" t="str">
        <f t="shared" si="7"/>
        <v/>
      </c>
    </row>
    <row r="185" spans="1:27">
      <c r="A185" t="str">
        <f t="shared" si="6"/>
        <v>City of Cascade LocksOR</v>
      </c>
      <c r="B185">
        <v>2012</v>
      </c>
      <c r="C185">
        <v>3136</v>
      </c>
      <c r="D185" t="s">
        <v>56</v>
      </c>
      <c r="E185" t="s">
        <v>305</v>
      </c>
      <c r="F185" t="s">
        <v>306</v>
      </c>
      <c r="G185" t="s">
        <v>5</v>
      </c>
      <c r="H185" t="s">
        <v>5</v>
      </c>
      <c r="I185" t="s">
        <v>307</v>
      </c>
      <c r="J185">
        <v>709.90515595162321</v>
      </c>
      <c r="K185">
        <v>8082.520174987133</v>
      </c>
      <c r="L185">
        <v>734.7790143084261</v>
      </c>
      <c r="M185">
        <v>779.0948440483769</v>
      </c>
      <c r="N185">
        <v>9656.4798250128661</v>
      </c>
      <c r="O185">
        <v>73.220985691573929</v>
      </c>
      <c r="P185">
        <v>0</v>
      </c>
      <c r="Q185" s="125">
        <v>0</v>
      </c>
      <c r="R185">
        <v>0</v>
      </c>
      <c r="S185">
        <v>0</v>
      </c>
      <c r="T185">
        <v>0</v>
      </c>
      <c r="U185">
        <v>0</v>
      </c>
      <c r="V185">
        <v>1489</v>
      </c>
      <c r="W185" s="125">
        <v>17739</v>
      </c>
      <c r="X185">
        <v>808</v>
      </c>
      <c r="Y185" t="s">
        <v>308</v>
      </c>
      <c r="Z185">
        <f t="array" ref="Z185">SUM(IF(D185=$D$21:$D$209,1,0))</f>
        <v>1</v>
      </c>
      <c r="AA185" t="str">
        <f t="shared" si="7"/>
        <v/>
      </c>
    </row>
    <row r="186" spans="1:27">
      <c r="A186" t="str">
        <f t="shared" si="6"/>
        <v>City of Coulee DamWA</v>
      </c>
      <c r="B186">
        <v>2012</v>
      </c>
      <c r="C186">
        <v>4414</v>
      </c>
      <c r="D186" t="s">
        <v>54</v>
      </c>
      <c r="E186" t="s">
        <v>305</v>
      </c>
      <c r="F186" t="s">
        <v>306</v>
      </c>
      <c r="G186" t="s">
        <v>1</v>
      </c>
      <c r="H186" t="s">
        <v>1</v>
      </c>
      <c r="I186" t="s">
        <v>307</v>
      </c>
      <c r="J186">
        <v>528.2783505154639</v>
      </c>
      <c r="K186">
        <v>9446.4928204832486</v>
      </c>
      <c r="L186">
        <v>515.13712374581939</v>
      </c>
      <c r="M186">
        <v>401.7216494845361</v>
      </c>
      <c r="N186">
        <v>7187.5071795167523</v>
      </c>
      <c r="O186">
        <v>81.862876254180591</v>
      </c>
      <c r="P186">
        <v>0</v>
      </c>
      <c r="Q186" s="125">
        <v>0</v>
      </c>
      <c r="R186">
        <v>0</v>
      </c>
      <c r="S186">
        <v>0</v>
      </c>
      <c r="T186">
        <v>0</v>
      </c>
      <c r="U186">
        <v>0</v>
      </c>
      <c r="V186">
        <v>930</v>
      </c>
      <c r="W186" s="125">
        <v>16634</v>
      </c>
      <c r="X186">
        <v>597</v>
      </c>
      <c r="Y186" t="s">
        <v>308</v>
      </c>
      <c r="Z186">
        <f t="array" ref="Z186">SUM(IF(D186=$D$21:$D$209,1,0))</f>
        <v>1</v>
      </c>
      <c r="AA186" t="str">
        <f t="shared" si="7"/>
        <v/>
      </c>
    </row>
    <row r="187" spans="1:27">
      <c r="A187" t="str">
        <f t="shared" si="6"/>
        <v>Big Horn Rural Electric CoMT</v>
      </c>
      <c r="B187">
        <v>2012</v>
      </c>
      <c r="C187">
        <v>1675</v>
      </c>
      <c r="D187" t="s">
        <v>320</v>
      </c>
      <c r="E187" t="s">
        <v>305</v>
      </c>
      <c r="F187" t="s">
        <v>306</v>
      </c>
      <c r="G187" t="s">
        <v>316</v>
      </c>
      <c r="H187" t="s">
        <v>4</v>
      </c>
      <c r="I187" t="s">
        <v>309</v>
      </c>
      <c r="J187">
        <v>45</v>
      </c>
      <c r="K187">
        <v>354</v>
      </c>
      <c r="L187">
        <v>36</v>
      </c>
      <c r="M187">
        <v>306</v>
      </c>
      <c r="N187">
        <v>2020</v>
      </c>
      <c r="O187">
        <v>30</v>
      </c>
      <c r="P187">
        <v>1759</v>
      </c>
      <c r="Q187" s="125">
        <v>13736</v>
      </c>
      <c r="R187">
        <v>1</v>
      </c>
      <c r="S187" t="s">
        <v>314</v>
      </c>
      <c r="T187" t="s">
        <v>314</v>
      </c>
      <c r="U187">
        <v>0</v>
      </c>
      <c r="V187">
        <v>2110</v>
      </c>
      <c r="W187" s="125">
        <v>16110</v>
      </c>
      <c r="X187">
        <v>67</v>
      </c>
      <c r="Y187" t="s">
        <v>308</v>
      </c>
      <c r="Z187">
        <f t="array" ref="Z187">SUM(IF(D187=$D$21:$D$209,1,0))</f>
        <v>1</v>
      </c>
      <c r="AA187" t="str">
        <f t="shared" si="7"/>
        <v/>
      </c>
    </row>
    <row r="188" spans="1:27">
      <c r="A188" t="str">
        <f t="shared" si="6"/>
        <v>City of DrainOR</v>
      </c>
      <c r="B188">
        <v>2012</v>
      </c>
      <c r="C188">
        <v>5354</v>
      </c>
      <c r="D188" t="s">
        <v>55</v>
      </c>
      <c r="E188" t="s">
        <v>305</v>
      </c>
      <c r="F188" t="s">
        <v>306</v>
      </c>
      <c r="G188" t="s">
        <v>5</v>
      </c>
      <c r="H188" t="s">
        <v>5</v>
      </c>
      <c r="I188" t="s">
        <v>307</v>
      </c>
      <c r="J188">
        <v>626.140626223092</v>
      </c>
      <c r="K188">
        <v>7479.5778226285165</v>
      </c>
      <c r="L188">
        <v>513.89114658925973</v>
      </c>
      <c r="M188">
        <v>323.31069275929553</v>
      </c>
      <c r="N188">
        <v>3461.0352605959874</v>
      </c>
      <c r="O188">
        <v>156.23076923076923</v>
      </c>
      <c r="P188">
        <v>352.24868101761251</v>
      </c>
      <c r="Q188" s="125">
        <v>4817.3869167754956</v>
      </c>
      <c r="R188">
        <v>6.8780841799709727</v>
      </c>
      <c r="S188">
        <v>0</v>
      </c>
      <c r="T188">
        <v>0</v>
      </c>
      <c r="U188">
        <v>0</v>
      </c>
      <c r="V188">
        <v>1301.7</v>
      </c>
      <c r="W188" s="125">
        <v>15758</v>
      </c>
      <c r="X188">
        <v>677</v>
      </c>
      <c r="Y188" t="s">
        <v>308</v>
      </c>
      <c r="Z188">
        <f t="array" ref="Z188">SUM(IF(D188=$D$21:$D$209,1,0))</f>
        <v>1</v>
      </c>
      <c r="AA188" t="str">
        <f t="shared" si="7"/>
        <v/>
      </c>
    </row>
    <row r="189" spans="1:27">
      <c r="A189" t="str">
        <f t="shared" si="6"/>
        <v>Clearwater Power CompanyWA</v>
      </c>
      <c r="B189">
        <v>2012</v>
      </c>
      <c r="C189">
        <v>3739</v>
      </c>
      <c r="D189" t="s">
        <v>115</v>
      </c>
      <c r="E189" t="s">
        <v>305</v>
      </c>
      <c r="F189" t="s">
        <v>306</v>
      </c>
      <c r="G189" t="s">
        <v>1</v>
      </c>
      <c r="H189" t="s">
        <v>1</v>
      </c>
      <c r="I189" t="s">
        <v>309</v>
      </c>
      <c r="J189">
        <v>1031.4000000000001</v>
      </c>
      <c r="K189">
        <v>9865</v>
      </c>
      <c r="L189">
        <v>808</v>
      </c>
      <c r="M189">
        <v>252.5</v>
      </c>
      <c r="N189">
        <v>2790</v>
      </c>
      <c r="O189">
        <v>132</v>
      </c>
      <c r="P189">
        <v>47.2</v>
      </c>
      <c r="Q189" s="125">
        <v>1069</v>
      </c>
      <c r="R189">
        <v>1</v>
      </c>
      <c r="S189" t="s">
        <v>314</v>
      </c>
      <c r="T189" t="s">
        <v>314</v>
      </c>
      <c r="U189">
        <v>0</v>
      </c>
      <c r="V189">
        <v>1331.1</v>
      </c>
      <c r="W189" s="125">
        <v>13724</v>
      </c>
      <c r="X189">
        <v>941</v>
      </c>
      <c r="Y189" t="s">
        <v>308</v>
      </c>
      <c r="Z189">
        <f t="array" ref="Z189">SUM(IF(D189=$D$21:$D$209,1,0))</f>
        <v>3</v>
      </c>
      <c r="AA189" t="str">
        <f t="shared" si="7"/>
        <v>Clearwater Power Company</v>
      </c>
    </row>
    <row r="190" spans="1:27">
      <c r="A190" t="str">
        <f t="shared" si="6"/>
        <v>Hinson Power Company LLCMT</v>
      </c>
      <c r="B190">
        <v>2012</v>
      </c>
      <c r="C190">
        <v>8936</v>
      </c>
      <c r="D190" t="s">
        <v>333</v>
      </c>
      <c r="E190" t="s">
        <v>305</v>
      </c>
      <c r="F190" t="s">
        <v>312</v>
      </c>
      <c r="G190" t="s">
        <v>28</v>
      </c>
      <c r="H190" t="s">
        <v>4</v>
      </c>
      <c r="I190" t="s">
        <v>313</v>
      </c>
      <c r="J190">
        <v>0</v>
      </c>
      <c r="K190">
        <v>0</v>
      </c>
      <c r="L190">
        <v>0</v>
      </c>
      <c r="M190">
        <v>0</v>
      </c>
      <c r="N190">
        <v>0</v>
      </c>
      <c r="O190">
        <v>0</v>
      </c>
      <c r="P190">
        <v>180.5</v>
      </c>
      <c r="Q190" s="125">
        <v>8783</v>
      </c>
      <c r="R190">
        <v>1</v>
      </c>
      <c r="S190">
        <v>0</v>
      </c>
      <c r="T190">
        <v>0</v>
      </c>
      <c r="U190">
        <v>0</v>
      </c>
      <c r="V190">
        <v>180.5</v>
      </c>
      <c r="W190" s="125">
        <v>8783</v>
      </c>
      <c r="X190">
        <v>1</v>
      </c>
      <c r="Z190">
        <f t="array" ref="Z190">SUM(IF(D190=$D$21:$D$209,1,0))</f>
        <v>1</v>
      </c>
      <c r="AA190" t="str">
        <f t="shared" si="7"/>
        <v/>
      </c>
    </row>
    <row r="191" spans="1:27">
      <c r="A191" t="str">
        <f t="shared" si="6"/>
        <v>Goldenwest Electric Coop, IncMT</v>
      </c>
      <c r="B191">
        <v>2012</v>
      </c>
      <c r="C191">
        <v>7318</v>
      </c>
      <c r="D191" t="s">
        <v>329</v>
      </c>
      <c r="E191" t="s">
        <v>305</v>
      </c>
      <c r="F191" t="s">
        <v>306</v>
      </c>
      <c r="G191" t="s">
        <v>316</v>
      </c>
      <c r="H191" t="s">
        <v>4</v>
      </c>
      <c r="I191" t="s">
        <v>309</v>
      </c>
      <c r="J191">
        <v>718.726363299122</v>
      </c>
      <c r="K191">
        <v>5855.3943661971834</v>
      </c>
      <c r="L191">
        <v>711.80878186968846</v>
      </c>
      <c r="M191">
        <v>102.57363670087794</v>
      </c>
      <c r="N191">
        <v>773.6056338028169</v>
      </c>
      <c r="O191">
        <v>9.1912181303116149</v>
      </c>
      <c r="P191">
        <v>0</v>
      </c>
      <c r="Q191" s="125">
        <v>0</v>
      </c>
      <c r="R191">
        <v>0</v>
      </c>
      <c r="S191">
        <v>0</v>
      </c>
      <c r="T191">
        <v>0</v>
      </c>
      <c r="U191">
        <v>0</v>
      </c>
      <c r="V191">
        <v>821.3</v>
      </c>
      <c r="W191" s="125">
        <v>6629</v>
      </c>
      <c r="X191">
        <v>721</v>
      </c>
      <c r="Y191" t="s">
        <v>308</v>
      </c>
      <c r="Z191">
        <f t="array" ref="Z191">SUM(IF(D191=$D$21:$D$209,1,0))</f>
        <v>1</v>
      </c>
      <c r="AA191" t="str">
        <f t="shared" si="7"/>
        <v/>
      </c>
    </row>
    <row r="192" spans="1:27">
      <c r="A192" t="str">
        <f t="shared" si="6"/>
        <v>Town of RustonWA</v>
      </c>
      <c r="B192">
        <v>2012</v>
      </c>
      <c r="C192">
        <v>16462</v>
      </c>
      <c r="D192" t="s">
        <v>58</v>
      </c>
      <c r="E192" t="s">
        <v>305</v>
      </c>
      <c r="F192" t="s">
        <v>306</v>
      </c>
      <c r="G192" t="s">
        <v>1</v>
      </c>
      <c r="H192" t="s">
        <v>1</v>
      </c>
      <c r="I192" t="s">
        <v>307</v>
      </c>
      <c r="J192">
        <v>506</v>
      </c>
      <c r="K192">
        <v>6216</v>
      </c>
      <c r="L192">
        <v>489</v>
      </c>
      <c r="M192">
        <v>0</v>
      </c>
      <c r="N192">
        <v>0</v>
      </c>
      <c r="O192">
        <v>0</v>
      </c>
      <c r="P192">
        <v>0</v>
      </c>
      <c r="Q192" s="125">
        <v>0</v>
      </c>
      <c r="R192">
        <v>0</v>
      </c>
      <c r="S192">
        <v>0</v>
      </c>
      <c r="T192">
        <v>0</v>
      </c>
      <c r="U192">
        <v>0</v>
      </c>
      <c r="V192">
        <v>506</v>
      </c>
      <c r="W192" s="125">
        <v>6216</v>
      </c>
      <c r="X192">
        <v>489</v>
      </c>
      <c r="Y192" t="s">
        <v>308</v>
      </c>
      <c r="Z192">
        <f t="array" ref="Z192">SUM(IF(D192=$D$21:$D$209,1,0))</f>
        <v>1</v>
      </c>
      <c r="AA192" t="str">
        <f t="shared" si="7"/>
        <v/>
      </c>
    </row>
    <row r="193" spans="1:27">
      <c r="A193" t="str">
        <f t="shared" si="6"/>
        <v>Columbia Rural Elec Assn, IncOR</v>
      </c>
      <c r="B193">
        <v>2012</v>
      </c>
      <c r="C193">
        <v>4041</v>
      </c>
      <c r="D193" t="s">
        <v>142</v>
      </c>
      <c r="E193" t="s">
        <v>305</v>
      </c>
      <c r="F193" t="s">
        <v>306</v>
      </c>
      <c r="G193" t="s">
        <v>5</v>
      </c>
      <c r="H193" t="s">
        <v>5</v>
      </c>
      <c r="I193" t="s">
        <v>309</v>
      </c>
      <c r="J193">
        <v>71.7</v>
      </c>
      <c r="K193">
        <v>757</v>
      </c>
      <c r="L193">
        <v>44</v>
      </c>
      <c r="M193">
        <v>28.4</v>
      </c>
      <c r="N193">
        <v>167</v>
      </c>
      <c r="O193">
        <v>29</v>
      </c>
      <c r="P193">
        <v>324.3</v>
      </c>
      <c r="Q193" s="125">
        <v>4923</v>
      </c>
      <c r="R193">
        <v>68</v>
      </c>
      <c r="S193" t="s">
        <v>314</v>
      </c>
      <c r="T193" t="s">
        <v>314</v>
      </c>
      <c r="U193">
        <v>0</v>
      </c>
      <c r="V193">
        <v>424.4</v>
      </c>
      <c r="W193" s="125">
        <v>5847</v>
      </c>
      <c r="X193">
        <v>141</v>
      </c>
      <c r="Y193" t="s">
        <v>308</v>
      </c>
      <c r="Z193">
        <f t="array" ref="Z193">SUM(IF(D193=$D$21:$D$209,1,0))</f>
        <v>2</v>
      </c>
      <c r="AA193" t="str">
        <f t="shared" si="7"/>
        <v>Columbia Rural Elec Assn, Inc</v>
      </c>
    </row>
    <row r="194" spans="1:27">
      <c r="A194" t="str">
        <f t="shared" si="6"/>
        <v>Alder Mutual Light Co, IncWA</v>
      </c>
      <c r="B194">
        <v>2012</v>
      </c>
      <c r="C194">
        <v>287</v>
      </c>
      <c r="D194" t="s">
        <v>152</v>
      </c>
      <c r="E194" t="s">
        <v>305</v>
      </c>
      <c r="F194" t="s">
        <v>306</v>
      </c>
      <c r="G194" t="s">
        <v>1</v>
      </c>
      <c r="H194" t="s">
        <v>1</v>
      </c>
      <c r="I194" t="s">
        <v>309</v>
      </c>
      <c r="J194">
        <v>246.65232974910396</v>
      </c>
      <c r="K194">
        <v>4192.5981136415921</v>
      </c>
      <c r="L194">
        <v>250.78321678321677</v>
      </c>
      <c r="M194">
        <v>25.347670250896059</v>
      </c>
      <c r="N194">
        <v>428.40188635840809</v>
      </c>
      <c r="O194">
        <v>27.216783216783217</v>
      </c>
      <c r="P194">
        <v>0</v>
      </c>
      <c r="Q194" s="125">
        <v>0</v>
      </c>
      <c r="R194">
        <v>0</v>
      </c>
      <c r="S194">
        <v>0</v>
      </c>
      <c r="T194">
        <v>0</v>
      </c>
      <c r="U194">
        <v>0</v>
      </c>
      <c r="V194">
        <v>272</v>
      </c>
      <c r="W194" s="125">
        <v>4621</v>
      </c>
      <c r="X194">
        <v>278</v>
      </c>
      <c r="Y194" t="s">
        <v>308</v>
      </c>
      <c r="Z194">
        <f t="array" ref="Z194">SUM(IF(D194=$D$21:$D$209,1,0))</f>
        <v>1</v>
      </c>
      <c r="AA194" t="str">
        <f t="shared" si="7"/>
        <v/>
      </c>
    </row>
    <row r="195" spans="1:27">
      <c r="A195" t="str">
        <f t="shared" si="6"/>
        <v>Bonneville Power AdminOR</v>
      </c>
      <c r="B195">
        <v>2012</v>
      </c>
      <c r="C195">
        <v>1738</v>
      </c>
      <c r="D195" t="s">
        <v>322</v>
      </c>
      <c r="E195" t="s">
        <v>305</v>
      </c>
      <c r="F195" t="s">
        <v>306</v>
      </c>
      <c r="G195" t="s">
        <v>5</v>
      </c>
      <c r="H195" t="s">
        <v>5</v>
      </c>
      <c r="I195" t="s">
        <v>323</v>
      </c>
      <c r="J195" t="s">
        <v>314</v>
      </c>
      <c r="K195" t="s">
        <v>314</v>
      </c>
      <c r="L195" t="s">
        <v>314</v>
      </c>
      <c r="M195">
        <v>167</v>
      </c>
      <c r="N195">
        <v>4555</v>
      </c>
      <c r="O195">
        <v>1</v>
      </c>
      <c r="P195" t="s">
        <v>314</v>
      </c>
      <c r="Q195" s="125">
        <v>0</v>
      </c>
      <c r="R195">
        <v>0</v>
      </c>
      <c r="S195" t="s">
        <v>314</v>
      </c>
      <c r="T195" t="s">
        <v>314</v>
      </c>
      <c r="U195">
        <v>0</v>
      </c>
      <c r="V195">
        <v>167</v>
      </c>
      <c r="W195" s="125">
        <v>4555</v>
      </c>
      <c r="X195">
        <v>1</v>
      </c>
      <c r="Z195">
        <f t="array" ref="Z195">SUM(IF(D195=$D$21:$D$209,1,0))</f>
        <v>5</v>
      </c>
      <c r="AA195" t="str">
        <f t="shared" si="7"/>
        <v>Bonneville Power Admin</v>
      </c>
    </row>
    <row r="196" spans="1:27">
      <c r="A196" t="str">
        <f t="shared" si="6"/>
        <v>Bonneville Power AdminMT</v>
      </c>
      <c r="B196">
        <v>2012</v>
      </c>
      <c r="C196">
        <v>1738</v>
      </c>
      <c r="D196" t="s">
        <v>322</v>
      </c>
      <c r="E196" t="s">
        <v>324</v>
      </c>
      <c r="F196" t="s">
        <v>306</v>
      </c>
      <c r="G196" t="s">
        <v>28</v>
      </c>
      <c r="H196" t="s">
        <v>4</v>
      </c>
      <c r="I196" t="s">
        <v>323</v>
      </c>
      <c r="J196" t="s">
        <v>314</v>
      </c>
      <c r="K196" t="s">
        <v>314</v>
      </c>
      <c r="L196" t="s">
        <v>314</v>
      </c>
      <c r="M196" t="s">
        <v>314</v>
      </c>
      <c r="N196">
        <v>0</v>
      </c>
      <c r="O196" t="s">
        <v>314</v>
      </c>
      <c r="P196">
        <v>645</v>
      </c>
      <c r="Q196" s="125">
        <v>4067</v>
      </c>
      <c r="R196">
        <v>1</v>
      </c>
      <c r="S196" t="s">
        <v>314</v>
      </c>
      <c r="T196" t="s">
        <v>314</v>
      </c>
      <c r="U196">
        <v>0</v>
      </c>
      <c r="V196">
        <v>645</v>
      </c>
      <c r="W196" s="125">
        <v>4067</v>
      </c>
      <c r="X196">
        <v>1</v>
      </c>
      <c r="Z196">
        <f t="array" ref="Z196">SUM(IF(D196=$D$21:$D$209,1,0))</f>
        <v>5</v>
      </c>
      <c r="AA196" t="str">
        <f t="shared" si="7"/>
        <v>Bonneville Power Admin</v>
      </c>
    </row>
    <row r="197" spans="1:27">
      <c r="A197" t="str">
        <f t="shared" si="6"/>
        <v>Farmers Electric Company, LtdID</v>
      </c>
      <c r="B197">
        <v>2012</v>
      </c>
      <c r="C197">
        <v>6155</v>
      </c>
      <c r="D197" t="s">
        <v>153</v>
      </c>
      <c r="E197" t="s">
        <v>305</v>
      </c>
      <c r="F197" t="s">
        <v>306</v>
      </c>
      <c r="G197" t="s">
        <v>3</v>
      </c>
      <c r="H197" t="s">
        <v>3</v>
      </c>
      <c r="I197" t="s">
        <v>309</v>
      </c>
      <c r="J197">
        <v>93.413145539906111</v>
      </c>
      <c r="K197">
        <v>1875.4394724446538</v>
      </c>
      <c r="L197">
        <v>99.173553719008268</v>
      </c>
      <c r="M197">
        <v>93.413145539906111</v>
      </c>
      <c r="N197">
        <v>1975.1968911917099</v>
      </c>
      <c r="O197">
        <v>11.900826446280991</v>
      </c>
      <c r="P197">
        <v>10.173708920187794</v>
      </c>
      <c r="Q197" s="125">
        <v>183.36363636363637</v>
      </c>
      <c r="R197">
        <v>8.9256198347107443</v>
      </c>
      <c r="S197">
        <v>0</v>
      </c>
      <c r="T197">
        <v>0</v>
      </c>
      <c r="U197">
        <v>0</v>
      </c>
      <c r="V197">
        <v>197</v>
      </c>
      <c r="W197" s="125">
        <v>4034</v>
      </c>
      <c r="X197">
        <v>120</v>
      </c>
      <c r="Y197" t="s">
        <v>308</v>
      </c>
      <c r="Z197">
        <f t="array" ref="Z197">SUM(IF(D197=$D$21:$D$209,1,0))</f>
        <v>1</v>
      </c>
      <c r="AA197" t="str">
        <f t="shared" si="7"/>
        <v/>
      </c>
    </row>
    <row r="198" spans="1:27">
      <c r="A198" t="str">
        <f t="shared" si="6"/>
        <v>City of DecloID</v>
      </c>
      <c r="B198">
        <v>2012</v>
      </c>
      <c r="C198">
        <v>7084</v>
      </c>
      <c r="D198" t="s">
        <v>60</v>
      </c>
      <c r="E198" t="s">
        <v>305</v>
      </c>
      <c r="F198" t="s">
        <v>306</v>
      </c>
      <c r="G198" t="s">
        <v>3</v>
      </c>
      <c r="H198" t="s">
        <v>3</v>
      </c>
      <c r="I198" t="s">
        <v>307</v>
      </c>
      <c r="J198">
        <v>107.69878048780487</v>
      </c>
      <c r="K198">
        <v>1641.4378742514969</v>
      </c>
      <c r="L198">
        <v>109</v>
      </c>
      <c r="M198">
        <v>60.723780487804881</v>
      </c>
      <c r="N198">
        <v>994.30014970059892</v>
      </c>
      <c r="O198">
        <v>14</v>
      </c>
      <c r="P198">
        <v>19.477439024390243</v>
      </c>
      <c r="Q198" s="125">
        <v>366.26197604790423</v>
      </c>
      <c r="R198">
        <v>11</v>
      </c>
      <c r="S198">
        <v>0</v>
      </c>
      <c r="T198">
        <v>0</v>
      </c>
      <c r="U198">
        <v>0</v>
      </c>
      <c r="V198">
        <v>187.9</v>
      </c>
      <c r="W198" s="125">
        <v>3002</v>
      </c>
      <c r="X198">
        <v>134</v>
      </c>
      <c r="Y198" t="s">
        <v>308</v>
      </c>
      <c r="Z198">
        <f t="array" ref="Z198">SUM(IF(D198=$D$21:$D$209,1,0))</f>
        <v>1</v>
      </c>
      <c r="AA198" t="str">
        <f t="shared" si="7"/>
        <v/>
      </c>
    </row>
    <row r="199" spans="1:27">
      <c r="A199" t="str">
        <f t="shared" si="6"/>
        <v>City of AlbionID</v>
      </c>
      <c r="B199">
        <v>2012</v>
      </c>
      <c r="C199">
        <v>244</v>
      </c>
      <c r="D199" t="s">
        <v>59</v>
      </c>
      <c r="E199" t="s">
        <v>305</v>
      </c>
      <c r="F199" t="s">
        <v>306</v>
      </c>
      <c r="G199" t="s">
        <v>3</v>
      </c>
      <c r="H199" t="s">
        <v>3</v>
      </c>
      <c r="I199" t="s">
        <v>307</v>
      </c>
      <c r="J199">
        <v>165.43459915611814</v>
      </c>
      <c r="K199">
        <v>1903.3495834618946</v>
      </c>
      <c r="L199">
        <v>180.51063829787233</v>
      </c>
      <c r="M199">
        <v>66.565400843881861</v>
      </c>
      <c r="N199">
        <v>845.65041653810545</v>
      </c>
      <c r="O199">
        <v>21.48936170212766</v>
      </c>
      <c r="P199">
        <v>0</v>
      </c>
      <c r="Q199" s="125">
        <v>0</v>
      </c>
      <c r="R199">
        <v>0</v>
      </c>
      <c r="S199">
        <v>0</v>
      </c>
      <c r="T199">
        <v>0</v>
      </c>
      <c r="U199">
        <v>0</v>
      </c>
      <c r="V199">
        <v>232</v>
      </c>
      <c r="W199" s="125">
        <v>2749</v>
      </c>
      <c r="X199">
        <v>202</v>
      </c>
      <c r="Y199" t="s">
        <v>308</v>
      </c>
      <c r="Z199">
        <f t="array" ref="Z199">SUM(IF(D199=$D$21:$D$209,1,0))</f>
        <v>1</v>
      </c>
      <c r="AA199" t="str">
        <f t="shared" si="7"/>
        <v/>
      </c>
    </row>
    <row r="200" spans="1:27">
      <c r="A200" t="str">
        <f t="shared" si="6"/>
        <v>Kootenai Electric Coop IncWA</v>
      </c>
      <c r="B200">
        <v>2012</v>
      </c>
      <c r="C200">
        <v>10454</v>
      </c>
      <c r="D200" t="s">
        <v>97</v>
      </c>
      <c r="E200" t="s">
        <v>305</v>
      </c>
      <c r="F200" t="s">
        <v>306</v>
      </c>
      <c r="G200" t="s">
        <v>1</v>
      </c>
      <c r="H200" t="s">
        <v>1</v>
      </c>
      <c r="I200" t="s">
        <v>309</v>
      </c>
      <c r="J200">
        <v>155.4</v>
      </c>
      <c r="K200">
        <v>1964</v>
      </c>
      <c r="L200">
        <v>77</v>
      </c>
      <c r="M200">
        <v>0.1</v>
      </c>
      <c r="N200">
        <v>1</v>
      </c>
      <c r="O200">
        <v>1</v>
      </c>
      <c r="P200">
        <v>0.4</v>
      </c>
      <c r="Q200" s="125">
        <v>3</v>
      </c>
      <c r="R200">
        <v>1</v>
      </c>
      <c r="S200">
        <v>0</v>
      </c>
      <c r="T200">
        <v>0</v>
      </c>
      <c r="U200">
        <v>0</v>
      </c>
      <c r="V200">
        <v>155.9</v>
      </c>
      <c r="W200" s="125">
        <v>1968</v>
      </c>
      <c r="X200">
        <v>79</v>
      </c>
      <c r="Y200" t="s">
        <v>308</v>
      </c>
      <c r="Z200">
        <f t="array" ref="Z200">SUM(IF(D200=$D$21:$D$209,1,0))</f>
        <v>2</v>
      </c>
      <c r="AA200" t="str">
        <f t="shared" si="7"/>
        <v>Kootenai Electric Coop Inc</v>
      </c>
    </row>
    <row r="201" spans="1:27">
      <c r="A201" t="str">
        <f t="shared" si="6"/>
        <v>Clearwater Power CompanyOR</v>
      </c>
      <c r="B201">
        <v>2012</v>
      </c>
      <c r="C201">
        <v>3739</v>
      </c>
      <c r="D201" t="s">
        <v>115</v>
      </c>
      <c r="E201" t="s">
        <v>305</v>
      </c>
      <c r="F201" t="s">
        <v>306</v>
      </c>
      <c r="G201" t="s">
        <v>5</v>
      </c>
      <c r="H201" t="s">
        <v>5</v>
      </c>
      <c r="I201" t="s">
        <v>309</v>
      </c>
      <c r="J201">
        <v>149.9</v>
      </c>
      <c r="K201">
        <v>1419</v>
      </c>
      <c r="L201">
        <v>135</v>
      </c>
      <c r="M201">
        <v>25.8</v>
      </c>
      <c r="N201">
        <v>250</v>
      </c>
      <c r="O201">
        <v>21</v>
      </c>
      <c r="P201" t="s">
        <v>314</v>
      </c>
      <c r="Q201">
        <v>0</v>
      </c>
      <c r="R201">
        <v>0</v>
      </c>
      <c r="S201" t="s">
        <v>314</v>
      </c>
      <c r="T201" t="s">
        <v>314</v>
      </c>
      <c r="U201">
        <v>0</v>
      </c>
      <c r="V201">
        <v>175.7</v>
      </c>
      <c r="W201" s="125">
        <v>1669</v>
      </c>
      <c r="X201">
        <v>156</v>
      </c>
      <c r="Y201" t="s">
        <v>308</v>
      </c>
      <c r="Z201">
        <f t="array" ref="Z201">SUM(IF(D201=$D$21:$D$209,1,0))</f>
        <v>3</v>
      </c>
      <c r="AA201" t="str">
        <f t="shared" si="7"/>
        <v>Clearwater Power Company</v>
      </c>
    </row>
    <row r="202" spans="1:27">
      <c r="A202" t="str">
        <f t="shared" si="6"/>
        <v>Missoula Electric Coop, IncID</v>
      </c>
      <c r="B202">
        <v>2012</v>
      </c>
      <c r="C202">
        <v>12692</v>
      </c>
      <c r="D202" t="s">
        <v>107</v>
      </c>
      <c r="E202" t="s">
        <v>305</v>
      </c>
      <c r="F202" t="s">
        <v>306</v>
      </c>
      <c r="G202" t="s">
        <v>3</v>
      </c>
      <c r="H202" t="s">
        <v>3</v>
      </c>
      <c r="I202" t="s">
        <v>309</v>
      </c>
      <c r="J202">
        <v>49.2</v>
      </c>
      <c r="K202">
        <v>469</v>
      </c>
      <c r="L202">
        <v>36</v>
      </c>
      <c r="M202">
        <v>69.8</v>
      </c>
      <c r="N202">
        <v>781</v>
      </c>
      <c r="O202">
        <v>20</v>
      </c>
      <c r="P202">
        <v>0</v>
      </c>
      <c r="Q202">
        <v>0</v>
      </c>
      <c r="R202">
        <v>0</v>
      </c>
      <c r="S202">
        <v>0</v>
      </c>
      <c r="T202">
        <v>0</v>
      </c>
      <c r="U202">
        <v>0</v>
      </c>
      <c r="V202">
        <v>119</v>
      </c>
      <c r="W202" s="125">
        <v>1250</v>
      </c>
      <c r="X202">
        <v>56</v>
      </c>
      <c r="Y202" t="s">
        <v>308</v>
      </c>
      <c r="Z202">
        <f t="array" ref="Z202">SUM(IF(D202=$D$21:$D$209,1,0))</f>
        <v>2</v>
      </c>
      <c r="AA202" t="str">
        <f t="shared" si="7"/>
        <v>Missoula Electric Coop, Inc</v>
      </c>
    </row>
    <row r="203" spans="1:27">
      <c r="A203" t="str">
        <f t="shared" si="6"/>
        <v>City of MinidokaID</v>
      </c>
      <c r="B203">
        <v>2012</v>
      </c>
      <c r="C203">
        <v>12609</v>
      </c>
      <c r="D203" t="s">
        <v>61</v>
      </c>
      <c r="E203" t="s">
        <v>305</v>
      </c>
      <c r="F203" t="s">
        <v>306</v>
      </c>
      <c r="G203" t="s">
        <v>3</v>
      </c>
      <c r="H203" t="s">
        <v>3</v>
      </c>
      <c r="I203" t="s">
        <v>307</v>
      </c>
      <c r="J203">
        <v>45.5</v>
      </c>
      <c r="K203">
        <v>827.8354755784062</v>
      </c>
      <c r="L203">
        <v>45.957446808510639</v>
      </c>
      <c r="M203">
        <v>6.5</v>
      </c>
      <c r="N203">
        <v>40.164524421593832</v>
      </c>
      <c r="O203">
        <v>2.0425531914893615</v>
      </c>
      <c r="P203">
        <v>0</v>
      </c>
      <c r="Q203">
        <v>0</v>
      </c>
      <c r="R203">
        <v>0</v>
      </c>
      <c r="S203">
        <v>0</v>
      </c>
      <c r="T203">
        <v>0</v>
      </c>
      <c r="U203">
        <v>0</v>
      </c>
      <c r="V203">
        <v>52</v>
      </c>
      <c r="W203" s="125">
        <v>868</v>
      </c>
      <c r="X203">
        <v>48</v>
      </c>
      <c r="Y203" t="s">
        <v>308</v>
      </c>
      <c r="Z203">
        <f t="array" ref="Z203">SUM(IF(D203=$D$21:$D$209,1,0))</f>
        <v>1</v>
      </c>
      <c r="AA203" t="str">
        <f t="shared" si="7"/>
        <v/>
      </c>
    </row>
    <row r="204" spans="1:27">
      <c r="A204" t="str">
        <f t="shared" si="6"/>
        <v>McKenzie Electric Coop IncMT</v>
      </c>
      <c r="B204">
        <v>2012</v>
      </c>
      <c r="C204">
        <v>12087</v>
      </c>
      <c r="D204" t="s">
        <v>340</v>
      </c>
      <c r="E204" t="s">
        <v>305</v>
      </c>
      <c r="F204" t="s">
        <v>306</v>
      </c>
      <c r="G204" t="s">
        <v>316</v>
      </c>
      <c r="H204" t="s">
        <v>4</v>
      </c>
      <c r="I204" t="s">
        <v>309</v>
      </c>
      <c r="J204">
        <v>83.2</v>
      </c>
      <c r="K204">
        <v>749</v>
      </c>
      <c r="L204">
        <v>124</v>
      </c>
      <c r="M204">
        <v>0.3</v>
      </c>
      <c r="N204">
        <v>1</v>
      </c>
      <c r="O204">
        <v>1</v>
      </c>
      <c r="P204">
        <v>0</v>
      </c>
      <c r="Q204">
        <v>0</v>
      </c>
      <c r="R204">
        <v>0</v>
      </c>
      <c r="S204">
        <v>0</v>
      </c>
      <c r="T204">
        <v>0</v>
      </c>
      <c r="U204">
        <v>0</v>
      </c>
      <c r="V204">
        <v>83.5</v>
      </c>
      <c r="W204" s="125">
        <v>750</v>
      </c>
      <c r="X204">
        <v>125</v>
      </c>
      <c r="Y204" t="s">
        <v>308</v>
      </c>
      <c r="Z204">
        <f t="array" ref="Z204">SUM(IF(D204=$D$21:$D$209,1,0))</f>
        <v>1</v>
      </c>
      <c r="AA204" t="str">
        <f t="shared" si="7"/>
        <v/>
      </c>
    </row>
    <row r="205" spans="1:27">
      <c r="A205" t="str">
        <f t="shared" si="6"/>
        <v>Avista CorpMT</v>
      </c>
      <c r="B205">
        <v>2012</v>
      </c>
      <c r="C205">
        <v>20169</v>
      </c>
      <c r="D205" t="s">
        <v>25</v>
      </c>
      <c r="E205" t="s">
        <v>305</v>
      </c>
      <c r="F205" t="s">
        <v>335</v>
      </c>
      <c r="G205" t="s">
        <v>28</v>
      </c>
      <c r="H205" t="s">
        <v>4</v>
      </c>
      <c r="I205" t="s">
        <v>336</v>
      </c>
      <c r="J205">
        <v>13</v>
      </c>
      <c r="K205">
        <v>162</v>
      </c>
      <c r="L205">
        <v>9</v>
      </c>
      <c r="M205">
        <v>31</v>
      </c>
      <c r="N205">
        <v>337</v>
      </c>
      <c r="O205">
        <v>14</v>
      </c>
      <c r="P205">
        <v>0</v>
      </c>
      <c r="Q205">
        <v>0</v>
      </c>
      <c r="R205">
        <v>0</v>
      </c>
      <c r="S205">
        <v>0</v>
      </c>
      <c r="T205">
        <v>0</v>
      </c>
      <c r="U205">
        <v>0</v>
      </c>
      <c r="V205">
        <v>44</v>
      </c>
      <c r="W205" s="125">
        <v>499</v>
      </c>
      <c r="X205">
        <v>23</v>
      </c>
      <c r="Z205">
        <f t="array" ref="Z205">SUM(IF(D205=$D$21:$D$209,1,0))</f>
        <v>3</v>
      </c>
      <c r="AA205" t="str">
        <f t="shared" si="7"/>
        <v>Avista Corp</v>
      </c>
    </row>
    <row r="206" spans="1:27">
      <c r="A206" t="str">
        <f t="shared" si="6"/>
        <v>PUD No 1 of Asotin CountyWA</v>
      </c>
      <c r="B206">
        <v>2012</v>
      </c>
      <c r="C206">
        <v>14771</v>
      </c>
      <c r="D206" t="s">
        <v>349</v>
      </c>
      <c r="E206" t="s">
        <v>305</v>
      </c>
      <c r="F206" t="s">
        <v>306</v>
      </c>
      <c r="G206" t="s">
        <v>1</v>
      </c>
      <c r="H206" t="s">
        <v>1</v>
      </c>
      <c r="I206" t="s">
        <v>307</v>
      </c>
      <c r="J206">
        <v>0</v>
      </c>
      <c r="K206">
        <v>0</v>
      </c>
      <c r="L206">
        <v>0</v>
      </c>
      <c r="M206">
        <v>14</v>
      </c>
      <c r="N206">
        <v>282</v>
      </c>
      <c r="O206">
        <v>3</v>
      </c>
      <c r="P206">
        <v>0</v>
      </c>
      <c r="Q206">
        <v>0</v>
      </c>
      <c r="R206">
        <v>0</v>
      </c>
      <c r="S206">
        <v>0</v>
      </c>
      <c r="T206">
        <v>0</v>
      </c>
      <c r="U206">
        <v>0</v>
      </c>
      <c r="V206">
        <v>14</v>
      </c>
      <c r="W206" s="125">
        <v>282</v>
      </c>
      <c r="X206">
        <v>3</v>
      </c>
      <c r="Y206" t="s">
        <v>308</v>
      </c>
      <c r="Z206">
        <f t="array" ref="Z206">SUM(IF(D206=$D$21:$D$209,1,0))</f>
        <v>1</v>
      </c>
      <c r="AA206" t="str">
        <f t="shared" si="7"/>
        <v/>
      </c>
    </row>
    <row r="207" spans="1:27">
      <c r="A207" t="str">
        <f t="shared" si="6"/>
        <v>Grand Electric Coop, IncMT</v>
      </c>
      <c r="B207">
        <v>2012</v>
      </c>
      <c r="C207">
        <v>7484</v>
      </c>
      <c r="D207" t="s">
        <v>330</v>
      </c>
      <c r="E207" t="s">
        <v>305</v>
      </c>
      <c r="F207" t="s">
        <v>306</v>
      </c>
      <c r="G207" t="s">
        <v>316</v>
      </c>
      <c r="H207" t="s">
        <v>4</v>
      </c>
      <c r="I207" t="s">
        <v>309</v>
      </c>
      <c r="J207">
        <v>11</v>
      </c>
      <c r="K207">
        <v>117</v>
      </c>
      <c r="L207">
        <v>15</v>
      </c>
      <c r="M207">
        <v>0</v>
      </c>
      <c r="N207">
        <v>0</v>
      </c>
      <c r="O207">
        <v>0</v>
      </c>
      <c r="P207">
        <v>0</v>
      </c>
      <c r="Q207">
        <v>0</v>
      </c>
      <c r="R207">
        <v>0</v>
      </c>
      <c r="S207">
        <v>0</v>
      </c>
      <c r="T207">
        <v>0</v>
      </c>
      <c r="U207">
        <v>0</v>
      </c>
      <c r="V207">
        <v>11</v>
      </c>
      <c r="W207" s="125">
        <v>117</v>
      </c>
      <c r="X207">
        <v>15</v>
      </c>
      <c r="Y207" t="s">
        <v>308</v>
      </c>
      <c r="Z207">
        <f t="array" ref="Z207">SUM(IF(D207=$D$21:$D$209,1,0))</f>
        <v>1</v>
      </c>
      <c r="AA207" t="str">
        <f t="shared" si="7"/>
        <v/>
      </c>
    </row>
    <row r="208" spans="1:27">
      <c r="A208" t="str">
        <f t="shared" si="6"/>
        <v>Northern Lights, IncWA</v>
      </c>
      <c r="B208">
        <v>2012</v>
      </c>
      <c r="C208">
        <v>13758</v>
      </c>
      <c r="D208" t="s">
        <v>102</v>
      </c>
      <c r="E208" t="s">
        <v>305</v>
      </c>
      <c r="F208" t="s">
        <v>306</v>
      </c>
      <c r="G208" t="s">
        <v>1</v>
      </c>
      <c r="H208" t="s">
        <v>1</v>
      </c>
      <c r="I208" t="s">
        <v>309</v>
      </c>
      <c r="J208">
        <v>11.8</v>
      </c>
      <c r="K208">
        <v>112</v>
      </c>
      <c r="L208">
        <v>15</v>
      </c>
      <c r="M208">
        <v>0</v>
      </c>
      <c r="N208">
        <v>0</v>
      </c>
      <c r="O208">
        <v>0</v>
      </c>
      <c r="P208">
        <v>0</v>
      </c>
      <c r="Q208">
        <v>0</v>
      </c>
      <c r="R208">
        <v>0</v>
      </c>
      <c r="S208">
        <v>0</v>
      </c>
      <c r="T208">
        <v>0</v>
      </c>
      <c r="U208">
        <v>0</v>
      </c>
      <c r="V208">
        <v>11.8</v>
      </c>
      <c r="W208" s="125">
        <v>112</v>
      </c>
      <c r="X208">
        <v>15</v>
      </c>
      <c r="Y208" t="s">
        <v>308</v>
      </c>
      <c r="Z208">
        <f t="array" ref="Z208">SUM(IF(D208=$D$21:$D$209,1,0))</f>
        <v>3</v>
      </c>
      <c r="AA208" t="str">
        <f t="shared" si="7"/>
        <v>Northern Lights, Inc</v>
      </c>
    </row>
    <row r="209" spans="1:27">
      <c r="A209" t="str">
        <f t="shared" si="6"/>
        <v>Vigilante Electric Coop, IncID</v>
      </c>
      <c r="B209">
        <v>2012</v>
      </c>
      <c r="C209">
        <v>23586</v>
      </c>
      <c r="D209" t="s">
        <v>121</v>
      </c>
      <c r="E209" t="s">
        <v>305</v>
      </c>
      <c r="F209" t="s">
        <v>306</v>
      </c>
      <c r="G209" t="s">
        <v>3</v>
      </c>
      <c r="H209" t="s">
        <v>3</v>
      </c>
      <c r="I209" t="s">
        <v>309</v>
      </c>
      <c r="J209">
        <v>14.2</v>
      </c>
      <c r="K209">
        <v>100</v>
      </c>
      <c r="L209">
        <v>33</v>
      </c>
      <c r="M209">
        <v>0</v>
      </c>
      <c r="N209">
        <v>0</v>
      </c>
      <c r="O209">
        <v>0</v>
      </c>
      <c r="P209">
        <v>0</v>
      </c>
      <c r="Q209">
        <v>0</v>
      </c>
      <c r="R209">
        <v>0</v>
      </c>
      <c r="S209">
        <v>0</v>
      </c>
      <c r="T209">
        <v>0</v>
      </c>
      <c r="U209">
        <v>0</v>
      </c>
      <c r="V209">
        <v>14.2</v>
      </c>
      <c r="W209" s="125">
        <v>100</v>
      </c>
      <c r="X209">
        <v>33</v>
      </c>
      <c r="Y209" t="s">
        <v>308</v>
      </c>
      <c r="Z209">
        <f t="array" ref="Z209">SUM(IF(D209=$D$21:$D$209,1,0))</f>
        <v>2</v>
      </c>
      <c r="AA209" t="str">
        <f t="shared" si="7"/>
        <v>Vigilante Electric Coop, Inc</v>
      </c>
    </row>
  </sheetData>
  <sortState ref="AC21:AC209">
    <sortCondition ref="AC21"/>
  </sortState>
  <conditionalFormatting sqref="Z21:Z209">
    <cfRule type="cellIs" dxfId="0" priority="1" operator="greaterThan">
      <formula>1</formula>
    </cfRule>
  </conditionalFormatting>
  <pageMargins left="0.7" right="0.7" top="0.75" bottom="0.75" header="0.3" footer="0.3"/>
  <pageSetup orientation="portrait" horizontalDpi="0" verticalDpi="0" r:id="rId1"/>
  <legacyDrawing r:id="rId2"/>
</worksheet>
</file>

<file path=xl/worksheets/sheet12.xml><?xml version="1.0" encoding="utf-8"?>
<worksheet xmlns="http://schemas.openxmlformats.org/spreadsheetml/2006/main" xmlns:r="http://schemas.openxmlformats.org/officeDocument/2006/relationships">
  <sheetPr codeName="Sheet11"/>
  <dimension ref="A9:AG29"/>
  <sheetViews>
    <sheetView topLeftCell="G1" workbookViewId="0">
      <selection activeCell="I28" sqref="I28:AB28"/>
    </sheetView>
  </sheetViews>
  <sheetFormatPr defaultRowHeight="12.75"/>
  <cols>
    <col min="1" max="1" width="10.42578125" style="315" customWidth="1"/>
    <col min="2" max="2" width="25.42578125" style="315" customWidth="1"/>
    <col min="3" max="5" width="15.7109375" style="315" hidden="1" customWidth="1"/>
    <col min="6" max="6" width="20.28515625" style="315" hidden="1" customWidth="1"/>
    <col min="7" max="7" width="21.42578125" style="315" customWidth="1"/>
    <col min="8" max="8" width="10" style="315" customWidth="1"/>
    <col min="9" max="14" width="9.140625" style="315" customWidth="1"/>
    <col min="15" max="15" width="11.28515625" style="315" customWidth="1"/>
    <col min="16" max="16" width="9.140625" style="315" customWidth="1"/>
    <col min="17" max="17" width="8.140625" style="315" customWidth="1"/>
    <col min="18" max="19" width="9.140625" style="315" customWidth="1"/>
    <col min="20" max="23" width="10.28515625" style="315" bestFit="1" customWidth="1"/>
    <col min="24" max="28" width="10.28515625" style="315" customWidth="1"/>
    <col min="29" max="16384" width="9.140625" style="315"/>
  </cols>
  <sheetData>
    <row r="9" spans="1:33" ht="13.5" thickBot="1"/>
    <row r="10" spans="1:33">
      <c r="A10" s="315" t="s">
        <v>650</v>
      </c>
      <c r="B10" s="316" t="s">
        <v>311</v>
      </c>
      <c r="C10" s="317">
        <v>2010</v>
      </c>
      <c r="D10" s="317">
        <v>2011</v>
      </c>
      <c r="E10" s="317">
        <v>2012</v>
      </c>
      <c r="F10" s="317">
        <v>2013</v>
      </c>
      <c r="G10" s="317">
        <v>2014</v>
      </c>
      <c r="H10" s="317">
        <v>2015</v>
      </c>
      <c r="I10" s="317">
        <v>2016</v>
      </c>
      <c r="J10" s="317">
        <v>2017</v>
      </c>
      <c r="K10" s="317">
        <v>2018</v>
      </c>
      <c r="L10" s="317">
        <v>2019</v>
      </c>
      <c r="M10" s="317">
        <v>2020</v>
      </c>
      <c r="N10" s="317">
        <v>2021</v>
      </c>
      <c r="O10" s="317">
        <v>2022</v>
      </c>
      <c r="P10" s="317">
        <v>2023</v>
      </c>
      <c r="Q10" s="317">
        <v>2024</v>
      </c>
      <c r="R10" s="317">
        <v>2025</v>
      </c>
      <c r="S10" s="317">
        <v>2026</v>
      </c>
      <c r="T10" s="317">
        <v>2027</v>
      </c>
      <c r="U10" s="317">
        <v>2028</v>
      </c>
      <c r="V10" s="317">
        <v>2029</v>
      </c>
      <c r="W10" s="318">
        <v>2030</v>
      </c>
      <c r="X10" s="317">
        <v>2031</v>
      </c>
      <c r="Y10" s="318">
        <v>2032</v>
      </c>
      <c r="Z10" s="317">
        <v>2033</v>
      </c>
      <c r="AA10" s="318">
        <v>2034</v>
      </c>
      <c r="AB10" s="317">
        <v>2035</v>
      </c>
      <c r="AC10" s="318">
        <v>2036</v>
      </c>
      <c r="AD10" s="317">
        <v>2037</v>
      </c>
      <c r="AE10" s="318">
        <v>2038</v>
      </c>
      <c r="AF10" s="317">
        <v>2039</v>
      </c>
      <c r="AG10" s="318">
        <v>2040</v>
      </c>
    </row>
    <row r="11" spans="1:33">
      <c r="A11" s="319">
        <f>RATE(15,,H11,-W11)</f>
        <v>7.167355468036379E-3</v>
      </c>
      <c r="B11" s="320" t="s">
        <v>651</v>
      </c>
      <c r="C11" s="321">
        <v>21258</v>
      </c>
      <c r="D11" s="321">
        <v>21580</v>
      </c>
      <c r="E11" s="321">
        <v>21903</v>
      </c>
      <c r="F11" s="321">
        <v>21985</v>
      </c>
      <c r="G11" s="321">
        <v>22181</v>
      </c>
      <c r="H11" s="321">
        <v>22286</v>
      </c>
      <c r="I11" s="321">
        <v>22508</v>
      </c>
      <c r="J11" s="321">
        <v>22745</v>
      </c>
      <c r="K11" s="321">
        <v>22933</v>
      </c>
      <c r="L11" s="321">
        <v>23053</v>
      </c>
      <c r="M11" s="321">
        <v>23063</v>
      </c>
      <c r="N11" s="321">
        <v>23232</v>
      </c>
      <c r="O11" s="321">
        <v>23433</v>
      </c>
      <c r="P11" s="321">
        <v>23631</v>
      </c>
      <c r="Q11" s="321">
        <v>23802</v>
      </c>
      <c r="R11" s="321">
        <v>23977</v>
      </c>
      <c r="S11" s="321">
        <v>24135</v>
      </c>
      <c r="T11" s="321">
        <v>24288</v>
      </c>
      <c r="U11" s="321">
        <v>24458</v>
      </c>
      <c r="V11" s="321">
        <v>24627</v>
      </c>
      <c r="W11" s="322">
        <v>24806</v>
      </c>
      <c r="X11" s="323"/>
      <c r="Y11" s="323"/>
      <c r="Z11" s="323"/>
      <c r="AA11" s="323"/>
      <c r="AB11" s="323"/>
    </row>
    <row r="12" spans="1:33">
      <c r="A12" s="319">
        <f t="shared" ref="A12:A17" si="0">RATE(15,,H12,-W12)</f>
        <v>1.3358929206455896E-2</v>
      </c>
      <c r="B12" s="320" t="s">
        <v>652</v>
      </c>
      <c r="C12" s="321">
        <v>21745</v>
      </c>
      <c r="D12" s="321">
        <v>22194</v>
      </c>
      <c r="E12" s="321">
        <v>22566</v>
      </c>
      <c r="F12" s="321">
        <v>22774</v>
      </c>
      <c r="G12" s="321">
        <v>23116</v>
      </c>
      <c r="H12" s="321">
        <v>23346</v>
      </c>
      <c r="I12" s="321">
        <v>23675</v>
      </c>
      <c r="J12" s="321">
        <v>24015</v>
      </c>
      <c r="K12" s="321">
        <v>24292</v>
      </c>
      <c r="L12" s="321">
        <v>24499</v>
      </c>
      <c r="M12" s="321">
        <v>24593</v>
      </c>
      <c r="N12" s="321">
        <v>24890</v>
      </c>
      <c r="O12" s="321">
        <v>25246</v>
      </c>
      <c r="P12" s="321">
        <v>25618</v>
      </c>
      <c r="Q12" s="321">
        <v>25990</v>
      </c>
      <c r="R12" s="321">
        <v>26374</v>
      </c>
      <c r="S12" s="321">
        <v>26753</v>
      </c>
      <c r="T12" s="321">
        <v>27153</v>
      </c>
      <c r="U12" s="321">
        <v>27582</v>
      </c>
      <c r="V12" s="321">
        <v>28028</v>
      </c>
      <c r="W12" s="322">
        <v>28488</v>
      </c>
      <c r="X12" s="323"/>
      <c r="Y12" s="323"/>
      <c r="Z12" s="323"/>
      <c r="AA12" s="323"/>
      <c r="AB12" s="323"/>
    </row>
    <row r="13" spans="1:33">
      <c r="A13" s="319">
        <f t="shared" si="0"/>
        <v>1.8196822719071505E-2</v>
      </c>
      <c r="B13" s="320" t="s">
        <v>653</v>
      </c>
      <c r="C13" s="321">
        <v>22081</v>
      </c>
      <c r="D13" s="321">
        <v>22626</v>
      </c>
      <c r="E13" s="321">
        <v>22982</v>
      </c>
      <c r="F13" s="321">
        <v>23188</v>
      </c>
      <c r="G13" s="321">
        <v>23574</v>
      </c>
      <c r="H13" s="321">
        <v>23875</v>
      </c>
      <c r="I13" s="321">
        <v>24299</v>
      </c>
      <c r="J13" s="321">
        <v>24743</v>
      </c>
      <c r="K13" s="321">
        <v>25091</v>
      </c>
      <c r="L13" s="321">
        <v>25364</v>
      </c>
      <c r="M13" s="321">
        <v>25530</v>
      </c>
      <c r="N13" s="321">
        <v>25932</v>
      </c>
      <c r="O13" s="321">
        <v>26422</v>
      </c>
      <c r="P13" s="321">
        <v>26963</v>
      </c>
      <c r="Q13" s="321">
        <v>27512</v>
      </c>
      <c r="R13" s="321">
        <v>28080</v>
      </c>
      <c r="S13" s="321">
        <v>28650</v>
      </c>
      <c r="T13" s="321">
        <v>29255</v>
      </c>
      <c r="U13" s="321">
        <v>29915</v>
      </c>
      <c r="V13" s="321">
        <v>30593</v>
      </c>
      <c r="W13" s="322">
        <v>31291</v>
      </c>
      <c r="X13" s="323"/>
      <c r="Y13" s="323"/>
      <c r="Z13" s="323"/>
      <c r="AA13" s="323"/>
      <c r="AB13" s="323"/>
    </row>
    <row r="14" spans="1:33">
      <c r="A14" s="319">
        <f t="shared" si="0"/>
        <v>4.9197344565367375E-3</v>
      </c>
      <c r="B14" s="320" t="s">
        <v>654</v>
      </c>
      <c r="C14" s="321">
        <v>20331.900000000001</v>
      </c>
      <c r="D14" s="321">
        <v>21076.66</v>
      </c>
      <c r="E14" s="321">
        <v>20660.96</v>
      </c>
      <c r="F14" s="321">
        <v>20925.97</v>
      </c>
      <c r="G14" s="321">
        <v>21002.43</v>
      </c>
      <c r="H14" s="321">
        <v>21108.12</v>
      </c>
      <c r="I14" s="321">
        <v>21130.93</v>
      </c>
      <c r="J14" s="321">
        <v>21185.26</v>
      </c>
      <c r="K14" s="321">
        <v>21328.15</v>
      </c>
      <c r="L14" s="321">
        <v>21427</v>
      </c>
      <c r="M14" s="321">
        <v>21510.3</v>
      </c>
      <c r="N14" s="321">
        <v>21605.94</v>
      </c>
      <c r="O14" s="321">
        <v>21701.25</v>
      </c>
      <c r="P14" s="321">
        <v>21815.64</v>
      </c>
      <c r="Q14" s="321">
        <v>21938.17</v>
      </c>
      <c r="R14" s="321">
        <v>22059.71</v>
      </c>
      <c r="S14" s="321">
        <v>22196.74</v>
      </c>
      <c r="T14" s="321">
        <v>22345.24</v>
      </c>
      <c r="U14" s="321">
        <v>22485.29</v>
      </c>
      <c r="V14" s="321">
        <v>22603.65</v>
      </c>
      <c r="W14" s="322">
        <v>22720.62</v>
      </c>
      <c r="X14" s="323">
        <v>22783.73</v>
      </c>
      <c r="Y14" s="323">
        <v>22898.97</v>
      </c>
      <c r="Z14" s="323">
        <v>23020.67</v>
      </c>
      <c r="AA14" s="323">
        <v>23148.52</v>
      </c>
      <c r="AB14" s="323">
        <v>23279.88</v>
      </c>
    </row>
    <row r="15" spans="1:33">
      <c r="A15" s="319">
        <f t="shared" si="0"/>
        <v>7.786039582108422E-3</v>
      </c>
      <c r="B15" s="320" t="s">
        <v>655</v>
      </c>
      <c r="C15" s="321">
        <v>20331.900000000001</v>
      </c>
      <c r="D15" s="321">
        <v>21076.66</v>
      </c>
      <c r="E15" s="321">
        <v>20660.96</v>
      </c>
      <c r="F15" s="321">
        <v>20968.52</v>
      </c>
      <c r="G15" s="321">
        <v>21054.05</v>
      </c>
      <c r="H15" s="321">
        <v>21352.240000000002</v>
      </c>
      <c r="I15" s="321">
        <v>21427.94</v>
      </c>
      <c r="J15" s="321">
        <v>21533.93</v>
      </c>
      <c r="K15" s="321">
        <v>21739.39</v>
      </c>
      <c r="L15" s="321">
        <v>21902.13</v>
      </c>
      <c r="M15" s="321">
        <v>22040.799999999999</v>
      </c>
      <c r="N15" s="321">
        <v>22195.55</v>
      </c>
      <c r="O15" s="321">
        <v>22354.43</v>
      </c>
      <c r="P15" s="321">
        <v>22521.24</v>
      </c>
      <c r="Q15" s="321">
        <v>22700.7</v>
      </c>
      <c r="R15" s="321">
        <v>22889.93</v>
      </c>
      <c r="S15" s="321">
        <v>23090.63</v>
      </c>
      <c r="T15" s="321">
        <v>23308.73</v>
      </c>
      <c r="U15" s="321">
        <v>23537.66</v>
      </c>
      <c r="V15" s="321">
        <v>23760.28</v>
      </c>
      <c r="W15" s="322">
        <v>23986.59</v>
      </c>
      <c r="X15" s="323">
        <v>24157.41</v>
      </c>
      <c r="Y15" s="323">
        <v>24355.41</v>
      </c>
      <c r="Z15" s="323">
        <v>24550.23</v>
      </c>
      <c r="AA15" s="323">
        <v>24744.29</v>
      </c>
      <c r="AB15" s="323">
        <v>24934.65</v>
      </c>
    </row>
    <row r="16" spans="1:33">
      <c r="A16" s="319">
        <f t="shared" si="0"/>
        <v>1.0073348144171101E-2</v>
      </c>
      <c r="B16" s="320" t="s">
        <v>656</v>
      </c>
      <c r="C16" s="321">
        <v>20331.900000000001</v>
      </c>
      <c r="D16" s="321">
        <v>21076.66</v>
      </c>
      <c r="E16" s="321">
        <v>20660.96</v>
      </c>
      <c r="F16" s="321">
        <v>21011.54</v>
      </c>
      <c r="G16" s="321">
        <v>21108.9</v>
      </c>
      <c r="H16" s="321">
        <v>21580.15</v>
      </c>
      <c r="I16" s="321">
        <v>21739.06</v>
      </c>
      <c r="J16" s="321">
        <v>21899.43</v>
      </c>
      <c r="K16" s="321">
        <v>22159.69</v>
      </c>
      <c r="L16" s="321">
        <v>22382.59</v>
      </c>
      <c r="M16" s="321">
        <v>22599.14</v>
      </c>
      <c r="N16" s="321">
        <v>22832.55</v>
      </c>
      <c r="O16" s="321">
        <v>23068.68</v>
      </c>
      <c r="P16" s="321">
        <v>23307.93</v>
      </c>
      <c r="Q16" s="321">
        <v>23546.1</v>
      </c>
      <c r="R16" s="321">
        <v>23792.03</v>
      </c>
      <c r="S16" s="321">
        <v>24047.83</v>
      </c>
      <c r="T16" s="321">
        <v>24310.03</v>
      </c>
      <c r="U16" s="321">
        <v>24566.3</v>
      </c>
      <c r="V16" s="321">
        <v>24820.32</v>
      </c>
      <c r="W16" s="322">
        <v>25081.19</v>
      </c>
      <c r="X16" s="323">
        <v>25283.15</v>
      </c>
      <c r="Y16" s="323">
        <v>25507.39</v>
      </c>
      <c r="Z16" s="323">
        <v>25734.87</v>
      </c>
      <c r="AA16" s="323">
        <v>25966.79</v>
      </c>
      <c r="AB16" s="323">
        <v>26197.07</v>
      </c>
    </row>
    <row r="17" spans="1:28">
      <c r="A17" s="319">
        <f t="shared" si="0"/>
        <v>4.3156109763859661E-3</v>
      </c>
      <c r="B17" s="320" t="s">
        <v>657</v>
      </c>
      <c r="C17" s="321"/>
      <c r="D17" s="321"/>
      <c r="E17" s="321"/>
      <c r="F17" s="321">
        <v>21056.93534516844</v>
      </c>
      <c r="G17" s="321">
        <v>21207.526778717307</v>
      </c>
      <c r="H17" s="321">
        <v>21358.13860975466</v>
      </c>
      <c r="I17" s="321">
        <v>21497.330054082253</v>
      </c>
      <c r="J17" s="321">
        <v>21729.892296113288</v>
      </c>
      <c r="K17" s="321">
        <v>21844.728710501338</v>
      </c>
      <c r="L17" s="321">
        <v>21950.446560083346</v>
      </c>
      <c r="M17" s="321">
        <v>22046.776906188803</v>
      </c>
      <c r="N17" s="321">
        <v>22128.059895232065</v>
      </c>
      <c r="O17" s="321">
        <v>22213.830713031537</v>
      </c>
      <c r="P17" s="321">
        <v>22290.970380617138</v>
      </c>
      <c r="Q17" s="321">
        <v>22375.595855853426</v>
      </c>
      <c r="R17" s="321">
        <v>22446.403933027981</v>
      </c>
      <c r="S17" s="321">
        <v>22518.111476388054</v>
      </c>
      <c r="T17" s="321">
        <v>22583.156538859646</v>
      </c>
      <c r="U17" s="321">
        <v>22647.794837051802</v>
      </c>
      <c r="V17" s="321">
        <v>22716.17720043374</v>
      </c>
      <c r="W17" s="322">
        <v>22783.298555718469</v>
      </c>
      <c r="X17" s="323">
        <v>22852.244348971297</v>
      </c>
      <c r="Y17" s="323">
        <v>22921.864532092302</v>
      </c>
      <c r="Z17" s="323">
        <v>22994.831029631288</v>
      </c>
      <c r="AA17" s="323">
        <v>23064.479293909088</v>
      </c>
      <c r="AB17" s="323">
        <v>23141.246665975119</v>
      </c>
    </row>
    <row r="18" spans="1:28">
      <c r="A18" s="319"/>
      <c r="B18" s="324" t="s">
        <v>658</v>
      </c>
      <c r="C18" s="89"/>
      <c r="D18" s="89"/>
      <c r="E18" s="89"/>
      <c r="F18" s="89"/>
      <c r="G18" s="89">
        <v>20536.004848544304</v>
      </c>
      <c r="H18" s="89">
        <v>20755.567896887987</v>
      </c>
      <c r="I18" s="89">
        <v>20975.835538627205</v>
      </c>
      <c r="J18" s="89">
        <v>21189.266578987997</v>
      </c>
      <c r="K18" s="89">
        <v>21379.152831042524</v>
      </c>
      <c r="L18" s="89">
        <v>21571.616445657026</v>
      </c>
      <c r="M18" s="89">
        <v>21732.784174381639</v>
      </c>
      <c r="N18" s="89">
        <v>21908.91888761655</v>
      </c>
      <c r="O18" s="89">
        <v>22067.053203880285</v>
      </c>
      <c r="P18" s="89">
        <v>22231.711445104873</v>
      </c>
      <c r="Q18" s="89"/>
      <c r="R18" s="89"/>
      <c r="S18" s="89"/>
      <c r="T18" s="89"/>
      <c r="U18" s="89"/>
      <c r="V18" s="89"/>
      <c r="W18" s="325"/>
      <c r="X18" s="3"/>
      <c r="Y18" s="3"/>
      <c r="Z18" s="3"/>
      <c r="AA18" s="3"/>
      <c r="AB18" s="3"/>
    </row>
    <row r="19" spans="1:28">
      <c r="B19" s="326"/>
      <c r="C19" s="86"/>
      <c r="D19" s="86"/>
      <c r="E19" s="86"/>
      <c r="F19" s="86"/>
      <c r="G19" s="86"/>
      <c r="H19" s="86"/>
      <c r="I19" s="86"/>
      <c r="J19" s="86"/>
      <c r="K19" s="86"/>
      <c r="L19" s="86"/>
      <c r="M19" s="86"/>
      <c r="N19" s="86"/>
      <c r="O19" s="86"/>
      <c r="P19" s="86"/>
      <c r="Q19" s="86"/>
      <c r="R19" s="86"/>
      <c r="S19" s="86"/>
      <c r="T19" s="86"/>
      <c r="U19" s="86"/>
      <c r="V19" s="86"/>
      <c r="W19" s="327"/>
      <c r="X19"/>
      <c r="Y19"/>
      <c r="Z19"/>
      <c r="AA19"/>
      <c r="AB19"/>
    </row>
    <row r="20" spans="1:28" ht="13.5" thickBot="1">
      <c r="X20"/>
      <c r="Y20"/>
      <c r="Z20"/>
      <c r="AA20"/>
      <c r="AB20"/>
    </row>
    <row r="21" spans="1:28">
      <c r="A21" s="315" t="s">
        <v>659</v>
      </c>
      <c r="B21" s="328" t="s">
        <v>660</v>
      </c>
      <c r="C21" s="329"/>
      <c r="D21" s="329"/>
      <c r="E21" s="329"/>
      <c r="F21" s="329"/>
      <c r="G21" s="329">
        <v>2014</v>
      </c>
      <c r="H21" s="329">
        <v>2015</v>
      </c>
      <c r="I21" s="329">
        <v>2016</v>
      </c>
      <c r="J21" s="329">
        <v>2017</v>
      </c>
      <c r="K21" s="329">
        <v>2018</v>
      </c>
      <c r="L21" s="329">
        <v>2019</v>
      </c>
      <c r="M21" s="329">
        <v>2020</v>
      </c>
      <c r="N21" s="329">
        <v>2021</v>
      </c>
      <c r="O21" s="329">
        <v>2022</v>
      </c>
      <c r="P21" s="329">
        <v>2023</v>
      </c>
      <c r="Q21" s="329">
        <v>2024</v>
      </c>
      <c r="R21" s="329">
        <v>2025</v>
      </c>
      <c r="S21" s="329">
        <v>2026</v>
      </c>
      <c r="T21" s="329">
        <v>2027</v>
      </c>
      <c r="U21" s="329">
        <v>2028</v>
      </c>
      <c r="V21" s="329">
        <v>2029</v>
      </c>
      <c r="W21" s="330">
        <v>2030</v>
      </c>
      <c r="X21" s="315">
        <v>2031</v>
      </c>
      <c r="Y21" s="315">
        <v>2032</v>
      </c>
      <c r="Z21" s="315">
        <v>2033</v>
      </c>
      <c r="AA21" s="315">
        <v>2034</v>
      </c>
      <c r="AB21" s="315">
        <v>2035</v>
      </c>
    </row>
    <row r="22" spans="1:28">
      <c r="A22" s="319">
        <f>RATE(8,,H22,-P22)</f>
        <v>5.7566460414441587E-3</v>
      </c>
      <c r="B22" s="320" t="s">
        <v>661</v>
      </c>
      <c r="G22" s="323">
        <v>29373.97</v>
      </c>
      <c r="H22" s="323">
        <v>29845.62</v>
      </c>
      <c r="I22" s="323">
        <v>29978.73</v>
      </c>
      <c r="J22" s="323">
        <v>30121.08</v>
      </c>
      <c r="K22" s="323">
        <v>30318</v>
      </c>
      <c r="L22" s="323">
        <v>30513.83</v>
      </c>
      <c r="M22" s="323">
        <v>30678.32</v>
      </c>
      <c r="N22" s="323">
        <v>30864.93</v>
      </c>
      <c r="O22" s="323">
        <v>31053.23</v>
      </c>
      <c r="P22" s="323">
        <v>31248.12</v>
      </c>
      <c r="Q22" s="323">
        <v>31457.48</v>
      </c>
      <c r="R22" s="323">
        <v>31678.560000000001</v>
      </c>
      <c r="S22" s="323">
        <v>31914.44</v>
      </c>
      <c r="T22" s="323">
        <v>32169.11</v>
      </c>
      <c r="U22" s="323">
        <v>32432.09</v>
      </c>
      <c r="V22" s="323">
        <v>32687.51</v>
      </c>
      <c r="W22" s="331">
        <v>32950.449999999997</v>
      </c>
      <c r="X22" s="315">
        <v>33169.86</v>
      </c>
      <c r="Y22" s="315">
        <v>33421.61</v>
      </c>
      <c r="Z22" s="315">
        <v>33667.85</v>
      </c>
      <c r="AA22" s="315">
        <v>33914.89</v>
      </c>
      <c r="AB22" s="315">
        <v>34161.65</v>
      </c>
    </row>
    <row r="23" spans="1:28">
      <c r="A23" s="319">
        <f t="shared" ref="A23:A25" si="1">RATE(8,,H23,-P23)</f>
        <v>3.2307740084318521E-3</v>
      </c>
      <c r="B23" s="320" t="s">
        <v>662</v>
      </c>
      <c r="G23" s="323">
        <v>29373.97</v>
      </c>
      <c r="H23" s="323">
        <v>29551.25</v>
      </c>
      <c r="I23" s="323">
        <v>29605.63</v>
      </c>
      <c r="J23" s="323">
        <v>29674.13</v>
      </c>
      <c r="K23" s="323">
        <v>29786.07</v>
      </c>
      <c r="L23" s="323">
        <v>29896.32</v>
      </c>
      <c r="M23" s="323">
        <v>29985.64</v>
      </c>
      <c r="N23" s="323">
        <v>30093.97</v>
      </c>
      <c r="O23" s="323">
        <v>30199.07</v>
      </c>
      <c r="P23" s="323">
        <v>30323.73</v>
      </c>
      <c r="Q23" s="323">
        <v>30458.04</v>
      </c>
      <c r="R23" s="323">
        <v>30594.18</v>
      </c>
      <c r="S23" s="323">
        <v>30751.57</v>
      </c>
      <c r="T23" s="323">
        <v>30922.06</v>
      </c>
      <c r="U23" s="323">
        <v>31079.98</v>
      </c>
      <c r="V23" s="323">
        <v>31211.360000000001</v>
      </c>
      <c r="W23" s="331">
        <v>31341.84</v>
      </c>
      <c r="X23" s="315">
        <v>31428.12</v>
      </c>
      <c r="Y23" s="315">
        <v>31572.2</v>
      </c>
      <c r="Z23" s="315">
        <v>31718.54</v>
      </c>
      <c r="AA23" s="315">
        <v>31872.35</v>
      </c>
      <c r="AB23" s="315">
        <v>32028.82</v>
      </c>
    </row>
    <row r="24" spans="1:28">
      <c r="A24" s="319">
        <f t="shared" si="1"/>
        <v>8.6108267737108404E-3</v>
      </c>
      <c r="B24" s="320" t="s">
        <v>663</v>
      </c>
      <c r="G24" s="323">
        <v>29373.97</v>
      </c>
      <c r="H24" s="323">
        <v>30112.74</v>
      </c>
      <c r="I24" s="323">
        <v>30355.85</v>
      </c>
      <c r="J24" s="323">
        <v>30574.29</v>
      </c>
      <c r="K24" s="323">
        <v>30846.27</v>
      </c>
      <c r="L24" s="323">
        <v>31121.91</v>
      </c>
      <c r="M24" s="323">
        <v>31386.799999999999</v>
      </c>
      <c r="N24" s="323">
        <v>31675.62</v>
      </c>
      <c r="O24" s="323">
        <v>31962.880000000001</v>
      </c>
      <c r="P24" s="323">
        <v>32250.71</v>
      </c>
      <c r="Q24" s="323">
        <v>32536.02</v>
      </c>
      <c r="R24" s="323">
        <v>32830.699999999997</v>
      </c>
      <c r="S24" s="323">
        <v>33140.18</v>
      </c>
      <c r="T24" s="323">
        <v>33454.92</v>
      </c>
      <c r="U24" s="323">
        <v>33756.199999999997</v>
      </c>
      <c r="V24" s="323">
        <v>34052.65</v>
      </c>
      <c r="W24" s="331">
        <v>34359.46</v>
      </c>
      <c r="X24" s="315">
        <v>34617.39</v>
      </c>
      <c r="Y24" s="315">
        <v>34902.36</v>
      </c>
      <c r="Z24" s="315">
        <v>35187.800000000003</v>
      </c>
      <c r="AA24" s="315">
        <v>35484.160000000003</v>
      </c>
      <c r="AB24" s="315">
        <v>35780.129999999997</v>
      </c>
    </row>
    <row r="25" spans="1:28" ht="13.5" thickBot="1">
      <c r="A25" s="319">
        <f t="shared" si="1"/>
        <v>7.8335315579953959E-3</v>
      </c>
      <c r="B25" s="332" t="s">
        <v>664</v>
      </c>
      <c r="C25" s="333"/>
      <c r="D25" s="333"/>
      <c r="E25" s="333"/>
      <c r="F25" s="333"/>
      <c r="G25" s="334">
        <v>32135.274936097296</v>
      </c>
      <c r="H25" s="334">
        <v>32349.973733001822</v>
      </c>
      <c r="I25" s="334">
        <v>32725.623668187014</v>
      </c>
      <c r="J25" s="334">
        <v>32960.878740267173</v>
      </c>
      <c r="K25" s="334">
        <v>33227.794115161487</v>
      </c>
      <c r="L25" s="334">
        <v>33500.87685035188</v>
      </c>
      <c r="M25" s="334">
        <v>33726.274681845141</v>
      </c>
      <c r="N25" s="334">
        <v>33975.040970904789</v>
      </c>
      <c r="O25" s="334">
        <v>34205.724304398449</v>
      </c>
      <c r="P25" s="334">
        <v>34433.753129945413</v>
      </c>
      <c r="Q25" s="334"/>
      <c r="R25" s="334"/>
      <c r="S25" s="334"/>
      <c r="T25" s="334"/>
      <c r="U25" s="334"/>
      <c r="V25" s="334"/>
      <c r="W25" s="335"/>
    </row>
    <row r="26" spans="1:28" ht="13.5" thickBot="1"/>
    <row r="27" spans="1:28">
      <c r="H27" s="317">
        <v>2015</v>
      </c>
      <c r="I27" s="317">
        <v>2016</v>
      </c>
      <c r="J27" s="317">
        <v>2017</v>
      </c>
      <c r="K27" s="317">
        <v>2018</v>
      </c>
      <c r="L27" s="317">
        <v>2019</v>
      </c>
      <c r="M27" s="317">
        <v>2020</v>
      </c>
      <c r="N27" s="317">
        <v>2021</v>
      </c>
      <c r="O27" s="317">
        <v>2022</v>
      </c>
      <c r="P27" s="317">
        <v>2023</v>
      </c>
      <c r="Q27" s="317">
        <v>2024</v>
      </c>
      <c r="R27" s="317">
        <v>2025</v>
      </c>
      <c r="S27" s="317">
        <v>2026</v>
      </c>
      <c r="T27" s="317">
        <v>2027</v>
      </c>
      <c r="U27" s="317">
        <v>2028</v>
      </c>
      <c r="V27" s="317">
        <v>2029</v>
      </c>
      <c r="W27" s="318">
        <v>2030</v>
      </c>
      <c r="X27" s="317">
        <v>2031</v>
      </c>
      <c r="Y27" s="318">
        <v>2032</v>
      </c>
      <c r="Z27" s="317">
        <v>2033</v>
      </c>
      <c r="AA27" s="318">
        <v>2034</v>
      </c>
      <c r="AB27" s="317">
        <v>2035</v>
      </c>
    </row>
    <row r="28" spans="1:28">
      <c r="C28" s="9">
        <v>21558.19</v>
      </c>
      <c r="D28" s="9">
        <v>21661.42</v>
      </c>
      <c r="E28" s="9">
        <v>21760.79</v>
      </c>
      <c r="F28" s="9">
        <v>21946.44</v>
      </c>
      <c r="G28" s="315" t="s">
        <v>665</v>
      </c>
      <c r="H28" s="3">
        <v>21558.19</v>
      </c>
      <c r="I28" s="3">
        <v>21661.42</v>
      </c>
      <c r="J28" s="3">
        <v>21760.79</v>
      </c>
      <c r="K28" s="3">
        <v>21946.44</v>
      </c>
      <c r="L28" s="3">
        <v>22054.69</v>
      </c>
      <c r="M28" s="3">
        <v>22143.919999999998</v>
      </c>
      <c r="N28" s="3">
        <v>22252.31</v>
      </c>
      <c r="O28" s="3">
        <v>22371.84</v>
      </c>
      <c r="P28" s="3">
        <v>22501.95</v>
      </c>
      <c r="Q28" s="3">
        <v>22645.08</v>
      </c>
      <c r="R28" s="3">
        <v>22804.33</v>
      </c>
      <c r="S28" s="3">
        <v>22970.71</v>
      </c>
      <c r="T28" s="3">
        <v>23153.25</v>
      </c>
      <c r="U28" s="3">
        <v>23348.19</v>
      </c>
      <c r="V28" s="3">
        <v>23538.93</v>
      </c>
      <c r="W28" s="3">
        <v>23740.32</v>
      </c>
      <c r="X28" s="3">
        <v>23901.99</v>
      </c>
      <c r="Y28" s="3">
        <v>24093.55</v>
      </c>
      <c r="Z28" s="3">
        <v>24283.27</v>
      </c>
      <c r="AA28" s="3">
        <v>24473.97</v>
      </c>
      <c r="AB28" s="3">
        <v>24666.28</v>
      </c>
    </row>
    <row r="29" spans="1:28">
      <c r="G29" s="315" t="s">
        <v>666</v>
      </c>
      <c r="H29" s="323">
        <f>H15</f>
        <v>21352.240000000002</v>
      </c>
      <c r="I29" s="323">
        <f t="shared" ref="I29:AB29" si="2">I15</f>
        <v>21427.94</v>
      </c>
      <c r="J29" s="323">
        <f t="shared" si="2"/>
        <v>21533.93</v>
      </c>
      <c r="K29" s="323">
        <f t="shared" si="2"/>
        <v>21739.39</v>
      </c>
      <c r="L29" s="323">
        <f t="shared" si="2"/>
        <v>21902.13</v>
      </c>
      <c r="M29" s="323">
        <f t="shared" si="2"/>
        <v>22040.799999999999</v>
      </c>
      <c r="N29" s="323">
        <f t="shared" si="2"/>
        <v>22195.55</v>
      </c>
      <c r="O29" s="323">
        <f t="shared" si="2"/>
        <v>22354.43</v>
      </c>
      <c r="P29" s="323">
        <f t="shared" si="2"/>
        <v>22521.24</v>
      </c>
      <c r="Q29" s="323">
        <f t="shared" si="2"/>
        <v>22700.7</v>
      </c>
      <c r="R29" s="323">
        <f t="shared" si="2"/>
        <v>22889.93</v>
      </c>
      <c r="S29" s="323">
        <f t="shared" si="2"/>
        <v>23090.63</v>
      </c>
      <c r="T29" s="323">
        <f t="shared" si="2"/>
        <v>23308.73</v>
      </c>
      <c r="U29" s="323">
        <f t="shared" si="2"/>
        <v>23537.66</v>
      </c>
      <c r="V29" s="323">
        <f t="shared" si="2"/>
        <v>23760.28</v>
      </c>
      <c r="W29" s="323">
        <f t="shared" si="2"/>
        <v>23986.59</v>
      </c>
      <c r="X29" s="323">
        <f t="shared" si="2"/>
        <v>24157.41</v>
      </c>
      <c r="Y29" s="323">
        <f t="shared" si="2"/>
        <v>24355.41</v>
      </c>
      <c r="Z29" s="323">
        <f t="shared" si="2"/>
        <v>24550.23</v>
      </c>
      <c r="AA29" s="323">
        <f t="shared" si="2"/>
        <v>24744.29</v>
      </c>
      <c r="AB29" s="323">
        <f t="shared" si="2"/>
        <v>24934.65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sheetPr codeName="Sheet12"/>
  <dimension ref="A7:AP50"/>
  <sheetViews>
    <sheetView topLeftCell="A22" workbookViewId="0">
      <selection activeCell="N46" sqref="N46"/>
    </sheetView>
  </sheetViews>
  <sheetFormatPr defaultRowHeight="12.75"/>
  <cols>
    <col min="2" max="2" width="21.5703125" bestFit="1" customWidth="1"/>
  </cols>
  <sheetData>
    <row r="7" spans="1:42">
      <c r="C7" s="4" t="s">
        <v>493</v>
      </c>
      <c r="W7" s="218" t="s">
        <v>502</v>
      </c>
    </row>
    <row r="8" spans="1:42">
      <c r="B8" s="219" t="s">
        <v>503</v>
      </c>
      <c r="C8" s="219">
        <v>2016</v>
      </c>
      <c r="D8" s="219">
        <f>C8+1</f>
        <v>2017</v>
      </c>
      <c r="E8" s="219">
        <f t="shared" ref="E8:V8" si="0">D8+1</f>
        <v>2018</v>
      </c>
      <c r="F8" s="219">
        <f t="shared" si="0"/>
        <v>2019</v>
      </c>
      <c r="G8" s="219">
        <f t="shared" si="0"/>
        <v>2020</v>
      </c>
      <c r="H8" s="219">
        <f t="shared" si="0"/>
        <v>2021</v>
      </c>
      <c r="I8" s="219">
        <f t="shared" si="0"/>
        <v>2022</v>
      </c>
      <c r="J8" s="219">
        <f t="shared" si="0"/>
        <v>2023</v>
      </c>
      <c r="K8" s="219">
        <f t="shared" si="0"/>
        <v>2024</v>
      </c>
      <c r="L8" s="219">
        <f t="shared" si="0"/>
        <v>2025</v>
      </c>
      <c r="M8" s="219">
        <f t="shared" si="0"/>
        <v>2026</v>
      </c>
      <c r="N8" s="219">
        <f t="shared" si="0"/>
        <v>2027</v>
      </c>
      <c r="O8" s="219">
        <f t="shared" si="0"/>
        <v>2028</v>
      </c>
      <c r="P8" s="219">
        <f t="shared" si="0"/>
        <v>2029</v>
      </c>
      <c r="Q8" s="219">
        <f t="shared" si="0"/>
        <v>2030</v>
      </c>
      <c r="R8" s="219">
        <f t="shared" si="0"/>
        <v>2031</v>
      </c>
      <c r="S8" s="219">
        <f t="shared" si="0"/>
        <v>2032</v>
      </c>
      <c r="T8" s="219">
        <f t="shared" si="0"/>
        <v>2033</v>
      </c>
      <c r="U8" s="219">
        <f t="shared" si="0"/>
        <v>2034</v>
      </c>
      <c r="V8" s="220">
        <f t="shared" si="0"/>
        <v>2035</v>
      </c>
      <c r="W8" s="221">
        <v>2016</v>
      </c>
      <c r="X8" s="219">
        <f>W8+1</f>
        <v>2017</v>
      </c>
      <c r="Y8" s="219">
        <f t="shared" ref="Y8:AP8" si="1">X8+1</f>
        <v>2018</v>
      </c>
      <c r="Z8" s="219">
        <f t="shared" si="1"/>
        <v>2019</v>
      </c>
      <c r="AA8" s="219">
        <f t="shared" si="1"/>
        <v>2020</v>
      </c>
      <c r="AB8" s="219">
        <f t="shared" si="1"/>
        <v>2021</v>
      </c>
      <c r="AC8" s="219">
        <f t="shared" si="1"/>
        <v>2022</v>
      </c>
      <c r="AD8" s="219">
        <f t="shared" si="1"/>
        <v>2023</v>
      </c>
      <c r="AE8" s="219">
        <f t="shared" si="1"/>
        <v>2024</v>
      </c>
      <c r="AF8" s="219">
        <f t="shared" si="1"/>
        <v>2025</v>
      </c>
      <c r="AG8" s="219">
        <f t="shared" si="1"/>
        <v>2026</v>
      </c>
      <c r="AH8" s="219">
        <f t="shared" si="1"/>
        <v>2027</v>
      </c>
      <c r="AI8" s="219">
        <f t="shared" si="1"/>
        <v>2028</v>
      </c>
      <c r="AJ8" s="219">
        <f t="shared" si="1"/>
        <v>2029</v>
      </c>
      <c r="AK8" s="219">
        <f t="shared" si="1"/>
        <v>2030</v>
      </c>
      <c r="AL8" s="219">
        <f t="shared" si="1"/>
        <v>2031</v>
      </c>
      <c r="AM8" s="219">
        <f t="shared" si="1"/>
        <v>2032</v>
      </c>
      <c r="AN8" s="219">
        <f t="shared" si="1"/>
        <v>2033</v>
      </c>
      <c r="AO8" s="219">
        <f t="shared" si="1"/>
        <v>2034</v>
      </c>
      <c r="AP8" s="219">
        <f t="shared" si="1"/>
        <v>2035</v>
      </c>
    </row>
    <row r="9" spans="1:42">
      <c r="C9" s="222"/>
      <c r="D9" s="222"/>
      <c r="E9" s="222"/>
      <c r="F9" s="222"/>
      <c r="G9" s="222"/>
      <c r="H9" s="222"/>
      <c r="I9" s="222"/>
      <c r="J9" s="222"/>
      <c r="K9" s="222"/>
      <c r="L9" s="222"/>
      <c r="M9" s="222"/>
      <c r="N9" s="222"/>
      <c r="O9" s="222"/>
      <c r="P9" s="222"/>
      <c r="Q9" s="222"/>
      <c r="R9" s="222"/>
      <c r="S9" s="222"/>
      <c r="T9" s="222"/>
      <c r="U9" s="222"/>
      <c r="V9" s="223"/>
      <c r="W9" s="224"/>
      <c r="X9" s="36"/>
      <c r="Y9" s="36"/>
      <c r="Z9" s="36"/>
      <c r="AA9" s="36"/>
      <c r="AB9" s="36"/>
      <c r="AC9" s="36"/>
      <c r="AD9" s="36"/>
      <c r="AE9" s="36"/>
      <c r="AF9" s="36"/>
      <c r="AG9" s="36"/>
      <c r="AH9" s="36"/>
      <c r="AI9" s="36"/>
      <c r="AJ9" s="36"/>
      <c r="AK9" s="36"/>
      <c r="AL9" s="36"/>
      <c r="AM9" s="36"/>
      <c r="AN9" s="36"/>
      <c r="AO9" s="36"/>
      <c r="AP9" s="36"/>
    </row>
    <row r="10" spans="1:42">
      <c r="A10" t="s">
        <v>504</v>
      </c>
      <c r="B10" s="233" t="s">
        <v>483</v>
      </c>
      <c r="C10" s="116">
        <f t="shared" ref="C10:C17" si="2">W10</f>
        <v>0.43347012036671112</v>
      </c>
      <c r="D10" s="116">
        <f t="shared" ref="D10:S17" si="3">X10-W10</f>
        <v>0.19536681481316559</v>
      </c>
      <c r="E10" s="116">
        <f t="shared" si="3"/>
        <v>0.15629345185053245</v>
      </c>
      <c r="F10" s="116">
        <f t="shared" si="3"/>
        <v>0.10419563456702174</v>
      </c>
      <c r="G10" s="116">
        <f t="shared" si="3"/>
        <v>5.9540362609726505E-2</v>
      </c>
      <c r="H10" s="116">
        <f t="shared" si="3"/>
        <v>2.9770181304863419E-2</v>
      </c>
      <c r="I10" s="116">
        <f t="shared" si="3"/>
        <v>1.3231191691050248E-2</v>
      </c>
      <c r="J10" s="116">
        <f t="shared" si="3"/>
        <v>5.2924766764202991E-3</v>
      </c>
      <c r="K10" s="116">
        <f t="shared" si="3"/>
        <v>1.9245369732436846E-3</v>
      </c>
      <c r="L10" s="116">
        <f t="shared" si="3"/>
        <v>6.415123244144505E-4</v>
      </c>
      <c r="M10" s="116">
        <f t="shared" si="3"/>
        <v>1.9738840751215569E-4</v>
      </c>
      <c r="N10" s="116">
        <f t="shared" si="3"/>
        <v>5.6396687860615913E-5</v>
      </c>
      <c r="O10" s="116">
        <f t="shared" si="3"/>
        <v>1.5039116763038152E-5</v>
      </c>
      <c r="P10" s="116">
        <f t="shared" si="3"/>
        <v>3.7597791905374933E-6</v>
      </c>
      <c r="Q10" s="116">
        <f t="shared" si="3"/>
        <v>8.8465392733549919E-7</v>
      </c>
      <c r="R10" s="116">
        <f t="shared" si="3"/>
        <v>1.9658976146974538E-7</v>
      </c>
      <c r="S10" s="116">
        <f t="shared" si="3"/>
        <v>4.13873183502389E-8</v>
      </c>
      <c r="T10" s="116">
        <f t="shared" ref="N10:V17" si="4">AN10-AM10</f>
        <v>8.2774636034343985E-9</v>
      </c>
      <c r="U10" s="116">
        <f t="shared" si="4"/>
        <v>1.5766598027155965E-9</v>
      </c>
      <c r="V10" s="225">
        <f t="shared" si="4"/>
        <v>2.8666535811794347E-10</v>
      </c>
      <c r="W10" s="226">
        <f>'[6]LO Generic'!D22</f>
        <v>0.43347012036671112</v>
      </c>
      <c r="X10" s="204">
        <f>'[6]LO Generic'!E22</f>
        <v>0.62883693517987671</v>
      </c>
      <c r="Y10" s="204">
        <f>'[6]LO Generic'!F22</f>
        <v>0.78513038703040916</v>
      </c>
      <c r="Z10" s="204">
        <f>'[6]LO Generic'!G22</f>
        <v>0.8893260215974309</v>
      </c>
      <c r="AA10" s="204">
        <f>'[6]LO Generic'!H22</f>
        <v>0.94886638420715741</v>
      </c>
      <c r="AB10" s="204">
        <f>'[6]LO Generic'!I22</f>
        <v>0.97863656551202083</v>
      </c>
      <c r="AC10" s="204">
        <f>'[6]LO Generic'!J22</f>
        <v>0.99186775720307108</v>
      </c>
      <c r="AD10" s="204">
        <f>'[6]LO Generic'!K22</f>
        <v>0.99716023387949138</v>
      </c>
      <c r="AE10" s="204">
        <f>'[6]LO Generic'!L22</f>
        <v>0.99908477085273506</v>
      </c>
      <c r="AF10" s="204">
        <f>'[6]LO Generic'!M22</f>
        <v>0.99972628317714951</v>
      </c>
      <c r="AG10" s="204">
        <f>'[6]LO Generic'!N22</f>
        <v>0.99992367158466167</v>
      </c>
      <c r="AH10" s="204">
        <f>'[6]LO Generic'!O22</f>
        <v>0.99998006827252228</v>
      </c>
      <c r="AI10" s="204">
        <f>'[6]LO Generic'!P22</f>
        <v>0.99999510738928532</v>
      </c>
      <c r="AJ10" s="204">
        <f>'[6]LO Generic'!Q22</f>
        <v>0.99999886716847586</v>
      </c>
      <c r="AK10" s="204">
        <f>'[6]LO Generic'!R22</f>
        <v>0.99999975182240319</v>
      </c>
      <c r="AL10" s="204">
        <f>'[6]LO Generic'!S22</f>
        <v>0.99999994841216466</v>
      </c>
      <c r="AM10" s="204">
        <f>'[6]LO Generic'!T22</f>
        <v>0.99999998979948301</v>
      </c>
      <c r="AN10" s="204">
        <f>'[6]LO Generic'!U22</f>
        <v>0.99999999807694662</v>
      </c>
      <c r="AO10" s="204">
        <f>'[6]LO Generic'!V22</f>
        <v>0.99999999965360642</v>
      </c>
      <c r="AP10" s="204">
        <f>'[6]LO Generic'!W22</f>
        <v>0.99999999994027178</v>
      </c>
    </row>
    <row r="11" spans="1:42">
      <c r="B11" s="233" t="s">
        <v>482</v>
      </c>
      <c r="C11" s="116">
        <f t="shared" si="2"/>
        <v>0.13206185628772221</v>
      </c>
      <c r="D11" s="116">
        <f t="shared" si="3"/>
        <v>0.10937459468255628</v>
      </c>
      <c r="E11" s="116">
        <f t="shared" si="3"/>
        <v>0.13671824335319538</v>
      </c>
      <c r="F11" s="116">
        <f t="shared" si="3"/>
        <v>0.14648383216413791</v>
      </c>
      <c r="G11" s="116">
        <f t="shared" si="3"/>
        <v>0.13732859265387931</v>
      </c>
      <c r="H11" s="116">
        <f t="shared" si="3"/>
        <v>0.11444049387823274</v>
      </c>
      <c r="I11" s="116">
        <f t="shared" si="3"/>
        <v>8.5830370408674583E-2</v>
      </c>
      <c r="J11" s="116">
        <f t="shared" si="3"/>
        <v>5.8520707096823443E-2</v>
      </c>
      <c r="K11" s="116">
        <f t="shared" si="3"/>
        <v>3.6575441935514763E-2</v>
      </c>
      <c r="L11" s="116">
        <f t="shared" si="3"/>
        <v>2.1101216501258402E-2</v>
      </c>
      <c r="M11" s="116">
        <f t="shared" si="3"/>
        <v>1.1304223125674251E-2</v>
      </c>
      <c r="N11" s="116">
        <f t="shared" si="4"/>
        <v>5.652111562837181E-3</v>
      </c>
      <c r="O11" s="116">
        <f t="shared" si="4"/>
        <v>2.6494272950797759E-3</v>
      </c>
      <c r="P11" s="116">
        <f t="shared" si="4"/>
        <v>1.1688649831235187E-3</v>
      </c>
      <c r="Q11" s="116">
        <f t="shared" si="4"/>
        <v>4.8702707630143838E-4</v>
      </c>
      <c r="R11" s="116">
        <f t="shared" si="4"/>
        <v>1.922475301190385E-4</v>
      </c>
      <c r="S11" s="116">
        <f t="shared" si="4"/>
        <v>7.2092823794611682E-5</v>
      </c>
      <c r="T11" s="116">
        <f t="shared" si="4"/>
        <v>2.5747437069512102E-5</v>
      </c>
      <c r="U11" s="116">
        <f t="shared" si="4"/>
        <v>8.7775353646568632E-6</v>
      </c>
      <c r="V11" s="225">
        <f t="shared" si="4"/>
        <v>2.8622397928446119E-6</v>
      </c>
      <c r="W11" s="226">
        <f>'[6]LO Generic'!D25</f>
        <v>0.13206185628772221</v>
      </c>
      <c r="X11" s="204">
        <f>'[6]LO Generic'!E25</f>
        <v>0.24143645097027849</v>
      </c>
      <c r="Y11" s="204">
        <f>'[6]LO Generic'!F25</f>
        <v>0.37815469432347387</v>
      </c>
      <c r="Z11" s="204">
        <f>'[6]LO Generic'!G25</f>
        <v>0.52463852648761178</v>
      </c>
      <c r="AA11" s="204">
        <f>'[6]LO Generic'!H25</f>
        <v>0.66196711914149109</v>
      </c>
      <c r="AB11" s="204">
        <f>'[6]LO Generic'!I25</f>
        <v>0.77640761301972383</v>
      </c>
      <c r="AC11" s="204">
        <f>'[6]LO Generic'!J25</f>
        <v>0.86223798342839841</v>
      </c>
      <c r="AD11" s="204">
        <f>'[6]LO Generic'!K25</f>
        <v>0.92075869052522186</v>
      </c>
      <c r="AE11" s="204">
        <f>'[6]LO Generic'!L25</f>
        <v>0.95733413246073662</v>
      </c>
      <c r="AF11" s="204">
        <f>'[6]LO Generic'!M25</f>
        <v>0.97843534896199502</v>
      </c>
      <c r="AG11" s="204">
        <f>'[6]LO Generic'!N25</f>
        <v>0.98973957208766927</v>
      </c>
      <c r="AH11" s="204">
        <f>'[6]LO Generic'!O25</f>
        <v>0.99539168365050645</v>
      </c>
      <c r="AI11" s="204">
        <f>'[6]LO Generic'!P25</f>
        <v>0.99804111094558623</v>
      </c>
      <c r="AJ11" s="204">
        <f>'[6]LO Generic'!Q25</f>
        <v>0.99920997592870975</v>
      </c>
      <c r="AK11" s="204">
        <f>'[6]LO Generic'!R25</f>
        <v>0.99969700300501119</v>
      </c>
      <c r="AL11" s="204">
        <f>'[6]LO Generic'!S25</f>
        <v>0.99988925053513023</v>
      </c>
      <c r="AM11" s="204">
        <f>'[6]LO Generic'!T25</f>
        <v>0.99996134335892484</v>
      </c>
      <c r="AN11" s="204">
        <f>'[6]LO Generic'!U25</f>
        <v>0.99998709079599435</v>
      </c>
      <c r="AO11" s="204">
        <f>'[6]LO Generic'!V25</f>
        <v>0.99999586833135901</v>
      </c>
      <c r="AP11" s="204">
        <f>'[6]LO Generic'!W25</f>
        <v>0.99999873057115185</v>
      </c>
    </row>
    <row r="12" spans="1:42">
      <c r="B12" s="233" t="s">
        <v>499</v>
      </c>
      <c r="C12" s="116">
        <f t="shared" si="2"/>
        <v>6.4608251467478173E-2</v>
      </c>
      <c r="D12" s="116">
        <f t="shared" si="3"/>
        <v>3.8298836634102607E-2</v>
      </c>
      <c r="E12" s="116">
        <f t="shared" si="3"/>
        <v>5.279714228027832E-2</v>
      </c>
      <c r="F12" s="116">
        <f t="shared" si="3"/>
        <v>6.9052518466104051E-2</v>
      </c>
      <c r="G12" s="116">
        <f t="shared" si="3"/>
        <v>8.5546997470333563E-2</v>
      </c>
      <c r="H12" s="116">
        <f t="shared" si="3"/>
        <v>0.10001472303820647</v>
      </c>
      <c r="I12" s="116">
        <f t="shared" si="3"/>
        <v>0.10971770435235073</v>
      </c>
      <c r="J12" s="116">
        <f t="shared" si="3"/>
        <v>0.11208438511970376</v>
      </c>
      <c r="K12" s="116">
        <f t="shared" si="3"/>
        <v>0.10562608162722853</v>
      </c>
      <c r="L12" s="116">
        <f t="shared" si="3"/>
        <v>9.0794563997872335E-2</v>
      </c>
      <c r="M12" s="116">
        <f t="shared" si="3"/>
        <v>7.0260666991849297E-2</v>
      </c>
      <c r="N12" s="116">
        <f t="shared" si="4"/>
        <v>4.8218360404944538E-2</v>
      </c>
      <c r="O12" s="116">
        <f t="shared" si="4"/>
        <v>2.8854234614640095E-2</v>
      </c>
      <c r="P12" s="116">
        <f t="shared" si="4"/>
        <v>1.4773964924806759E-2</v>
      </c>
      <c r="Q12" s="116">
        <f t="shared" si="4"/>
        <v>6.3385343681182649E-3</v>
      </c>
      <c r="R12" s="116">
        <f t="shared" si="4"/>
        <v>2.2268577196306039E-3</v>
      </c>
      <c r="S12" s="116">
        <f t="shared" si="4"/>
        <v>6.2471001963848583E-4</v>
      </c>
      <c r="T12" s="116">
        <f t="shared" si="4"/>
        <v>1.3615841889635938E-4</v>
      </c>
      <c r="U12" s="116">
        <f t="shared" si="4"/>
        <v>2.2380636622298944E-5</v>
      </c>
      <c r="V12" s="225">
        <f t="shared" si="4"/>
        <v>2.68643837586513E-6</v>
      </c>
      <c r="W12" s="227">
        <f>'[6]LO Generic'!D26</f>
        <v>6.4608251467478173E-2</v>
      </c>
      <c r="X12" s="228">
        <f>'[6]LO Generic'!E26</f>
        <v>0.10290708810158078</v>
      </c>
      <c r="Y12" s="228">
        <f>'[6]LO Generic'!F26</f>
        <v>0.1557042303818591</v>
      </c>
      <c r="Z12" s="228">
        <f>'[6]LO Generic'!G26</f>
        <v>0.22475674884796315</v>
      </c>
      <c r="AA12" s="228">
        <f>'[6]LO Generic'!H26</f>
        <v>0.31030374631829671</v>
      </c>
      <c r="AB12" s="228">
        <f>'[6]LO Generic'!I26</f>
        <v>0.41031846935650318</v>
      </c>
      <c r="AC12" s="228">
        <f>'[6]LO Generic'!J26</f>
        <v>0.52003617370885391</v>
      </c>
      <c r="AD12" s="228">
        <f>'[6]LO Generic'!K26</f>
        <v>0.63212055882855767</v>
      </c>
      <c r="AE12" s="228">
        <f>'[6]LO Generic'!L26</f>
        <v>0.7377466404557862</v>
      </c>
      <c r="AF12" s="228">
        <f>'[6]LO Generic'!M26</f>
        <v>0.82854120445365853</v>
      </c>
      <c r="AG12" s="228">
        <f>'[6]LO Generic'!N26</f>
        <v>0.89880187144550783</v>
      </c>
      <c r="AH12" s="228">
        <f>'[6]LO Generic'!O26</f>
        <v>0.94702023185045237</v>
      </c>
      <c r="AI12" s="228">
        <f>'[6]LO Generic'!P26</f>
        <v>0.97587446646509246</v>
      </c>
      <c r="AJ12" s="228">
        <f>'[6]LO Generic'!Q26</f>
        <v>0.99064843138989922</v>
      </c>
      <c r="AK12" s="228">
        <f>'[6]LO Generic'!R26</f>
        <v>0.99698696575801748</v>
      </c>
      <c r="AL12" s="228">
        <f>'[6]LO Generic'!S26</f>
        <v>0.99921382347764809</v>
      </c>
      <c r="AM12" s="228">
        <f>'[6]LO Generic'!T26</f>
        <v>0.99983853349728657</v>
      </c>
      <c r="AN12" s="228">
        <f>'[6]LO Generic'!U26</f>
        <v>0.99997469191618293</v>
      </c>
      <c r="AO12" s="228">
        <f>'[6]LO Generic'!V26</f>
        <v>0.99999707255280523</v>
      </c>
      <c r="AP12" s="228">
        <f>'[6]LO Generic'!W26</f>
        <v>0.9999997589911811</v>
      </c>
    </row>
    <row r="13" spans="1:42">
      <c r="B13" s="233" t="s">
        <v>484</v>
      </c>
      <c r="C13" s="116">
        <f t="shared" si="2"/>
        <v>0.22119921692859512</v>
      </c>
      <c r="D13" s="116">
        <f t="shared" si="3"/>
        <v>0.17227012335877145</v>
      </c>
      <c r="E13" s="116">
        <f t="shared" si="3"/>
        <v>0.13416410697161874</v>
      </c>
      <c r="F13" s="116">
        <f t="shared" si="3"/>
        <v>0.10448711156957236</v>
      </c>
      <c r="G13" s="116">
        <f t="shared" si="3"/>
        <v>8.1374644311252187E-2</v>
      </c>
      <c r="H13" s="116">
        <f t="shared" si="3"/>
        <v>6.3374636711760357E-2</v>
      </c>
      <c r="I13" s="116">
        <f t="shared" si="3"/>
        <v>4.9356216697984623E-2</v>
      </c>
      <c r="J13" s="116">
        <f t="shared" si="3"/>
        <v>3.8438660213832465E-2</v>
      </c>
      <c r="K13" s="116">
        <f t="shared" si="3"/>
        <v>2.9936058674748356E-2</v>
      </c>
      <c r="L13" s="116">
        <f t="shared" si="3"/>
        <v>2.3314225937965505E-2</v>
      </c>
      <c r="M13" s="116">
        <f t="shared" si="3"/>
        <v>1.8157137417191271E-2</v>
      </c>
      <c r="N13" s="116">
        <f t="shared" si="4"/>
        <v>1.4140792838843619E-2</v>
      </c>
      <c r="O13" s="116">
        <f t="shared" si="4"/>
        <v>1.1012860536141922E-2</v>
      </c>
      <c r="P13" s="116">
        <f t="shared" si="4"/>
        <v>8.5768244094035495E-3</v>
      </c>
      <c r="Q13" s="116">
        <f t="shared" si="4"/>
        <v>6.6796375663094043E-3</v>
      </c>
      <c r="R13" s="116">
        <f t="shared" si="4"/>
        <v>5.2021069672748554E-3</v>
      </c>
      <c r="S13" s="116">
        <f t="shared" si="4"/>
        <v>4.051404979734996E-3</v>
      </c>
      <c r="T13" s="116">
        <f t="shared" si="4"/>
        <v>3.1552373707569581E-3</v>
      </c>
      <c r="U13" s="116">
        <f t="shared" si="4"/>
        <v>2.4573013351216755E-3</v>
      </c>
      <c r="V13" s="225">
        <f t="shared" si="4"/>
        <v>1.913748204035115E-3</v>
      </c>
      <c r="W13" s="224">
        <f>'[6]LO Generic'!D27</f>
        <v>0.22119921692859512</v>
      </c>
      <c r="X13" s="36">
        <f>'[6]LO Generic'!E27</f>
        <v>0.39346934028736658</v>
      </c>
      <c r="Y13" s="36">
        <f>'[6]LO Generic'!F27</f>
        <v>0.52763344725898531</v>
      </c>
      <c r="Z13" s="36">
        <f>'[6]LO Generic'!G27</f>
        <v>0.63212055882855767</v>
      </c>
      <c r="AA13" s="36">
        <f>'[6]LO Generic'!H27</f>
        <v>0.71349520313980985</v>
      </c>
      <c r="AB13" s="36">
        <f>'[6]LO Generic'!I27</f>
        <v>0.77686983985157021</v>
      </c>
      <c r="AC13" s="36">
        <f>'[6]LO Generic'!J27</f>
        <v>0.82622605654955483</v>
      </c>
      <c r="AD13" s="36">
        <f>'[6]LO Generic'!K27</f>
        <v>0.8646647167633873</v>
      </c>
      <c r="AE13" s="36">
        <f>'[6]LO Generic'!L27</f>
        <v>0.89460077543813565</v>
      </c>
      <c r="AF13" s="36">
        <f>'[6]LO Generic'!M27</f>
        <v>0.91791500137610116</v>
      </c>
      <c r="AG13" s="36">
        <f>'[6]LO Generic'!N27</f>
        <v>0.93607213879329243</v>
      </c>
      <c r="AH13" s="36">
        <f>'[6]LO Generic'!O27</f>
        <v>0.95021293163213605</v>
      </c>
      <c r="AI13" s="36">
        <f>'[6]LO Generic'!P27</f>
        <v>0.96122579216827797</v>
      </c>
      <c r="AJ13" s="36">
        <f>'[6]LO Generic'!Q27</f>
        <v>0.96980261657768152</v>
      </c>
      <c r="AK13" s="36">
        <f>'[6]LO Generic'!R27</f>
        <v>0.97648225414399092</v>
      </c>
      <c r="AL13" s="36">
        <f>'[6]LO Generic'!S27</f>
        <v>0.98168436111126578</v>
      </c>
      <c r="AM13" s="36">
        <f>'[6]LO Generic'!T27</f>
        <v>0.98573576609100078</v>
      </c>
      <c r="AN13" s="36">
        <f>'[6]LO Generic'!U27</f>
        <v>0.98889100346175773</v>
      </c>
      <c r="AO13" s="36">
        <f>'[6]LO Generic'!V27</f>
        <v>0.99134830479687941</v>
      </c>
      <c r="AP13" s="36">
        <f>'[6]LO Generic'!W27</f>
        <v>0.99326205300091452</v>
      </c>
    </row>
    <row r="14" spans="1:42">
      <c r="B14" s="233" t="s">
        <v>500</v>
      </c>
      <c r="C14" s="116">
        <f t="shared" si="2"/>
        <v>2.1485685902110623E-2</v>
      </c>
      <c r="D14" s="116">
        <f t="shared" si="3"/>
        <v>2.5643970768378654E-3</v>
      </c>
      <c r="E14" s="116">
        <f t="shared" si="3"/>
        <v>5.1260615529385989E-3</v>
      </c>
      <c r="F14" s="116">
        <f t="shared" si="3"/>
        <v>9.1015544176433795E-3</v>
      </c>
      <c r="G14" s="116">
        <f t="shared" si="3"/>
        <v>1.4804925730045659E-2</v>
      </c>
      <c r="H14" s="116">
        <f t="shared" si="3"/>
        <v>2.2471809420486211E-2</v>
      </c>
      <c r="I14" s="116">
        <f t="shared" si="3"/>
        <v>3.2184432813882391E-2</v>
      </c>
      <c r="J14" s="116">
        <f t="shared" si="3"/>
        <v>4.3779667172004086E-2</v>
      </c>
      <c r="K14" s="116">
        <f t="shared" si="3"/>
        <v>5.675426075474499E-2</v>
      </c>
      <c r="L14" s="116">
        <f t="shared" si="3"/>
        <v>7.0195239068707532E-2</v>
      </c>
      <c r="M14" s="116">
        <f t="shared" si="3"/>
        <v>8.2776861842756788E-2</v>
      </c>
      <c r="N14" s="116">
        <f t="shared" si="4"/>
        <v>9.2870259507494834E-2</v>
      </c>
      <c r="O14" s="116">
        <f t="shared" si="4"/>
        <v>9.8796470678915727E-2</v>
      </c>
      <c r="P14" s="116">
        <f t="shared" si="4"/>
        <v>9.9208932889988999E-2</v>
      </c>
      <c r="Q14" s="116">
        <f t="shared" si="4"/>
        <v>9.3521150494244254E-2</v>
      </c>
      <c r="R14" s="116">
        <f t="shared" si="4"/>
        <v>8.2226007896862296E-2</v>
      </c>
      <c r="S14" s="116">
        <f t="shared" si="4"/>
        <v>6.6933566027365665E-2</v>
      </c>
      <c r="T14" s="116">
        <f t="shared" si="4"/>
        <v>5.0029565143448806E-2</v>
      </c>
      <c r="U14" s="116">
        <f t="shared" si="4"/>
        <v>3.402486521893211E-2</v>
      </c>
      <c r="V14" s="225">
        <f t="shared" si="4"/>
        <v>2.0846059340774659E-2</v>
      </c>
      <c r="W14" s="229">
        <f>'[6]LO Generic'!D28</f>
        <v>2.1485685902110623E-2</v>
      </c>
      <c r="X14" s="222">
        <f>'[6]LO Generic'!E28</f>
        <v>2.4050082978948489E-2</v>
      </c>
      <c r="Y14" s="222">
        <f>'[6]LO Generic'!F28</f>
        <v>2.9176144531887088E-2</v>
      </c>
      <c r="Z14" s="222">
        <f>'[6]LO Generic'!G28</f>
        <v>3.8277698949530467E-2</v>
      </c>
      <c r="AA14" s="222">
        <f>'[6]LO Generic'!H28</f>
        <v>5.3082624679576126E-2</v>
      </c>
      <c r="AB14" s="222">
        <f>'[6]LO Generic'!I28</f>
        <v>7.5554434100062337E-2</v>
      </c>
      <c r="AC14" s="222">
        <f>'[6]LO Generic'!J28</f>
        <v>0.10773886691394473</v>
      </c>
      <c r="AD14" s="222">
        <f>'[6]LO Generic'!K28</f>
        <v>0.15151853408594881</v>
      </c>
      <c r="AE14" s="222">
        <f>'[6]LO Generic'!L28</f>
        <v>0.2082727948406938</v>
      </c>
      <c r="AF14" s="222">
        <f>'[6]LO Generic'!M28</f>
        <v>0.27846803390940134</v>
      </c>
      <c r="AG14" s="222">
        <f>'[6]LO Generic'!N28</f>
        <v>0.36124489575215812</v>
      </c>
      <c r="AH14" s="222">
        <f>'[6]LO Generic'!O28</f>
        <v>0.45411515525965296</v>
      </c>
      <c r="AI14" s="222">
        <f>'[6]LO Generic'!P28</f>
        <v>0.55291162593856868</v>
      </c>
      <c r="AJ14" s="222">
        <f>'[6]LO Generic'!Q28</f>
        <v>0.65212055882855768</v>
      </c>
      <c r="AK14" s="222">
        <f>'[6]LO Generic'!R28</f>
        <v>0.74564170932280194</v>
      </c>
      <c r="AL14" s="222">
        <f>'[6]LO Generic'!S28</f>
        <v>0.82786771721966423</v>
      </c>
      <c r="AM14" s="222">
        <f>'[6]LO Generic'!T28</f>
        <v>0.8948012832470299</v>
      </c>
      <c r="AN14" s="222">
        <f>'[6]LO Generic'!U28</f>
        <v>0.94483084839047871</v>
      </c>
      <c r="AO14" s="222">
        <f>'[6]LO Generic'!V28</f>
        <v>0.97885571360941082</v>
      </c>
      <c r="AP14" s="222">
        <f>'[6]LO Generic'!W28</f>
        <v>0.99970177295018547</v>
      </c>
    </row>
    <row r="15" spans="1:42">
      <c r="B15" s="233" t="s">
        <v>485</v>
      </c>
      <c r="C15" s="116">
        <f t="shared" si="2"/>
        <v>0.03</v>
      </c>
      <c r="D15" s="116">
        <f t="shared" si="3"/>
        <v>5.1052631578947363E-2</v>
      </c>
      <c r="E15" s="116">
        <f t="shared" si="3"/>
        <v>5.1052631578947363E-2</v>
      </c>
      <c r="F15" s="116">
        <f t="shared" si="3"/>
        <v>5.1052631578947377E-2</v>
      </c>
      <c r="G15" s="116">
        <f t="shared" si="3"/>
        <v>5.1052631578947349E-2</v>
      </c>
      <c r="H15" s="116">
        <f t="shared" si="3"/>
        <v>5.1052631578947322E-2</v>
      </c>
      <c r="I15" s="116">
        <f t="shared" si="3"/>
        <v>5.1052631578947461E-2</v>
      </c>
      <c r="J15" s="116">
        <f t="shared" si="3"/>
        <v>5.1052631578947349E-2</v>
      </c>
      <c r="K15" s="116">
        <f t="shared" si="3"/>
        <v>5.1052631578947349E-2</v>
      </c>
      <c r="L15" s="116">
        <f t="shared" si="3"/>
        <v>5.1052631578947349E-2</v>
      </c>
      <c r="M15" s="116">
        <f t="shared" si="3"/>
        <v>5.1052631578947349E-2</v>
      </c>
      <c r="N15" s="116">
        <f t="shared" si="4"/>
        <v>5.1052631578947461E-2</v>
      </c>
      <c r="O15" s="116">
        <f t="shared" si="4"/>
        <v>5.1052631578947349E-2</v>
      </c>
      <c r="P15" s="116">
        <f t="shared" si="4"/>
        <v>5.1052631578947349E-2</v>
      </c>
      <c r="Q15" s="116">
        <f t="shared" si="4"/>
        <v>5.1052631578947349E-2</v>
      </c>
      <c r="R15" s="116">
        <f t="shared" si="4"/>
        <v>5.1052631578947349E-2</v>
      </c>
      <c r="S15" s="116">
        <f t="shared" si="4"/>
        <v>5.1052631578947349E-2</v>
      </c>
      <c r="T15" s="116">
        <f t="shared" si="4"/>
        <v>5.1052631578947461E-2</v>
      </c>
      <c r="U15" s="116">
        <f t="shared" si="4"/>
        <v>5.1052631578947238E-2</v>
      </c>
      <c r="V15" s="225">
        <f t="shared" si="4"/>
        <v>5.1052631578947461E-2</v>
      </c>
      <c r="W15" s="226">
        <f>'[6]LO Generic'!D19</f>
        <v>0.03</v>
      </c>
      <c r="X15" s="204">
        <f>'[6]LO Generic'!E19</f>
        <v>8.1052631578947362E-2</v>
      </c>
      <c r="Y15" s="204">
        <f>'[6]LO Generic'!F19</f>
        <v>0.13210526315789473</v>
      </c>
      <c r="Z15" s="204">
        <f>'[6]LO Generic'!G19</f>
        <v>0.1831578947368421</v>
      </c>
      <c r="AA15" s="204">
        <f>'[6]LO Generic'!H19</f>
        <v>0.23421052631578945</v>
      </c>
      <c r="AB15" s="204">
        <f>'[6]LO Generic'!I19</f>
        <v>0.28526315789473677</v>
      </c>
      <c r="AC15" s="204">
        <f>'[6]LO Generic'!J19</f>
        <v>0.33631578947368423</v>
      </c>
      <c r="AD15" s="204">
        <f>'[6]LO Generic'!K19</f>
        <v>0.38736842105263158</v>
      </c>
      <c r="AE15" s="204">
        <f>'[6]LO Generic'!L19</f>
        <v>0.43842105263157893</v>
      </c>
      <c r="AF15" s="204">
        <f>'[6]LO Generic'!M19</f>
        <v>0.48947368421052628</v>
      </c>
      <c r="AG15" s="204">
        <f>'[6]LO Generic'!N19</f>
        <v>0.54052631578947363</v>
      </c>
      <c r="AH15" s="204">
        <f>'[6]LO Generic'!O19</f>
        <v>0.59157894736842109</v>
      </c>
      <c r="AI15" s="204">
        <f>'[6]LO Generic'!P19</f>
        <v>0.64263157894736844</v>
      </c>
      <c r="AJ15" s="204">
        <f>'[6]LO Generic'!Q19</f>
        <v>0.69368421052631579</v>
      </c>
      <c r="AK15" s="204">
        <f>'[6]LO Generic'!R19</f>
        <v>0.74473684210526314</v>
      </c>
      <c r="AL15" s="204">
        <f>'[6]LO Generic'!S19</f>
        <v>0.79578947368421049</v>
      </c>
      <c r="AM15" s="204">
        <f>'[6]LO Generic'!T19</f>
        <v>0.84684210526315784</v>
      </c>
      <c r="AN15" s="204">
        <f>'[6]LO Generic'!U19</f>
        <v>0.8978947368421053</v>
      </c>
      <c r="AO15" s="204">
        <f>'[6]LO Generic'!V19</f>
        <v>0.94894736842105254</v>
      </c>
      <c r="AP15" s="204">
        <f>'[6]LO Generic'!W19</f>
        <v>1</v>
      </c>
    </row>
    <row r="16" spans="1:42">
      <c r="B16" s="233" t="s">
        <v>486</v>
      </c>
      <c r="C16" s="116">
        <f t="shared" si="2"/>
        <v>0.01</v>
      </c>
      <c r="D16" s="116">
        <f t="shared" si="3"/>
        <v>1.9799999999999998E-2</v>
      </c>
      <c r="E16" s="116">
        <f t="shared" si="3"/>
        <v>2.9106E-2</v>
      </c>
      <c r="F16" s="116">
        <f t="shared" si="3"/>
        <v>3.7643759999999998E-2</v>
      </c>
      <c r="G16" s="116">
        <f t="shared" si="3"/>
        <v>4.5172511999999984E-2</v>
      </c>
      <c r="H16" s="116">
        <f t="shared" si="3"/>
        <v>4.8635737920000005E-2</v>
      </c>
      <c r="I16" s="116">
        <f t="shared" si="3"/>
        <v>4.587971277120001E-2</v>
      </c>
      <c r="J16" s="116">
        <f t="shared" si="3"/>
        <v>4.3279862380832007E-2</v>
      </c>
      <c r="K16" s="116">
        <f t="shared" si="3"/>
        <v>4.0827336845918161E-2</v>
      </c>
      <c r="L16" s="116">
        <f t="shared" si="3"/>
        <v>3.8513787757982809E-2</v>
      </c>
      <c r="M16" s="116">
        <f t="shared" si="3"/>
        <v>3.6331339785030448E-2</v>
      </c>
      <c r="N16" s="116">
        <f t="shared" si="4"/>
        <v>3.4272563863878724E-2</v>
      </c>
      <c r="O16" s="116">
        <f t="shared" si="4"/>
        <v>3.2330451911592284E-2</v>
      </c>
      <c r="P16" s="116">
        <f t="shared" si="4"/>
        <v>3.0498392969935395E-2</v>
      </c>
      <c r="Q16" s="116">
        <f t="shared" si="4"/>
        <v>2.8770150701639075E-2</v>
      </c>
      <c r="R16" s="116">
        <f t="shared" si="4"/>
        <v>2.7139842161879479E-2</v>
      </c>
      <c r="S16" s="116">
        <f t="shared" si="4"/>
        <v>2.5601917772706373E-2</v>
      </c>
      <c r="T16" s="116">
        <f t="shared" si="4"/>
        <v>2.4151142432252914E-2</v>
      </c>
      <c r="U16" s="116">
        <f t="shared" si="4"/>
        <v>2.2782577694425266E-2</v>
      </c>
      <c r="V16" s="225">
        <f t="shared" si="4"/>
        <v>2.1491564958407872E-2</v>
      </c>
      <c r="W16" s="230">
        <f>'[6]Retro Generic'!D48</f>
        <v>0.01</v>
      </c>
      <c r="X16" s="28">
        <f>'[6]Retro Generic'!E48</f>
        <v>2.98E-2</v>
      </c>
      <c r="Y16" s="28">
        <f>'[6]Retro Generic'!F48</f>
        <v>5.8906E-2</v>
      </c>
      <c r="Z16" s="28">
        <f>'[6]Retro Generic'!G48</f>
        <v>9.6549759999999998E-2</v>
      </c>
      <c r="AA16" s="28">
        <f>'[6]Retro Generic'!H48</f>
        <v>0.14172227199999998</v>
      </c>
      <c r="AB16" s="28">
        <f>'[6]Retro Generic'!I48</f>
        <v>0.19035800991999999</v>
      </c>
      <c r="AC16" s="28">
        <f>'[6]Retro Generic'!J48</f>
        <v>0.2362377226912</v>
      </c>
      <c r="AD16" s="28">
        <f>'[6]Retro Generic'!K48</f>
        <v>0.279517585072032</v>
      </c>
      <c r="AE16" s="28">
        <f>'[6]Retro Generic'!L48</f>
        <v>0.32034492191795017</v>
      </c>
      <c r="AF16" s="28">
        <f>'[6]Retro Generic'!M48</f>
        <v>0.35885870967593297</v>
      </c>
      <c r="AG16" s="28">
        <f>'[6]Retro Generic'!N48</f>
        <v>0.39519004946096342</v>
      </c>
      <c r="AH16" s="28">
        <f>'[6]Retro Generic'!O48</f>
        <v>0.42946261332484215</v>
      </c>
      <c r="AI16" s="28">
        <f>'[6]Retro Generic'!P48</f>
        <v>0.46179306523643443</v>
      </c>
      <c r="AJ16" s="28">
        <f>'[6]Retro Generic'!Q48</f>
        <v>0.49229145820636983</v>
      </c>
      <c r="AK16" s="28">
        <f>'[6]Retro Generic'!R48</f>
        <v>0.5210616089080089</v>
      </c>
      <c r="AL16" s="28">
        <f>'[6]Retro Generic'!S48</f>
        <v>0.54820145106988838</v>
      </c>
      <c r="AM16" s="28">
        <f>'[6]Retro Generic'!T48</f>
        <v>0.57380336884259475</v>
      </c>
      <c r="AN16" s="28">
        <f>'[6]Retro Generic'!U48</f>
        <v>0.59795451127484767</v>
      </c>
      <c r="AO16" s="28">
        <f>'[6]Retro Generic'!V48</f>
        <v>0.62073708896927293</v>
      </c>
      <c r="AP16" s="28">
        <f>'[6]Retro Generic'!W48</f>
        <v>0.6422286539276808</v>
      </c>
    </row>
    <row r="17" spans="1:42">
      <c r="B17" s="233" t="s">
        <v>501</v>
      </c>
      <c r="C17" s="116">
        <f t="shared" si="2"/>
        <v>5.5320496977002724E-3</v>
      </c>
      <c r="D17" s="116">
        <f t="shared" si="3"/>
        <v>8.6958686465615706E-3</v>
      </c>
      <c r="E17" s="116">
        <f t="shared" si="3"/>
        <v>1.7391737293123145E-2</v>
      </c>
      <c r="F17" s="116">
        <f t="shared" si="3"/>
        <v>3.0435540262965514E-2</v>
      </c>
      <c r="G17" s="116">
        <f t="shared" si="3"/>
        <v>4.7344173742390784E-2</v>
      </c>
      <c r="H17" s="116">
        <f t="shared" si="3"/>
        <v>6.6281843239347063E-2</v>
      </c>
      <c r="I17" s="116">
        <f t="shared" si="3"/>
        <v>8.4358709577350838E-2</v>
      </c>
      <c r="J17" s="116">
        <f t="shared" si="3"/>
        <v>9.8418494506909315E-2</v>
      </c>
      <c r="K17" s="116">
        <f t="shared" si="3"/>
        <v>0.10598914793051767</v>
      </c>
      <c r="L17" s="116">
        <f t="shared" si="3"/>
        <v>0.10598914793051767</v>
      </c>
      <c r="M17" s="116">
        <f t="shared" si="3"/>
        <v>9.8923204735149928E-2</v>
      </c>
      <c r="N17" s="116">
        <f t="shared" si="4"/>
        <v>8.655780414325609E-2</v>
      </c>
      <c r="O17" s="116">
        <f t="shared" si="4"/>
        <v>7.1282897529740263E-2</v>
      </c>
      <c r="P17" s="116">
        <f t="shared" si="4"/>
        <v>5.5442253634242489E-2</v>
      </c>
      <c r="Q17" s="116">
        <f t="shared" si="4"/>
        <v>4.0852186888389319E-2</v>
      </c>
      <c r="R17" s="116">
        <f t="shared" si="4"/>
        <v>2.8596530821872412E-2</v>
      </c>
      <c r="S17" s="116">
        <f t="shared" si="4"/>
        <v>1.9064353881248275E-2</v>
      </c>
      <c r="T17" s="116">
        <f t="shared" si="4"/>
        <v>1.2131861560794377E-2</v>
      </c>
      <c r="U17" s="116">
        <f t="shared" si="4"/>
        <v>7.3846113848314854E-3</v>
      </c>
      <c r="V17" s="225">
        <f t="shared" si="4"/>
        <v>4.3076899744848296E-3</v>
      </c>
      <c r="W17" s="231">
        <f>'[6]LO Generic'!D29</f>
        <v>5.5320496977002724E-3</v>
      </c>
      <c r="X17" s="232">
        <f>'[6]LO Generic'!E29</f>
        <v>1.4227918344261844E-2</v>
      </c>
      <c r="Y17" s="28">
        <f>'[6]LO Generic'!F29</f>
        <v>3.1619655637384989E-2</v>
      </c>
      <c r="Z17" s="28">
        <f>'[6]LO Generic'!G29</f>
        <v>6.2055195900350503E-2</v>
      </c>
      <c r="AA17" s="28">
        <f>'[6]LO Generic'!H29</f>
        <v>0.10939936964274129</v>
      </c>
      <c r="AB17" s="28">
        <f>'[6]LO Generic'!I29</f>
        <v>0.17568121288208835</v>
      </c>
      <c r="AC17" s="28">
        <f>'[6]LO Generic'!J29</f>
        <v>0.26003992245943919</v>
      </c>
      <c r="AD17" s="28">
        <f>'[6]LO Generic'!K29</f>
        <v>0.3584584169663485</v>
      </c>
      <c r="AE17" s="28">
        <f>'[6]LO Generic'!L29</f>
        <v>0.46444756489686617</v>
      </c>
      <c r="AF17" s="28">
        <f>'[6]LO Generic'!M29</f>
        <v>0.57043671282738384</v>
      </c>
      <c r="AG17" s="28">
        <f>'[6]LO Generic'!N29</f>
        <v>0.66935991756253377</v>
      </c>
      <c r="AH17" s="28">
        <f>'[6]LO Generic'!O29</f>
        <v>0.75591772170578986</v>
      </c>
      <c r="AI17" s="28">
        <f>'[6]LO Generic'!P29</f>
        <v>0.82720061923553012</v>
      </c>
      <c r="AJ17" s="28">
        <f>'[6]LO Generic'!Q29</f>
        <v>0.88264287286977261</v>
      </c>
      <c r="AK17" s="28">
        <f>'[6]LO Generic'!R29</f>
        <v>0.92349505975816193</v>
      </c>
      <c r="AL17" s="28">
        <f>'[6]LO Generic'!S29</f>
        <v>0.95209159058003434</v>
      </c>
      <c r="AM17" s="28">
        <f>'[6]LO Generic'!T29</f>
        <v>0.97115594446128262</v>
      </c>
      <c r="AN17" s="28">
        <f>'[6]LO Generic'!U29</f>
        <v>0.98328780602207699</v>
      </c>
      <c r="AO17" s="28">
        <f>'[6]LO Generic'!V29</f>
        <v>0.99067241740690848</v>
      </c>
      <c r="AP17" s="28">
        <f>'[6]LO Generic'!W29</f>
        <v>0.99498010738139331</v>
      </c>
    </row>
    <row r="18" spans="1:42">
      <c r="W18" s="217"/>
    </row>
    <row r="19" spans="1:42">
      <c r="A19" t="s">
        <v>505</v>
      </c>
      <c r="B19" s="233" t="s">
        <v>478</v>
      </c>
      <c r="C19" s="116">
        <f t="shared" ref="C19:C26" si="5">W19</f>
        <v>0.43347012036671112</v>
      </c>
      <c r="D19" s="116">
        <f t="shared" ref="D19:S26" si="6">X19-W19</f>
        <v>0.19536681481316559</v>
      </c>
      <c r="E19" s="116">
        <f t="shared" si="6"/>
        <v>0.15629345185053245</v>
      </c>
      <c r="F19" s="116">
        <f t="shared" si="6"/>
        <v>0.10419563456702174</v>
      </c>
      <c r="G19" s="116">
        <f t="shared" si="6"/>
        <v>5.9540362609726505E-2</v>
      </c>
      <c r="H19" s="116">
        <f t="shared" si="6"/>
        <v>2.9770181304863419E-2</v>
      </c>
      <c r="I19" s="116">
        <f t="shared" si="6"/>
        <v>1.3231191691050248E-2</v>
      </c>
      <c r="J19" s="116">
        <f t="shared" si="6"/>
        <v>5.2924766764202991E-3</v>
      </c>
      <c r="K19" s="116">
        <f t="shared" si="6"/>
        <v>1.9245369732436846E-3</v>
      </c>
      <c r="L19" s="116">
        <f t="shared" si="6"/>
        <v>6.415123244144505E-4</v>
      </c>
      <c r="M19" s="116">
        <f t="shared" si="6"/>
        <v>1.9738840751215569E-4</v>
      </c>
      <c r="N19" s="116">
        <f t="shared" si="6"/>
        <v>5.6396687860615913E-5</v>
      </c>
      <c r="O19" s="116">
        <f t="shared" si="6"/>
        <v>1.5039116763038152E-5</v>
      </c>
      <c r="P19" s="116">
        <f t="shared" si="6"/>
        <v>3.7597791905374933E-6</v>
      </c>
      <c r="Q19" s="116">
        <f t="shared" si="6"/>
        <v>8.8465392733549919E-7</v>
      </c>
      <c r="R19" s="116">
        <f t="shared" si="6"/>
        <v>1.9658976146974538E-7</v>
      </c>
      <c r="S19" s="116">
        <f t="shared" si="6"/>
        <v>4.13873183502389E-8</v>
      </c>
      <c r="T19" s="116">
        <f t="shared" ref="T19:V26" si="7">AN19-AM19</f>
        <v>8.2774636034343985E-9</v>
      </c>
      <c r="U19" s="116">
        <f t="shared" si="7"/>
        <v>1.5766598027155965E-9</v>
      </c>
      <c r="V19" s="225">
        <f t="shared" si="7"/>
        <v>2.8666535811794347E-10</v>
      </c>
      <c r="W19" s="226">
        <f>W10</f>
        <v>0.43347012036671112</v>
      </c>
      <c r="X19" s="204">
        <f t="shared" ref="X19:AP26" si="8">X10</f>
        <v>0.62883693517987671</v>
      </c>
      <c r="Y19" s="204">
        <f t="shared" si="8"/>
        <v>0.78513038703040916</v>
      </c>
      <c r="Z19" s="204">
        <f t="shared" si="8"/>
        <v>0.8893260215974309</v>
      </c>
      <c r="AA19" s="204">
        <f t="shared" si="8"/>
        <v>0.94886638420715741</v>
      </c>
      <c r="AB19" s="204">
        <f t="shared" si="8"/>
        <v>0.97863656551202083</v>
      </c>
      <c r="AC19" s="204">
        <f t="shared" si="8"/>
        <v>0.99186775720307108</v>
      </c>
      <c r="AD19" s="204">
        <f t="shared" si="8"/>
        <v>0.99716023387949138</v>
      </c>
      <c r="AE19" s="204">
        <f t="shared" si="8"/>
        <v>0.99908477085273506</v>
      </c>
      <c r="AF19" s="204">
        <f t="shared" si="8"/>
        <v>0.99972628317714951</v>
      </c>
      <c r="AG19" s="204">
        <f t="shared" si="8"/>
        <v>0.99992367158466167</v>
      </c>
      <c r="AH19" s="204">
        <f t="shared" si="8"/>
        <v>0.99998006827252228</v>
      </c>
      <c r="AI19" s="204">
        <f t="shared" si="8"/>
        <v>0.99999510738928532</v>
      </c>
      <c r="AJ19" s="204">
        <f t="shared" si="8"/>
        <v>0.99999886716847586</v>
      </c>
      <c r="AK19" s="204">
        <f t="shared" si="8"/>
        <v>0.99999975182240319</v>
      </c>
      <c r="AL19" s="204">
        <f t="shared" si="8"/>
        <v>0.99999994841216466</v>
      </c>
      <c r="AM19" s="204">
        <f t="shared" si="8"/>
        <v>0.99999998979948301</v>
      </c>
      <c r="AN19" s="204">
        <f t="shared" si="8"/>
        <v>0.99999999807694662</v>
      </c>
      <c r="AO19" s="204">
        <f t="shared" si="8"/>
        <v>0.99999999965360642</v>
      </c>
      <c r="AP19" s="204">
        <f t="shared" si="8"/>
        <v>0.99999999994027178</v>
      </c>
    </row>
    <row r="20" spans="1:42">
      <c r="B20" s="233" t="s">
        <v>477</v>
      </c>
      <c r="C20" s="116">
        <f t="shared" si="5"/>
        <v>0.13206185628772221</v>
      </c>
      <c r="D20" s="116">
        <f t="shared" si="6"/>
        <v>0.10937459468255628</v>
      </c>
      <c r="E20" s="116">
        <f t="shared" si="6"/>
        <v>0.13671824335319538</v>
      </c>
      <c r="F20" s="116">
        <f t="shared" si="6"/>
        <v>0.14648383216413791</v>
      </c>
      <c r="G20" s="116">
        <f t="shared" si="6"/>
        <v>0.13732859265387931</v>
      </c>
      <c r="H20" s="116">
        <f t="shared" si="6"/>
        <v>0.11444049387823274</v>
      </c>
      <c r="I20" s="116">
        <f t="shared" si="6"/>
        <v>8.5830370408674583E-2</v>
      </c>
      <c r="J20" s="116">
        <f t="shared" si="6"/>
        <v>5.8520707096823443E-2</v>
      </c>
      <c r="K20" s="116">
        <f t="shared" si="6"/>
        <v>3.6575441935514763E-2</v>
      </c>
      <c r="L20" s="116">
        <f t="shared" si="6"/>
        <v>2.1101216501258402E-2</v>
      </c>
      <c r="M20" s="116">
        <f t="shared" si="6"/>
        <v>1.1304223125674251E-2</v>
      </c>
      <c r="N20" s="116">
        <f t="shared" si="6"/>
        <v>5.652111562837181E-3</v>
      </c>
      <c r="O20" s="116">
        <f t="shared" si="6"/>
        <v>2.6494272950797759E-3</v>
      </c>
      <c r="P20" s="116">
        <f t="shared" si="6"/>
        <v>1.1688649831235187E-3</v>
      </c>
      <c r="Q20" s="116">
        <f t="shared" si="6"/>
        <v>4.8702707630143838E-4</v>
      </c>
      <c r="R20" s="116">
        <f t="shared" si="6"/>
        <v>1.922475301190385E-4</v>
      </c>
      <c r="S20" s="116">
        <f t="shared" si="6"/>
        <v>7.2092823794611682E-5</v>
      </c>
      <c r="T20" s="116">
        <f t="shared" si="7"/>
        <v>2.5747437069512102E-5</v>
      </c>
      <c r="U20" s="116">
        <f t="shared" si="7"/>
        <v>8.7775353646568632E-6</v>
      </c>
      <c r="V20" s="225">
        <f t="shared" si="7"/>
        <v>2.8622397928446119E-6</v>
      </c>
      <c r="W20" s="226">
        <f>W11</f>
        <v>0.13206185628772221</v>
      </c>
      <c r="X20" s="204">
        <f t="shared" si="8"/>
        <v>0.24143645097027849</v>
      </c>
      <c r="Y20" s="204">
        <f t="shared" si="8"/>
        <v>0.37815469432347387</v>
      </c>
      <c r="Z20" s="204">
        <f t="shared" si="8"/>
        <v>0.52463852648761178</v>
      </c>
      <c r="AA20" s="204">
        <f t="shared" si="8"/>
        <v>0.66196711914149109</v>
      </c>
      <c r="AB20" s="204">
        <f t="shared" si="8"/>
        <v>0.77640761301972383</v>
      </c>
      <c r="AC20" s="204">
        <f t="shared" si="8"/>
        <v>0.86223798342839841</v>
      </c>
      <c r="AD20" s="204">
        <f t="shared" si="8"/>
        <v>0.92075869052522186</v>
      </c>
      <c r="AE20" s="204">
        <f t="shared" si="8"/>
        <v>0.95733413246073662</v>
      </c>
      <c r="AF20" s="204">
        <f t="shared" si="8"/>
        <v>0.97843534896199502</v>
      </c>
      <c r="AG20" s="204">
        <f t="shared" si="8"/>
        <v>0.98973957208766927</v>
      </c>
      <c r="AH20" s="204">
        <f t="shared" si="8"/>
        <v>0.99539168365050645</v>
      </c>
      <c r="AI20" s="204">
        <f t="shared" si="8"/>
        <v>0.99804111094558623</v>
      </c>
      <c r="AJ20" s="204">
        <f t="shared" si="8"/>
        <v>0.99920997592870975</v>
      </c>
      <c r="AK20" s="204">
        <f t="shared" si="8"/>
        <v>0.99969700300501119</v>
      </c>
      <c r="AL20" s="204">
        <f t="shared" si="8"/>
        <v>0.99988925053513023</v>
      </c>
      <c r="AM20" s="204">
        <f t="shared" si="8"/>
        <v>0.99996134335892484</v>
      </c>
      <c r="AN20" s="204">
        <f t="shared" si="8"/>
        <v>0.99998709079599435</v>
      </c>
      <c r="AO20" s="204">
        <f t="shared" si="8"/>
        <v>0.99999586833135901</v>
      </c>
      <c r="AP20" s="204">
        <f t="shared" si="8"/>
        <v>0.99999873057115185</v>
      </c>
    </row>
    <row r="21" spans="1:42">
      <c r="B21" s="233" t="s">
        <v>497</v>
      </c>
      <c r="C21" s="116">
        <f t="shared" si="5"/>
        <v>6.4608251467478173E-2</v>
      </c>
      <c r="D21" s="116">
        <f t="shared" si="6"/>
        <v>3.8298836634102607E-2</v>
      </c>
      <c r="E21" s="116">
        <f t="shared" si="6"/>
        <v>5.279714228027832E-2</v>
      </c>
      <c r="F21" s="116">
        <f t="shared" si="6"/>
        <v>6.9052518466104051E-2</v>
      </c>
      <c r="G21" s="116">
        <f t="shared" si="6"/>
        <v>8.5546997470333563E-2</v>
      </c>
      <c r="H21" s="116">
        <f t="shared" si="6"/>
        <v>0.10001472303820647</v>
      </c>
      <c r="I21" s="116">
        <f t="shared" si="6"/>
        <v>0.10971770435235073</v>
      </c>
      <c r="J21" s="116">
        <f t="shared" si="6"/>
        <v>0.11208438511970376</v>
      </c>
      <c r="K21" s="116">
        <f t="shared" si="6"/>
        <v>0.10562608162722853</v>
      </c>
      <c r="L21" s="116">
        <f t="shared" si="6"/>
        <v>9.0794563997872335E-2</v>
      </c>
      <c r="M21" s="116">
        <f t="shared" si="6"/>
        <v>7.0260666991849297E-2</v>
      </c>
      <c r="N21" s="116">
        <f t="shared" si="6"/>
        <v>4.8218360404944538E-2</v>
      </c>
      <c r="O21" s="116">
        <f t="shared" si="6"/>
        <v>2.8854234614640095E-2</v>
      </c>
      <c r="P21" s="116">
        <f t="shared" si="6"/>
        <v>1.4773964924806759E-2</v>
      </c>
      <c r="Q21" s="116">
        <f t="shared" si="6"/>
        <v>6.3385343681182649E-3</v>
      </c>
      <c r="R21" s="116">
        <f t="shared" si="6"/>
        <v>2.2268577196306039E-3</v>
      </c>
      <c r="S21" s="116">
        <f t="shared" si="6"/>
        <v>6.2471001963848583E-4</v>
      </c>
      <c r="T21" s="116">
        <f t="shared" si="7"/>
        <v>1.3615841889635938E-4</v>
      </c>
      <c r="U21" s="116">
        <f t="shared" si="7"/>
        <v>2.2380636622298944E-5</v>
      </c>
      <c r="V21" s="225">
        <f t="shared" si="7"/>
        <v>2.68643837586513E-6</v>
      </c>
      <c r="W21" s="226">
        <f t="shared" ref="W21:AL26" si="9">W12</f>
        <v>6.4608251467478173E-2</v>
      </c>
      <c r="X21" s="204">
        <f t="shared" si="9"/>
        <v>0.10290708810158078</v>
      </c>
      <c r="Y21" s="204">
        <f t="shared" si="9"/>
        <v>0.1557042303818591</v>
      </c>
      <c r="Z21" s="204">
        <f t="shared" si="9"/>
        <v>0.22475674884796315</v>
      </c>
      <c r="AA21" s="204">
        <f t="shared" si="9"/>
        <v>0.31030374631829671</v>
      </c>
      <c r="AB21" s="204">
        <f t="shared" si="9"/>
        <v>0.41031846935650318</v>
      </c>
      <c r="AC21" s="204">
        <f t="shared" si="9"/>
        <v>0.52003617370885391</v>
      </c>
      <c r="AD21" s="204">
        <f t="shared" si="9"/>
        <v>0.63212055882855767</v>
      </c>
      <c r="AE21" s="204">
        <f t="shared" si="9"/>
        <v>0.7377466404557862</v>
      </c>
      <c r="AF21" s="204">
        <f t="shared" si="9"/>
        <v>0.82854120445365853</v>
      </c>
      <c r="AG21" s="204">
        <f t="shared" si="9"/>
        <v>0.89880187144550783</v>
      </c>
      <c r="AH21" s="204">
        <f t="shared" si="9"/>
        <v>0.94702023185045237</v>
      </c>
      <c r="AI21" s="204">
        <f t="shared" si="9"/>
        <v>0.97587446646509246</v>
      </c>
      <c r="AJ21" s="204">
        <f t="shared" si="9"/>
        <v>0.99064843138989922</v>
      </c>
      <c r="AK21" s="204">
        <f t="shared" si="9"/>
        <v>0.99698696575801748</v>
      </c>
      <c r="AL21" s="204">
        <f t="shared" si="9"/>
        <v>0.99921382347764809</v>
      </c>
      <c r="AM21" s="204">
        <f t="shared" si="8"/>
        <v>0.99983853349728657</v>
      </c>
      <c r="AN21" s="204">
        <f t="shared" si="8"/>
        <v>0.99997469191618293</v>
      </c>
      <c r="AO21" s="204">
        <f t="shared" si="8"/>
        <v>0.99999707255280523</v>
      </c>
      <c r="AP21" s="204">
        <f t="shared" si="8"/>
        <v>0.9999997589911811</v>
      </c>
    </row>
    <row r="22" spans="1:42">
      <c r="B22" s="233" t="s">
        <v>479</v>
      </c>
      <c r="C22" s="116">
        <f t="shared" si="5"/>
        <v>0.22119921692859512</v>
      </c>
      <c r="D22" s="116">
        <f t="shared" si="6"/>
        <v>0.17227012335877145</v>
      </c>
      <c r="E22" s="116">
        <f t="shared" si="6"/>
        <v>0.13416410697161874</v>
      </c>
      <c r="F22" s="116">
        <f t="shared" si="6"/>
        <v>0.10448711156957236</v>
      </c>
      <c r="G22" s="116">
        <f t="shared" si="6"/>
        <v>8.1374644311252187E-2</v>
      </c>
      <c r="H22" s="116">
        <f t="shared" si="6"/>
        <v>6.3374636711760357E-2</v>
      </c>
      <c r="I22" s="116">
        <f t="shared" si="6"/>
        <v>4.9356216697984623E-2</v>
      </c>
      <c r="J22" s="116">
        <f t="shared" si="6"/>
        <v>3.8438660213832465E-2</v>
      </c>
      <c r="K22" s="116">
        <f t="shared" si="6"/>
        <v>2.9936058674748356E-2</v>
      </c>
      <c r="L22" s="116">
        <f t="shared" si="6"/>
        <v>2.3314225937965505E-2</v>
      </c>
      <c r="M22" s="116">
        <f t="shared" si="6"/>
        <v>1.8157137417191271E-2</v>
      </c>
      <c r="N22" s="116">
        <f t="shared" si="6"/>
        <v>1.4140792838843619E-2</v>
      </c>
      <c r="O22" s="116">
        <f t="shared" si="6"/>
        <v>1.1012860536141922E-2</v>
      </c>
      <c r="P22" s="116">
        <f t="shared" si="6"/>
        <v>8.5768244094035495E-3</v>
      </c>
      <c r="Q22" s="116">
        <f t="shared" si="6"/>
        <v>6.6796375663094043E-3</v>
      </c>
      <c r="R22" s="116">
        <f t="shared" si="6"/>
        <v>5.2021069672748554E-3</v>
      </c>
      <c r="S22" s="116">
        <f t="shared" si="6"/>
        <v>4.051404979734996E-3</v>
      </c>
      <c r="T22" s="116">
        <f t="shared" si="7"/>
        <v>3.1552373707569581E-3</v>
      </c>
      <c r="U22" s="116">
        <f t="shared" si="7"/>
        <v>2.4573013351216755E-3</v>
      </c>
      <c r="V22" s="225">
        <f t="shared" si="7"/>
        <v>1.913748204035115E-3</v>
      </c>
      <c r="W22" s="226">
        <f t="shared" si="9"/>
        <v>0.22119921692859512</v>
      </c>
      <c r="X22" s="204">
        <f t="shared" si="8"/>
        <v>0.39346934028736658</v>
      </c>
      <c r="Y22" s="204">
        <f t="shared" si="8"/>
        <v>0.52763344725898531</v>
      </c>
      <c r="Z22" s="204">
        <f t="shared" si="8"/>
        <v>0.63212055882855767</v>
      </c>
      <c r="AA22" s="204">
        <f t="shared" si="8"/>
        <v>0.71349520313980985</v>
      </c>
      <c r="AB22" s="204">
        <f t="shared" si="8"/>
        <v>0.77686983985157021</v>
      </c>
      <c r="AC22" s="204">
        <f t="shared" si="8"/>
        <v>0.82622605654955483</v>
      </c>
      <c r="AD22" s="204">
        <f t="shared" si="8"/>
        <v>0.8646647167633873</v>
      </c>
      <c r="AE22" s="204">
        <f t="shared" si="8"/>
        <v>0.89460077543813565</v>
      </c>
      <c r="AF22" s="204">
        <f t="shared" si="8"/>
        <v>0.91791500137610116</v>
      </c>
      <c r="AG22" s="204">
        <f t="shared" si="8"/>
        <v>0.93607213879329243</v>
      </c>
      <c r="AH22" s="204">
        <f t="shared" si="8"/>
        <v>0.95021293163213605</v>
      </c>
      <c r="AI22" s="204">
        <f t="shared" si="8"/>
        <v>0.96122579216827797</v>
      </c>
      <c r="AJ22" s="204">
        <f t="shared" si="8"/>
        <v>0.96980261657768152</v>
      </c>
      <c r="AK22" s="204">
        <f t="shared" si="8"/>
        <v>0.97648225414399092</v>
      </c>
      <c r="AL22" s="204">
        <f t="shared" si="8"/>
        <v>0.98168436111126578</v>
      </c>
      <c r="AM22" s="204">
        <f t="shared" si="8"/>
        <v>0.98573576609100078</v>
      </c>
      <c r="AN22" s="204">
        <f t="shared" si="8"/>
        <v>0.98889100346175773</v>
      </c>
      <c r="AO22" s="204">
        <f t="shared" si="8"/>
        <v>0.99134830479687941</v>
      </c>
      <c r="AP22" s="204">
        <f t="shared" si="8"/>
        <v>0.99326205300091452</v>
      </c>
    </row>
    <row r="23" spans="1:42">
      <c r="B23" s="233" t="s">
        <v>498</v>
      </c>
      <c r="C23" s="116">
        <f t="shared" si="5"/>
        <v>2.1485685902110623E-2</v>
      </c>
      <c r="D23" s="116">
        <f t="shared" si="6"/>
        <v>2.5643970768378654E-3</v>
      </c>
      <c r="E23" s="116">
        <f t="shared" si="6"/>
        <v>5.1260615529385989E-3</v>
      </c>
      <c r="F23" s="116">
        <f t="shared" si="6"/>
        <v>9.1015544176433795E-3</v>
      </c>
      <c r="G23" s="116">
        <f t="shared" si="6"/>
        <v>1.4804925730045659E-2</v>
      </c>
      <c r="H23" s="116">
        <f t="shared" si="6"/>
        <v>2.2471809420486211E-2</v>
      </c>
      <c r="I23" s="116">
        <f t="shared" si="6"/>
        <v>3.2184432813882391E-2</v>
      </c>
      <c r="J23" s="116">
        <f t="shared" si="6"/>
        <v>4.3779667172004086E-2</v>
      </c>
      <c r="K23" s="116">
        <f t="shared" si="6"/>
        <v>5.675426075474499E-2</v>
      </c>
      <c r="L23" s="116">
        <f t="shared" si="6"/>
        <v>7.0195239068707532E-2</v>
      </c>
      <c r="M23" s="116">
        <f t="shared" si="6"/>
        <v>8.2776861842756788E-2</v>
      </c>
      <c r="N23" s="116">
        <f t="shared" si="6"/>
        <v>9.2870259507494834E-2</v>
      </c>
      <c r="O23" s="116">
        <f t="shared" si="6"/>
        <v>9.8796470678915727E-2</v>
      </c>
      <c r="P23" s="116">
        <f t="shared" si="6"/>
        <v>9.9208932889988999E-2</v>
      </c>
      <c r="Q23" s="116">
        <f t="shared" si="6"/>
        <v>9.3521150494244254E-2</v>
      </c>
      <c r="R23" s="116">
        <f t="shared" si="6"/>
        <v>8.2226007896862296E-2</v>
      </c>
      <c r="S23" s="116">
        <f t="shared" si="6"/>
        <v>6.6933566027365665E-2</v>
      </c>
      <c r="T23" s="116">
        <f t="shared" si="7"/>
        <v>5.0029565143448806E-2</v>
      </c>
      <c r="U23" s="116">
        <f t="shared" si="7"/>
        <v>3.402486521893211E-2</v>
      </c>
      <c r="V23" s="225">
        <f t="shared" si="7"/>
        <v>2.0846059340774659E-2</v>
      </c>
      <c r="W23" s="226">
        <f t="shared" si="9"/>
        <v>2.1485685902110623E-2</v>
      </c>
      <c r="X23" s="204">
        <f t="shared" si="8"/>
        <v>2.4050082978948489E-2</v>
      </c>
      <c r="Y23" s="204">
        <f t="shared" si="8"/>
        <v>2.9176144531887088E-2</v>
      </c>
      <c r="Z23" s="204">
        <f t="shared" si="8"/>
        <v>3.8277698949530467E-2</v>
      </c>
      <c r="AA23" s="204">
        <f t="shared" si="8"/>
        <v>5.3082624679576126E-2</v>
      </c>
      <c r="AB23" s="204">
        <f t="shared" si="8"/>
        <v>7.5554434100062337E-2</v>
      </c>
      <c r="AC23" s="204">
        <f t="shared" si="8"/>
        <v>0.10773886691394473</v>
      </c>
      <c r="AD23" s="204">
        <f t="shared" si="8"/>
        <v>0.15151853408594881</v>
      </c>
      <c r="AE23" s="204">
        <f t="shared" si="8"/>
        <v>0.2082727948406938</v>
      </c>
      <c r="AF23" s="204">
        <f t="shared" si="8"/>
        <v>0.27846803390940134</v>
      </c>
      <c r="AG23" s="204">
        <f t="shared" si="8"/>
        <v>0.36124489575215812</v>
      </c>
      <c r="AH23" s="204">
        <f t="shared" si="8"/>
        <v>0.45411515525965296</v>
      </c>
      <c r="AI23" s="204">
        <f t="shared" si="8"/>
        <v>0.55291162593856868</v>
      </c>
      <c r="AJ23" s="204">
        <f t="shared" si="8"/>
        <v>0.65212055882855768</v>
      </c>
      <c r="AK23" s="204">
        <f t="shared" si="8"/>
        <v>0.74564170932280194</v>
      </c>
      <c r="AL23" s="204">
        <f t="shared" si="8"/>
        <v>0.82786771721966423</v>
      </c>
      <c r="AM23" s="204">
        <f t="shared" si="8"/>
        <v>0.8948012832470299</v>
      </c>
      <c r="AN23" s="204">
        <f t="shared" si="8"/>
        <v>0.94483084839047871</v>
      </c>
      <c r="AO23" s="204">
        <f t="shared" si="8"/>
        <v>0.97885571360941082</v>
      </c>
      <c r="AP23" s="204">
        <f t="shared" si="8"/>
        <v>0.99970177295018547</v>
      </c>
    </row>
    <row r="24" spans="1:42">
      <c r="B24" s="233" t="s">
        <v>480</v>
      </c>
      <c r="C24" s="116">
        <f t="shared" si="5"/>
        <v>0.03</v>
      </c>
      <c r="D24" s="116">
        <f t="shared" si="6"/>
        <v>5.1052631578947363E-2</v>
      </c>
      <c r="E24" s="116">
        <f t="shared" si="6"/>
        <v>5.1052631578947363E-2</v>
      </c>
      <c r="F24" s="116">
        <f t="shared" si="6"/>
        <v>5.1052631578947377E-2</v>
      </c>
      <c r="G24" s="116">
        <f t="shared" si="6"/>
        <v>5.1052631578947349E-2</v>
      </c>
      <c r="H24" s="116">
        <f t="shared" si="6"/>
        <v>5.1052631578947322E-2</v>
      </c>
      <c r="I24" s="116">
        <f t="shared" si="6"/>
        <v>5.1052631578947461E-2</v>
      </c>
      <c r="J24" s="116">
        <f t="shared" si="6"/>
        <v>5.1052631578947349E-2</v>
      </c>
      <c r="K24" s="116">
        <f t="shared" si="6"/>
        <v>5.1052631578947349E-2</v>
      </c>
      <c r="L24" s="116">
        <f t="shared" si="6"/>
        <v>5.1052631578947349E-2</v>
      </c>
      <c r="M24" s="116">
        <f t="shared" si="6"/>
        <v>5.1052631578947349E-2</v>
      </c>
      <c r="N24" s="116">
        <f t="shared" si="6"/>
        <v>5.1052631578947461E-2</v>
      </c>
      <c r="O24" s="116">
        <f t="shared" si="6"/>
        <v>5.1052631578947349E-2</v>
      </c>
      <c r="P24" s="116">
        <f t="shared" si="6"/>
        <v>5.1052631578947349E-2</v>
      </c>
      <c r="Q24" s="116">
        <f t="shared" si="6"/>
        <v>5.1052631578947349E-2</v>
      </c>
      <c r="R24" s="116">
        <f t="shared" si="6"/>
        <v>5.1052631578947349E-2</v>
      </c>
      <c r="S24" s="116">
        <f t="shared" si="6"/>
        <v>5.1052631578947349E-2</v>
      </c>
      <c r="T24" s="116">
        <f t="shared" si="7"/>
        <v>5.1052631578947461E-2</v>
      </c>
      <c r="U24" s="116">
        <f t="shared" si="7"/>
        <v>5.1052631578947238E-2</v>
      </c>
      <c r="V24" s="225">
        <f t="shared" si="7"/>
        <v>5.1052631578947461E-2</v>
      </c>
      <c r="W24" s="226">
        <f t="shared" si="9"/>
        <v>0.03</v>
      </c>
      <c r="X24" s="204">
        <f t="shared" si="8"/>
        <v>8.1052631578947362E-2</v>
      </c>
      <c r="Y24" s="204">
        <f t="shared" si="8"/>
        <v>0.13210526315789473</v>
      </c>
      <c r="Z24" s="204">
        <f t="shared" si="8"/>
        <v>0.1831578947368421</v>
      </c>
      <c r="AA24" s="204">
        <f t="shared" si="8"/>
        <v>0.23421052631578945</v>
      </c>
      <c r="AB24" s="204">
        <f t="shared" si="8"/>
        <v>0.28526315789473677</v>
      </c>
      <c r="AC24" s="204">
        <f t="shared" si="8"/>
        <v>0.33631578947368423</v>
      </c>
      <c r="AD24" s="204">
        <f t="shared" si="8"/>
        <v>0.38736842105263158</v>
      </c>
      <c r="AE24" s="204">
        <f t="shared" si="8"/>
        <v>0.43842105263157893</v>
      </c>
      <c r="AF24" s="204">
        <f t="shared" si="8"/>
        <v>0.48947368421052628</v>
      </c>
      <c r="AG24" s="204">
        <f t="shared" si="8"/>
        <v>0.54052631578947363</v>
      </c>
      <c r="AH24" s="204">
        <f t="shared" si="8"/>
        <v>0.59157894736842109</v>
      </c>
      <c r="AI24" s="204">
        <f t="shared" si="8"/>
        <v>0.64263157894736844</v>
      </c>
      <c r="AJ24" s="204">
        <f t="shared" si="8"/>
        <v>0.69368421052631579</v>
      </c>
      <c r="AK24" s="204">
        <f t="shared" si="8"/>
        <v>0.74473684210526314</v>
      </c>
      <c r="AL24" s="204">
        <f t="shared" si="8"/>
        <v>0.79578947368421049</v>
      </c>
      <c r="AM24" s="204">
        <f t="shared" si="8"/>
        <v>0.84684210526315784</v>
      </c>
      <c r="AN24" s="204">
        <f t="shared" si="8"/>
        <v>0.8978947368421053</v>
      </c>
      <c r="AO24" s="204">
        <f t="shared" si="8"/>
        <v>0.94894736842105254</v>
      </c>
      <c r="AP24" s="204">
        <f t="shared" si="8"/>
        <v>1</v>
      </c>
    </row>
    <row r="25" spans="1:42">
      <c r="B25" s="233" t="s">
        <v>481</v>
      </c>
      <c r="C25" s="116">
        <f t="shared" si="5"/>
        <v>0.01</v>
      </c>
      <c r="D25" s="116">
        <f t="shared" si="6"/>
        <v>1.9799999999999998E-2</v>
      </c>
      <c r="E25" s="116">
        <f t="shared" si="6"/>
        <v>2.9106E-2</v>
      </c>
      <c r="F25" s="116">
        <f t="shared" si="6"/>
        <v>3.7643759999999998E-2</v>
      </c>
      <c r="G25" s="116">
        <f t="shared" si="6"/>
        <v>4.5172511999999984E-2</v>
      </c>
      <c r="H25" s="116">
        <f t="shared" si="6"/>
        <v>4.8635737920000005E-2</v>
      </c>
      <c r="I25" s="116">
        <f t="shared" si="6"/>
        <v>4.587971277120001E-2</v>
      </c>
      <c r="J25" s="116">
        <f t="shared" si="6"/>
        <v>4.3279862380832007E-2</v>
      </c>
      <c r="K25" s="116">
        <f t="shared" si="6"/>
        <v>4.0827336845918161E-2</v>
      </c>
      <c r="L25" s="116">
        <f t="shared" si="6"/>
        <v>3.8513787757982809E-2</v>
      </c>
      <c r="M25" s="116">
        <f t="shared" si="6"/>
        <v>3.6331339785030448E-2</v>
      </c>
      <c r="N25" s="116">
        <f t="shared" si="6"/>
        <v>3.4272563863878724E-2</v>
      </c>
      <c r="O25" s="116">
        <f t="shared" si="6"/>
        <v>3.2330451911592284E-2</v>
      </c>
      <c r="P25" s="116">
        <f t="shared" si="6"/>
        <v>3.0498392969935395E-2</v>
      </c>
      <c r="Q25" s="116">
        <f t="shared" si="6"/>
        <v>2.8770150701639075E-2</v>
      </c>
      <c r="R25" s="116">
        <f t="shared" si="6"/>
        <v>2.7139842161879479E-2</v>
      </c>
      <c r="S25" s="116">
        <f t="shared" si="6"/>
        <v>2.5601917772706373E-2</v>
      </c>
      <c r="T25" s="116">
        <f t="shared" si="7"/>
        <v>2.4151142432252914E-2</v>
      </c>
      <c r="U25" s="116">
        <f t="shared" si="7"/>
        <v>2.2782577694425266E-2</v>
      </c>
      <c r="V25" s="225">
        <f t="shared" si="7"/>
        <v>2.1491564958407872E-2</v>
      </c>
      <c r="W25" s="226">
        <f t="shared" si="9"/>
        <v>0.01</v>
      </c>
      <c r="X25" s="204">
        <f t="shared" si="8"/>
        <v>2.98E-2</v>
      </c>
      <c r="Y25" s="204">
        <f t="shared" si="8"/>
        <v>5.8906E-2</v>
      </c>
      <c r="Z25" s="204">
        <f t="shared" si="8"/>
        <v>9.6549759999999998E-2</v>
      </c>
      <c r="AA25" s="204">
        <f t="shared" si="8"/>
        <v>0.14172227199999998</v>
      </c>
      <c r="AB25" s="204">
        <f t="shared" si="8"/>
        <v>0.19035800991999999</v>
      </c>
      <c r="AC25" s="204">
        <f t="shared" si="8"/>
        <v>0.2362377226912</v>
      </c>
      <c r="AD25" s="204">
        <f t="shared" si="8"/>
        <v>0.279517585072032</v>
      </c>
      <c r="AE25" s="204">
        <f t="shared" si="8"/>
        <v>0.32034492191795017</v>
      </c>
      <c r="AF25" s="204">
        <f t="shared" si="8"/>
        <v>0.35885870967593297</v>
      </c>
      <c r="AG25" s="204">
        <f t="shared" si="8"/>
        <v>0.39519004946096342</v>
      </c>
      <c r="AH25" s="204">
        <f t="shared" si="8"/>
        <v>0.42946261332484215</v>
      </c>
      <c r="AI25" s="204">
        <f t="shared" si="8"/>
        <v>0.46179306523643443</v>
      </c>
      <c r="AJ25" s="204">
        <f t="shared" si="8"/>
        <v>0.49229145820636983</v>
      </c>
      <c r="AK25" s="204">
        <f t="shared" si="8"/>
        <v>0.5210616089080089</v>
      </c>
      <c r="AL25" s="204">
        <f t="shared" si="8"/>
        <v>0.54820145106988838</v>
      </c>
      <c r="AM25" s="204">
        <f t="shared" si="8"/>
        <v>0.57380336884259475</v>
      </c>
      <c r="AN25" s="204">
        <f t="shared" si="8"/>
        <v>0.59795451127484767</v>
      </c>
      <c r="AO25" s="204">
        <f t="shared" si="8"/>
        <v>0.62073708896927293</v>
      </c>
      <c r="AP25" s="204">
        <f t="shared" si="8"/>
        <v>0.6422286539276808</v>
      </c>
    </row>
    <row r="26" spans="1:42">
      <c r="B26" s="233" t="s">
        <v>491</v>
      </c>
      <c r="C26" s="116">
        <f t="shared" si="5"/>
        <v>5.5320496977002724E-3</v>
      </c>
      <c r="D26" s="116">
        <f t="shared" si="6"/>
        <v>8.6958686465615706E-3</v>
      </c>
      <c r="E26" s="116">
        <f t="shared" si="6"/>
        <v>1.7391737293123145E-2</v>
      </c>
      <c r="F26" s="116">
        <f t="shared" si="6"/>
        <v>3.0435540262965514E-2</v>
      </c>
      <c r="G26" s="116">
        <f t="shared" si="6"/>
        <v>4.7344173742390784E-2</v>
      </c>
      <c r="H26" s="116">
        <f t="shared" si="6"/>
        <v>6.6281843239347063E-2</v>
      </c>
      <c r="I26" s="116">
        <f t="shared" si="6"/>
        <v>8.4358709577350838E-2</v>
      </c>
      <c r="J26" s="116">
        <f t="shared" si="6"/>
        <v>9.8418494506909315E-2</v>
      </c>
      <c r="K26" s="116">
        <f t="shared" si="6"/>
        <v>0.10598914793051767</v>
      </c>
      <c r="L26" s="116">
        <f t="shared" si="6"/>
        <v>0.10598914793051767</v>
      </c>
      <c r="M26" s="116">
        <f t="shared" si="6"/>
        <v>9.8923204735149928E-2</v>
      </c>
      <c r="N26" s="116">
        <f t="shared" si="6"/>
        <v>8.655780414325609E-2</v>
      </c>
      <c r="O26" s="116">
        <f t="shared" si="6"/>
        <v>7.1282897529740263E-2</v>
      </c>
      <c r="P26" s="116">
        <f t="shared" si="6"/>
        <v>5.5442253634242489E-2</v>
      </c>
      <c r="Q26" s="116">
        <f t="shared" si="6"/>
        <v>4.0852186888389319E-2</v>
      </c>
      <c r="R26" s="116">
        <f t="shared" si="6"/>
        <v>2.8596530821872412E-2</v>
      </c>
      <c r="S26" s="116">
        <f t="shared" si="6"/>
        <v>1.9064353881248275E-2</v>
      </c>
      <c r="T26" s="116">
        <f t="shared" si="7"/>
        <v>1.2131861560794377E-2</v>
      </c>
      <c r="U26" s="116">
        <f t="shared" si="7"/>
        <v>7.3846113848314854E-3</v>
      </c>
      <c r="V26" s="225">
        <f t="shared" si="7"/>
        <v>4.3076899744848296E-3</v>
      </c>
      <c r="W26" s="226">
        <f t="shared" si="9"/>
        <v>5.5320496977002724E-3</v>
      </c>
      <c r="X26" s="204">
        <f t="shared" si="8"/>
        <v>1.4227918344261844E-2</v>
      </c>
      <c r="Y26" s="204">
        <f t="shared" si="8"/>
        <v>3.1619655637384989E-2</v>
      </c>
      <c r="Z26" s="204">
        <f t="shared" si="8"/>
        <v>6.2055195900350503E-2</v>
      </c>
      <c r="AA26" s="204">
        <f t="shared" si="8"/>
        <v>0.10939936964274129</v>
      </c>
      <c r="AB26" s="204">
        <f t="shared" si="8"/>
        <v>0.17568121288208835</v>
      </c>
      <c r="AC26" s="204">
        <f t="shared" si="8"/>
        <v>0.26003992245943919</v>
      </c>
      <c r="AD26" s="204">
        <f t="shared" si="8"/>
        <v>0.3584584169663485</v>
      </c>
      <c r="AE26" s="204">
        <f t="shared" si="8"/>
        <v>0.46444756489686617</v>
      </c>
      <c r="AF26" s="204">
        <f t="shared" si="8"/>
        <v>0.57043671282738384</v>
      </c>
      <c r="AG26" s="204">
        <f t="shared" si="8"/>
        <v>0.66935991756253377</v>
      </c>
      <c r="AH26" s="204">
        <f t="shared" si="8"/>
        <v>0.75591772170578986</v>
      </c>
      <c r="AI26" s="204">
        <f t="shared" si="8"/>
        <v>0.82720061923553012</v>
      </c>
      <c r="AJ26" s="204">
        <f t="shared" si="8"/>
        <v>0.88264287286977261</v>
      </c>
      <c r="AK26" s="204">
        <f t="shared" si="8"/>
        <v>0.92349505975816193</v>
      </c>
      <c r="AL26" s="204">
        <f t="shared" si="8"/>
        <v>0.95209159058003434</v>
      </c>
      <c r="AM26" s="204">
        <f t="shared" si="8"/>
        <v>0.97115594446128262</v>
      </c>
      <c r="AN26" s="204">
        <f t="shared" si="8"/>
        <v>0.98328780602207699</v>
      </c>
      <c r="AO26" s="204">
        <f t="shared" si="8"/>
        <v>0.99067241740690848</v>
      </c>
      <c r="AP26" s="204">
        <f t="shared" si="8"/>
        <v>0.99498010738139331</v>
      </c>
    </row>
    <row r="27" spans="1:42">
      <c r="A27" s="116">
        <f>1-SUM(C29:V29)</f>
        <v>3.1102981254288453E-3</v>
      </c>
      <c r="W27" s="217"/>
    </row>
    <row r="28" spans="1:42">
      <c r="A28" s="205" t="s">
        <v>492</v>
      </c>
      <c r="B28" s="150"/>
      <c r="C28" s="151" t="s">
        <v>493</v>
      </c>
      <c r="D28" s="150"/>
      <c r="E28" s="150"/>
      <c r="F28" s="150"/>
      <c r="G28" s="150"/>
      <c r="H28" s="150"/>
      <c r="I28" s="150"/>
      <c r="J28" s="150"/>
      <c r="K28" s="150"/>
      <c r="L28" s="150"/>
      <c r="M28" s="150"/>
      <c r="N28" s="150"/>
      <c r="O28" s="150"/>
      <c r="P28" s="150"/>
      <c r="Q28" s="150"/>
      <c r="R28" s="150"/>
      <c r="S28" s="150"/>
      <c r="T28" s="150"/>
      <c r="U28" s="150"/>
      <c r="V28" s="150"/>
      <c r="W28" s="206" t="s">
        <v>494</v>
      </c>
      <c r="X28" s="150"/>
      <c r="Y28" s="150"/>
      <c r="Z28" s="150"/>
      <c r="AA28" s="150"/>
      <c r="AB28" s="150"/>
      <c r="AC28" s="150"/>
      <c r="AD28" s="150"/>
      <c r="AE28" s="150"/>
      <c r="AF28" s="150"/>
      <c r="AG28" s="150"/>
      <c r="AH28" s="150"/>
      <c r="AI28" s="150"/>
      <c r="AJ28" s="150"/>
      <c r="AK28" s="150"/>
      <c r="AL28" s="150"/>
      <c r="AM28" s="150"/>
      <c r="AN28" s="150"/>
      <c r="AO28" s="150"/>
      <c r="AP28" s="150"/>
    </row>
    <row r="29" spans="1:42">
      <c r="A29" s="4" t="s">
        <v>495</v>
      </c>
      <c r="B29" s="207" t="str">
        <f>B20</f>
        <v>Retro12Med</v>
      </c>
      <c r="C29" s="208">
        <v>0.10937459468255628</v>
      </c>
      <c r="D29" s="208">
        <v>0.10937459468255628</v>
      </c>
      <c r="E29" s="37">
        <v>0.10937459468255628</v>
      </c>
      <c r="F29" s="209">
        <v>0.10937459468255628</v>
      </c>
      <c r="G29" s="37">
        <v>0.10937459468255628</v>
      </c>
      <c r="H29" s="116">
        <v>9.8437135214300656E-2</v>
      </c>
      <c r="I29" s="116">
        <v>7.874970817144053E-2</v>
      </c>
      <c r="J29" s="116">
        <v>6.2999766537152418E-2</v>
      </c>
      <c r="K29" s="116">
        <v>5.0399813229721938E-2</v>
      </c>
      <c r="L29" s="116">
        <v>4.0319850583777551E-2</v>
      </c>
      <c r="M29" s="116">
        <v>3.225588046702204E-2</v>
      </c>
      <c r="N29" s="116">
        <v>2.5804704373617631E-2</v>
      </c>
      <c r="O29" s="116">
        <v>2.0643763498894106E-2</v>
      </c>
      <c r="P29" s="116">
        <v>1.6515010799115284E-2</v>
      </c>
      <c r="Q29" s="116">
        <v>1.3212008639292228E-2</v>
      </c>
      <c r="R29" s="116">
        <v>1.0569606911433781E-2</v>
      </c>
      <c r="S29" s="116">
        <v>7.2092823794611682E-5</v>
      </c>
      <c r="T29" s="116">
        <v>2.5747437069512102E-5</v>
      </c>
      <c r="U29" s="116">
        <v>8.7775353646568632E-6</v>
      </c>
      <c r="V29" s="116">
        <v>2.8622397928446119E-6</v>
      </c>
      <c r="W29" s="210">
        <v>0.10937459468255628</v>
      </c>
      <c r="X29" s="116">
        <v>0.21874918936511256</v>
      </c>
      <c r="Y29" s="116">
        <v>0.32812378404766884</v>
      </c>
      <c r="Z29" s="116">
        <v>0.43749837873022512</v>
      </c>
      <c r="AA29" s="116">
        <v>0.5468729734127814</v>
      </c>
      <c r="AB29" s="116">
        <v>0.64531010862708205</v>
      </c>
      <c r="AC29" s="116">
        <v>0.7240598167985226</v>
      </c>
      <c r="AD29" s="116">
        <v>0.78705958333567505</v>
      </c>
      <c r="AE29" s="116">
        <v>0.83745939656539703</v>
      </c>
      <c r="AF29" s="116">
        <v>0.87777924714917455</v>
      </c>
      <c r="AG29" s="116">
        <v>0.91003512761619654</v>
      </c>
      <c r="AH29" s="116">
        <v>0.93583983198981413</v>
      </c>
      <c r="AI29" s="116">
        <v>0.9564835954887082</v>
      </c>
      <c r="AJ29" s="116">
        <v>0.97299860628782353</v>
      </c>
      <c r="AK29" s="116">
        <v>0.9862106149271157</v>
      </c>
      <c r="AL29" s="116">
        <v>0.99678022183854953</v>
      </c>
      <c r="AM29" s="116">
        <v>0.99685231466234414</v>
      </c>
      <c r="AN29" s="116">
        <v>0.99687806209941365</v>
      </c>
      <c r="AO29" s="116">
        <v>0.99688683963477831</v>
      </c>
      <c r="AP29" s="116">
        <v>0.99688970187457115</v>
      </c>
    </row>
    <row r="30" spans="1:42">
      <c r="A30" s="4" t="s">
        <v>496</v>
      </c>
      <c r="B30" s="207" t="str">
        <f>B21</f>
        <v>Retro5Med</v>
      </c>
      <c r="C30" s="211">
        <v>4.2999999999999997E-2</v>
      </c>
      <c r="D30" s="212">
        <v>5.279714228027832E-2</v>
      </c>
      <c r="E30" s="212">
        <v>6.4608251467478173E-2</v>
      </c>
      <c r="F30" s="212">
        <v>7.4999999999999997E-2</v>
      </c>
      <c r="G30" s="116">
        <v>8.5546997470333563E-2</v>
      </c>
      <c r="H30" s="116">
        <v>0.10001472303820647</v>
      </c>
      <c r="I30" s="116">
        <v>0.10971770435235073</v>
      </c>
      <c r="J30" s="116">
        <v>0.11208438511970376</v>
      </c>
      <c r="K30" s="116">
        <v>0.10562608162722853</v>
      </c>
      <c r="L30" s="116">
        <v>9.0794563997872335E-2</v>
      </c>
      <c r="M30" s="116">
        <v>7.0260666991849297E-2</v>
      </c>
      <c r="N30" s="116">
        <v>4.8218360404944538E-2</v>
      </c>
      <c r="O30" s="116">
        <v>2.8854234614640095E-2</v>
      </c>
      <c r="P30" s="116">
        <v>1.4773964924806759E-2</v>
      </c>
      <c r="Q30" s="116">
        <v>6.3385343681182649E-3</v>
      </c>
      <c r="R30" s="116">
        <v>2.2268577196306039E-3</v>
      </c>
      <c r="S30" s="116">
        <v>6.2471001963848583E-4</v>
      </c>
      <c r="T30" s="116">
        <v>1.3615841889635938E-4</v>
      </c>
      <c r="U30" s="116">
        <v>2.2380636622298944E-5</v>
      </c>
      <c r="V30" s="116">
        <v>2.68643837586513E-6</v>
      </c>
      <c r="W30" s="210">
        <v>4.2999999999999997E-2</v>
      </c>
      <c r="X30" s="116">
        <v>9.5797142280278316E-2</v>
      </c>
      <c r="Y30" s="116">
        <v>0.16040539374775648</v>
      </c>
      <c r="Z30" s="116">
        <v>0.23540539374775649</v>
      </c>
      <c r="AA30" s="116">
        <v>0.32095239121809005</v>
      </c>
      <c r="AB30" s="116">
        <v>0.42096711425629652</v>
      </c>
      <c r="AC30" s="116">
        <v>0.53068481860864725</v>
      </c>
      <c r="AD30" s="116">
        <v>0.642769203728351</v>
      </c>
      <c r="AE30" s="116">
        <v>0.74839528535557953</v>
      </c>
      <c r="AF30" s="116">
        <v>0.83918984935345187</v>
      </c>
      <c r="AG30" s="116">
        <v>0.90945051634530116</v>
      </c>
      <c r="AH30" s="116">
        <v>0.9576688767502457</v>
      </c>
      <c r="AI30" s="116">
        <v>0.9865231113648858</v>
      </c>
      <c r="AJ30" s="116">
        <v>1.0012970762896924</v>
      </c>
      <c r="AK30" s="116">
        <v>1.0076356106578106</v>
      </c>
      <c r="AL30" s="116">
        <v>1.0098624683774413</v>
      </c>
      <c r="AM30" s="116">
        <v>1.0104871783970797</v>
      </c>
      <c r="AN30" s="116">
        <v>1.010623336815976</v>
      </c>
      <c r="AO30" s="116">
        <v>1.0106457174525985</v>
      </c>
      <c r="AP30" s="116">
        <v>1.0106484038909742</v>
      </c>
    </row>
    <row r="31" spans="1:42">
      <c r="B31" s="207" t="str">
        <f>B23</f>
        <v>Retro1Slow</v>
      </c>
      <c r="C31" s="213">
        <v>2.5643970768378654E-3</v>
      </c>
      <c r="D31" s="213">
        <v>5.1260615529385989E-3</v>
      </c>
      <c r="E31" s="213">
        <v>9.1015544176433795E-3</v>
      </c>
      <c r="F31" s="213">
        <v>1.4804925730045659E-2</v>
      </c>
      <c r="G31" s="213">
        <v>2.2471809420486211E-2</v>
      </c>
      <c r="H31" s="213">
        <v>3.2184432813882391E-2</v>
      </c>
      <c r="I31" s="213">
        <v>4.3779667172004086E-2</v>
      </c>
      <c r="J31" s="213">
        <v>5.675426075474499E-2</v>
      </c>
      <c r="K31" s="213">
        <v>7.0195239068707532E-2</v>
      </c>
      <c r="L31" s="213">
        <v>8.2776861842756788E-2</v>
      </c>
      <c r="M31" s="213">
        <v>9.2870259507494834E-2</v>
      </c>
      <c r="N31" s="213">
        <v>9.8796470678915727E-2</v>
      </c>
      <c r="O31" s="213">
        <v>9.9208932889988999E-2</v>
      </c>
      <c r="P31" s="213">
        <v>9.3521150494244254E-2</v>
      </c>
      <c r="Q31" s="213">
        <v>8.2226007896862296E-2</v>
      </c>
      <c r="R31" s="213">
        <v>6.6933566027365665E-2</v>
      </c>
      <c r="S31" s="213">
        <v>5.0029565143448806E-2</v>
      </c>
      <c r="T31" s="213">
        <v>3.402486521893211E-2</v>
      </c>
      <c r="U31" s="213">
        <v>2.0846059340774659E-2</v>
      </c>
      <c r="V31" s="214">
        <v>0.01</v>
      </c>
      <c r="W31" s="210">
        <v>2.5643970768378654E-3</v>
      </c>
      <c r="X31" s="116">
        <v>7.6904586297764643E-3</v>
      </c>
      <c r="Y31" s="116">
        <v>1.6792013047419844E-2</v>
      </c>
      <c r="Z31" s="116">
        <v>3.15969387774655E-2</v>
      </c>
      <c r="AA31" s="116">
        <v>5.406874819795171E-2</v>
      </c>
      <c r="AB31" s="116">
        <v>8.6253181011834101E-2</v>
      </c>
      <c r="AC31" s="116">
        <v>0.1300328481838382</v>
      </c>
      <c r="AD31" s="116">
        <v>0.18678710893858319</v>
      </c>
      <c r="AE31" s="116">
        <v>0.2569823480072907</v>
      </c>
      <c r="AF31" s="116">
        <v>0.33975920985004748</v>
      </c>
      <c r="AG31" s="116">
        <v>0.43262946935754232</v>
      </c>
      <c r="AH31" s="116">
        <v>0.53142594003645804</v>
      </c>
      <c r="AI31" s="116">
        <v>0.63063487292644704</v>
      </c>
      <c r="AJ31" s="116">
        <v>0.7241560234206913</v>
      </c>
      <c r="AK31" s="116">
        <v>0.80638203131755359</v>
      </c>
      <c r="AL31" s="116">
        <v>0.87331559734491926</v>
      </c>
      <c r="AM31" s="116">
        <v>0.92334516248836807</v>
      </c>
      <c r="AN31" s="116">
        <v>0.95737002770730018</v>
      </c>
      <c r="AO31" s="116">
        <v>0.97821608704807483</v>
      </c>
      <c r="AP31" s="116">
        <v>0.98821608704807484</v>
      </c>
    </row>
    <row r="32" spans="1:42">
      <c r="B32" s="207" t="str">
        <f>B19</f>
        <v>Retro50Fast</v>
      </c>
      <c r="C32" s="215">
        <v>0.45</v>
      </c>
      <c r="D32" s="215">
        <v>0.21</v>
      </c>
      <c r="E32" s="215">
        <v>0.14000000000000001</v>
      </c>
      <c r="F32" s="215">
        <v>0.09</v>
      </c>
      <c r="G32" s="28">
        <v>5.9540362609726505E-2</v>
      </c>
      <c r="H32" s="28">
        <v>2.9770181304863419E-2</v>
      </c>
      <c r="I32" s="28">
        <v>1.3231191691050248E-2</v>
      </c>
      <c r="J32" s="28">
        <v>5.2924766764202991E-3</v>
      </c>
      <c r="K32" s="28">
        <v>1.9245369732436846E-3</v>
      </c>
      <c r="L32" s="28">
        <v>6.415123244144505E-4</v>
      </c>
      <c r="M32" s="28">
        <v>1.9738840751215569E-4</v>
      </c>
      <c r="N32" s="28">
        <v>5.6396687860615913E-5</v>
      </c>
      <c r="O32" s="28">
        <v>1.5039116763038152E-5</v>
      </c>
      <c r="P32" s="28">
        <v>3.7597791905374933E-6</v>
      </c>
      <c r="Q32" s="28">
        <v>8.8465392733549919E-7</v>
      </c>
      <c r="R32" s="28">
        <v>1.9658976146974538E-7</v>
      </c>
      <c r="S32" s="28">
        <v>4.13873183502389E-8</v>
      </c>
      <c r="T32" s="28">
        <v>8.2774636034343985E-9</v>
      </c>
      <c r="U32" s="28">
        <v>1.5766598027155965E-9</v>
      </c>
      <c r="V32" s="28">
        <v>2.8666535811794347E-10</v>
      </c>
      <c r="W32" s="210">
        <v>0.45</v>
      </c>
      <c r="X32" s="116">
        <v>0.66</v>
      </c>
      <c r="Y32" s="116">
        <v>0.8</v>
      </c>
      <c r="Z32" s="116">
        <v>0.89</v>
      </c>
      <c r="AA32" s="116">
        <v>0.94954036260972652</v>
      </c>
      <c r="AB32" s="116">
        <v>0.97931054391458994</v>
      </c>
      <c r="AC32" s="116">
        <v>0.99254173560564019</v>
      </c>
      <c r="AD32" s="116">
        <v>0.99783421228206048</v>
      </c>
      <c r="AE32" s="116">
        <v>0.99975874925530417</v>
      </c>
      <c r="AF32" s="116">
        <v>1.0004002615797187</v>
      </c>
      <c r="AG32" s="116">
        <v>1.0005976499872309</v>
      </c>
      <c r="AH32" s="116">
        <v>1.0006540466750915</v>
      </c>
      <c r="AI32" s="116">
        <v>1.0006690857918545</v>
      </c>
      <c r="AJ32" s="116">
        <v>1.000672845571045</v>
      </c>
      <c r="AK32" s="116">
        <v>1.0006737302249724</v>
      </c>
      <c r="AL32" s="116">
        <v>1.0006739268147338</v>
      </c>
      <c r="AM32" s="116">
        <v>1.0006739682020522</v>
      </c>
      <c r="AN32" s="116">
        <v>1.0006739764795158</v>
      </c>
      <c r="AO32" s="116">
        <v>1.0006739780561755</v>
      </c>
      <c r="AP32" s="116">
        <v>1.0006739783428409</v>
      </c>
    </row>
    <row r="33" spans="2:42">
      <c r="B33" s="207" t="str">
        <f>B22</f>
        <v>Retro20Fast</v>
      </c>
      <c r="C33" s="28">
        <v>0.22119921692859512</v>
      </c>
      <c r="D33" s="28">
        <v>0.15504311102289431</v>
      </c>
      <c r="E33" s="28">
        <v>0.10733128557729499</v>
      </c>
      <c r="F33" s="28">
        <v>8.3589689255657879E-2</v>
      </c>
      <c r="G33" s="28">
        <v>7.3237179880126971E-2</v>
      </c>
      <c r="H33" s="28">
        <v>6.3374636711760357E-2</v>
      </c>
      <c r="I33" s="28">
        <v>5.4291838367783084E-2</v>
      </c>
      <c r="J33" s="28">
        <v>4.612639225659896E-2</v>
      </c>
      <c r="K33" s="28">
        <v>3.8916876277172864E-2</v>
      </c>
      <c r="L33" s="28">
        <v>3.2639916313151704E-2</v>
      </c>
      <c r="M33" s="28">
        <v>2.7235706125786907E-2</v>
      </c>
      <c r="N33" s="28">
        <v>2.1211189258265428E-2</v>
      </c>
      <c r="O33" s="28">
        <v>1.6519290804212883E-2</v>
      </c>
      <c r="P33" s="28">
        <v>1.2865236614105324E-2</v>
      </c>
      <c r="Q33" s="28">
        <v>1.0019456349464106E-2</v>
      </c>
      <c r="R33" s="28">
        <v>7.8031604509122832E-3</v>
      </c>
      <c r="S33" s="28">
        <v>6.077107469602494E-3</v>
      </c>
      <c r="T33" s="28">
        <v>4.7328560561354371E-3</v>
      </c>
      <c r="U33" s="28">
        <v>3.6859520026825132E-3</v>
      </c>
      <c r="V33" s="28">
        <v>2.8706223060526725E-3</v>
      </c>
      <c r="W33" s="210">
        <v>0.22119921692859512</v>
      </c>
      <c r="X33" s="116">
        <v>0.37624232795148943</v>
      </c>
      <c r="Y33" s="116">
        <v>0.48357361352878442</v>
      </c>
      <c r="Z33" s="116">
        <v>0.56716330278444227</v>
      </c>
      <c r="AA33" s="116">
        <v>0.64040048266456928</v>
      </c>
      <c r="AB33" s="116">
        <v>0.70377511937632964</v>
      </c>
      <c r="AC33" s="116">
        <v>0.7580669577441127</v>
      </c>
      <c r="AD33" s="116">
        <v>0.80419335000071168</v>
      </c>
      <c r="AE33" s="116">
        <v>0.84311022627788457</v>
      </c>
      <c r="AF33" s="116">
        <v>0.87575014259103623</v>
      </c>
      <c r="AG33" s="116">
        <v>0.90298584871682319</v>
      </c>
      <c r="AH33" s="116">
        <v>0.92419703797508856</v>
      </c>
      <c r="AI33" s="116">
        <v>0.94071632877930145</v>
      </c>
      <c r="AJ33" s="116">
        <v>0.95358156539340677</v>
      </c>
      <c r="AK33" s="116">
        <v>0.96360102174287088</v>
      </c>
      <c r="AL33" s="116">
        <v>0.97140418219378311</v>
      </c>
      <c r="AM33" s="116">
        <v>0.97748128966338554</v>
      </c>
      <c r="AN33" s="116">
        <v>0.98221414571952104</v>
      </c>
      <c r="AO33" s="116">
        <v>0.98590009772220355</v>
      </c>
      <c r="AP33" s="116">
        <v>0.98877072002825628</v>
      </c>
    </row>
    <row r="34" spans="2:42">
      <c r="B34" s="207" t="str">
        <f>B24</f>
        <v>RetroEven20</v>
      </c>
      <c r="C34" s="215">
        <v>0.05</v>
      </c>
      <c r="D34" s="216">
        <v>0.05</v>
      </c>
      <c r="E34" s="216">
        <v>0.05</v>
      </c>
      <c r="F34" s="216">
        <v>0.05</v>
      </c>
      <c r="G34" s="216">
        <v>0.05</v>
      </c>
      <c r="H34" s="216">
        <v>0.05</v>
      </c>
      <c r="I34" s="216">
        <v>0.05</v>
      </c>
      <c r="J34" s="216">
        <v>0.05</v>
      </c>
      <c r="K34" s="216">
        <v>0.05</v>
      </c>
      <c r="L34" s="216">
        <v>0.05</v>
      </c>
      <c r="M34" s="216">
        <v>0.05</v>
      </c>
      <c r="N34" s="216">
        <v>0.05</v>
      </c>
      <c r="O34" s="216">
        <v>0.05</v>
      </c>
      <c r="P34" s="216">
        <v>0.05</v>
      </c>
      <c r="Q34" s="216">
        <v>0.05</v>
      </c>
      <c r="R34" s="216">
        <v>0.05</v>
      </c>
      <c r="S34" s="216">
        <v>0.05</v>
      </c>
      <c r="T34" s="216">
        <v>0.05</v>
      </c>
      <c r="U34" s="216">
        <v>0.05</v>
      </c>
      <c r="V34" s="216">
        <v>0.05</v>
      </c>
      <c r="W34" s="210">
        <v>0.05</v>
      </c>
      <c r="X34" s="116">
        <v>0.1</v>
      </c>
      <c r="Y34" s="116">
        <v>0.15000000000000002</v>
      </c>
      <c r="Z34" s="116">
        <v>0.2</v>
      </c>
      <c r="AA34" s="116">
        <v>0.25</v>
      </c>
      <c r="AB34" s="116">
        <v>0.3</v>
      </c>
      <c r="AC34" s="116">
        <v>0.35</v>
      </c>
      <c r="AD34" s="116">
        <v>0.39999999999999997</v>
      </c>
      <c r="AE34" s="116">
        <v>0.44999999999999996</v>
      </c>
      <c r="AF34" s="116">
        <v>0.49999999999999994</v>
      </c>
      <c r="AG34" s="116">
        <v>0.54999999999999993</v>
      </c>
      <c r="AH34" s="116">
        <v>0.6</v>
      </c>
      <c r="AI34" s="116">
        <v>0.65</v>
      </c>
      <c r="AJ34" s="116">
        <v>0.70000000000000007</v>
      </c>
      <c r="AK34" s="116">
        <v>0.75000000000000011</v>
      </c>
      <c r="AL34" s="116">
        <v>0.80000000000000016</v>
      </c>
      <c r="AM34" s="116">
        <v>0.8500000000000002</v>
      </c>
      <c r="AN34" s="116">
        <v>0.90000000000000024</v>
      </c>
      <c r="AO34" s="116">
        <v>0.95000000000000029</v>
      </c>
      <c r="AP34" s="116">
        <v>1.0000000000000002</v>
      </c>
    </row>
    <row r="35" spans="2:42">
      <c r="B35" s="207" t="str">
        <f t="shared" ref="B35:B36" si="10">B25</f>
        <v>RetroMax60</v>
      </c>
      <c r="C35" s="37">
        <v>0.01</v>
      </c>
      <c r="D35" s="37">
        <v>1.9799999999999998E-2</v>
      </c>
      <c r="E35" s="37">
        <v>2.9106E-2</v>
      </c>
      <c r="F35" s="37">
        <v>3.7643759999999998E-2</v>
      </c>
      <c r="G35" s="37">
        <v>4.5172511999999984E-2</v>
      </c>
      <c r="H35" s="28">
        <v>4.8635737920000005E-2</v>
      </c>
      <c r="I35" s="28">
        <v>4.587971277120001E-2</v>
      </c>
      <c r="J35" s="28">
        <v>4.3279862380832007E-2</v>
      </c>
      <c r="K35" s="28">
        <v>4.0827336845918161E-2</v>
      </c>
      <c r="L35" s="28">
        <v>3.8513787757982809E-2</v>
      </c>
      <c r="M35" s="28">
        <v>3.6331339785030448E-2</v>
      </c>
      <c r="N35" s="28">
        <v>3.4272563863878724E-2</v>
      </c>
      <c r="O35" s="28">
        <v>3.2330451911592284E-2</v>
      </c>
      <c r="P35" s="28">
        <v>3.0498392969935395E-2</v>
      </c>
      <c r="Q35" s="28">
        <v>2.8770150701639075E-2</v>
      </c>
      <c r="R35" s="28">
        <v>2.7139842161879479E-2</v>
      </c>
      <c r="S35" s="28">
        <v>2.5601917772706373E-2</v>
      </c>
      <c r="T35" s="28">
        <v>2.4151142432252914E-2</v>
      </c>
      <c r="U35" s="28">
        <v>2.2782577694425266E-2</v>
      </c>
      <c r="V35" s="28">
        <v>2.1491564958407872E-2</v>
      </c>
      <c r="W35" s="210">
        <v>0.01</v>
      </c>
      <c r="X35" s="116">
        <v>2.98E-2</v>
      </c>
      <c r="Y35" s="116">
        <v>5.8906E-2</v>
      </c>
      <c r="Z35" s="116">
        <v>9.6549759999999998E-2</v>
      </c>
      <c r="AA35" s="116">
        <v>0.14172227199999998</v>
      </c>
      <c r="AB35" s="116">
        <v>0.19035800991999999</v>
      </c>
      <c r="AC35" s="116">
        <v>0.2362377226912</v>
      </c>
      <c r="AD35" s="116">
        <v>0.279517585072032</v>
      </c>
      <c r="AE35" s="116">
        <v>0.32034492191795017</v>
      </c>
      <c r="AF35" s="116">
        <v>0.35885870967593297</v>
      </c>
      <c r="AG35" s="116">
        <v>0.39519004946096342</v>
      </c>
      <c r="AH35" s="116">
        <v>0.42946261332484215</v>
      </c>
      <c r="AI35" s="116">
        <v>0.46179306523643443</v>
      </c>
      <c r="AJ35" s="116">
        <v>0.49229145820636983</v>
      </c>
      <c r="AK35" s="116">
        <v>0.5210616089080089</v>
      </c>
      <c r="AL35" s="116">
        <v>0.54820145106988838</v>
      </c>
      <c r="AM35" s="116">
        <v>0.57380336884259475</v>
      </c>
      <c r="AN35" s="116">
        <v>0.59795451127484767</v>
      </c>
      <c r="AO35" s="116">
        <v>0.62073708896927293</v>
      </c>
      <c r="AP35" s="116">
        <v>0.6422286539276808</v>
      </c>
    </row>
    <row r="36" spans="2:42">
      <c r="B36" s="207" t="str">
        <f t="shared" si="10"/>
        <v>Retro3Slow</v>
      </c>
      <c r="C36" s="37">
        <v>5.5320496977002724E-3</v>
      </c>
      <c r="D36" s="37">
        <v>8.6958686465615706E-3</v>
      </c>
      <c r="E36" s="37">
        <v>1.7391737293123145E-2</v>
      </c>
      <c r="F36" s="37">
        <v>3.0435540262965514E-2</v>
      </c>
      <c r="G36" s="37">
        <v>4.7344173742390784E-2</v>
      </c>
      <c r="H36" s="28">
        <v>6.6281843239347063E-2</v>
      </c>
      <c r="I36" s="28">
        <v>8.4358709577350838E-2</v>
      </c>
      <c r="J36" s="28">
        <v>9.8418494506909315E-2</v>
      </c>
      <c r="K36" s="28">
        <v>0.10598914793051767</v>
      </c>
      <c r="L36" s="28">
        <v>0.10598914793051767</v>
      </c>
      <c r="M36" s="28">
        <v>9.8923204735149928E-2</v>
      </c>
      <c r="N36" s="28">
        <v>8.655780414325609E-2</v>
      </c>
      <c r="O36" s="28">
        <v>7.1282897529740263E-2</v>
      </c>
      <c r="P36" s="28">
        <v>5.5442253634242489E-2</v>
      </c>
      <c r="Q36" s="28">
        <v>4.0852186888389319E-2</v>
      </c>
      <c r="R36" s="28">
        <v>2.8596530821872412E-2</v>
      </c>
      <c r="S36" s="28">
        <v>1.9064353881248275E-2</v>
      </c>
      <c r="T36" s="28">
        <v>1.2131861560794377E-2</v>
      </c>
      <c r="U36" s="28">
        <v>7.3846113848314854E-3</v>
      </c>
      <c r="V36" s="28">
        <v>4.3076899744848296E-3</v>
      </c>
      <c r="W36" s="210">
        <v>5.5320496977002724E-3</v>
      </c>
      <c r="X36" s="116">
        <v>1.4227918344261844E-2</v>
      </c>
      <c r="Y36" s="116">
        <v>3.1619655637384989E-2</v>
      </c>
      <c r="Z36" s="116">
        <v>6.2055195900350503E-2</v>
      </c>
      <c r="AA36" s="116">
        <v>0.10939936964274129</v>
      </c>
      <c r="AB36" s="116">
        <v>0.17568121288208835</v>
      </c>
      <c r="AC36" s="116">
        <v>0.26003992245943919</v>
      </c>
      <c r="AD36" s="116">
        <v>0.3584584169663485</v>
      </c>
      <c r="AE36" s="116">
        <v>0.46444756489686617</v>
      </c>
      <c r="AF36" s="116">
        <v>0.57043671282738384</v>
      </c>
      <c r="AG36" s="116">
        <v>0.66935991756253377</v>
      </c>
      <c r="AH36" s="116">
        <v>0.75591772170578986</v>
      </c>
      <c r="AI36" s="116">
        <v>0.82720061923553012</v>
      </c>
      <c r="AJ36" s="116">
        <v>0.88264287286977261</v>
      </c>
      <c r="AK36" s="116">
        <v>0.92349505975816193</v>
      </c>
      <c r="AL36" s="116">
        <v>0.95209159058003434</v>
      </c>
      <c r="AM36" s="116">
        <v>0.97115594446128262</v>
      </c>
      <c r="AN36" s="116">
        <v>0.98328780602207699</v>
      </c>
      <c r="AO36" s="116">
        <v>0.99067241740690848</v>
      </c>
      <c r="AP36" s="116">
        <v>0.99498010738139331</v>
      </c>
    </row>
    <row r="37" spans="2:42">
      <c r="W37" s="217"/>
    </row>
    <row r="38" spans="2:42">
      <c r="B38" s="207" t="str">
        <f>B11</f>
        <v>LO12Med</v>
      </c>
      <c r="C38" s="116">
        <v>0.10937459468255628</v>
      </c>
      <c r="D38" s="116">
        <v>0.10937459468255628</v>
      </c>
      <c r="E38" s="116">
        <v>0.10937459468255628</v>
      </c>
      <c r="F38" s="116">
        <v>0.10937459468255628</v>
      </c>
      <c r="G38" s="116">
        <v>0.10937459468255628</v>
      </c>
      <c r="H38" s="116">
        <v>9.8437135214300656E-2</v>
      </c>
      <c r="I38" s="116">
        <v>7.874970817144053E-2</v>
      </c>
      <c r="J38" s="116">
        <v>6.2999766537152418E-2</v>
      </c>
      <c r="K38" s="116">
        <v>5.0399813229721938E-2</v>
      </c>
      <c r="L38" s="116">
        <v>4.0319850583777551E-2</v>
      </c>
      <c r="M38" s="116">
        <v>3.225588046702204E-2</v>
      </c>
      <c r="N38" s="116">
        <v>2.5804704373617631E-2</v>
      </c>
      <c r="O38" s="116">
        <v>2.0643763498894106E-2</v>
      </c>
      <c r="P38" s="116">
        <v>1.6515010799115284E-2</v>
      </c>
      <c r="Q38" s="116">
        <v>1.3212008639292228E-2</v>
      </c>
      <c r="R38" s="116">
        <v>1.0569606911433781E-2</v>
      </c>
      <c r="S38" s="116">
        <v>7.2092823794611682E-5</v>
      </c>
      <c r="T38" s="116">
        <v>2.5747437069512102E-5</v>
      </c>
      <c r="U38" s="116">
        <v>8.7775353646568632E-6</v>
      </c>
      <c r="V38" s="116">
        <v>2.8622397928446119E-6</v>
      </c>
      <c r="W38" s="210">
        <v>0.10937459468255628</v>
      </c>
      <c r="X38" s="116">
        <v>0.21874918936511256</v>
      </c>
      <c r="Y38" s="116">
        <v>0.32812378404766884</v>
      </c>
      <c r="Z38" s="116">
        <v>0.43749837873022512</v>
      </c>
      <c r="AA38" s="116">
        <v>0.5468729734127814</v>
      </c>
      <c r="AB38" s="116">
        <v>0.64531010862708205</v>
      </c>
      <c r="AC38" s="116">
        <v>0.7240598167985226</v>
      </c>
      <c r="AD38" s="116">
        <v>0.78705958333567505</v>
      </c>
      <c r="AE38" s="116">
        <v>0.83745939656539703</v>
      </c>
      <c r="AF38" s="116">
        <v>0.87777924714917455</v>
      </c>
      <c r="AG38" s="116">
        <v>0.91003512761619654</v>
      </c>
      <c r="AH38" s="116">
        <v>0.93583983198981413</v>
      </c>
      <c r="AI38" s="116">
        <v>0.9564835954887082</v>
      </c>
      <c r="AJ38" s="116">
        <v>0.97299860628782353</v>
      </c>
      <c r="AK38" s="116">
        <v>0.9862106149271157</v>
      </c>
      <c r="AL38" s="116">
        <v>0.99678022183854953</v>
      </c>
      <c r="AM38" s="116">
        <v>0.99685231466234414</v>
      </c>
      <c r="AN38" s="116">
        <v>0.99687806209941365</v>
      </c>
      <c r="AO38" s="116">
        <v>0.99688683963477831</v>
      </c>
      <c r="AP38" s="116">
        <v>0.99688970187457115</v>
      </c>
    </row>
    <row r="39" spans="2:42">
      <c r="B39" s="207" t="str">
        <f>B12</f>
        <v>LO5Med</v>
      </c>
      <c r="C39" s="116">
        <v>4.2999999999999997E-2</v>
      </c>
      <c r="D39" s="116">
        <v>5.279714228027832E-2</v>
      </c>
      <c r="E39" s="116">
        <v>6.4608251467478173E-2</v>
      </c>
      <c r="F39" s="116">
        <v>7.4999999999999997E-2</v>
      </c>
      <c r="G39" s="116">
        <v>8.5546997470333563E-2</v>
      </c>
      <c r="H39" s="116">
        <v>0.10001472303820647</v>
      </c>
      <c r="I39" s="116">
        <v>0.10971770435235073</v>
      </c>
      <c r="J39" s="116">
        <v>0.11208438511970376</v>
      </c>
      <c r="K39" s="116">
        <v>0.10562608162722853</v>
      </c>
      <c r="L39" s="116">
        <v>9.0794563997872335E-2</v>
      </c>
      <c r="M39" s="116">
        <v>7.0260666991849297E-2</v>
      </c>
      <c r="N39" s="116">
        <v>4.8218360404944538E-2</v>
      </c>
      <c r="O39" s="116">
        <v>2.8854234614640095E-2</v>
      </c>
      <c r="P39" s="116">
        <v>1.4773964924806759E-2</v>
      </c>
      <c r="Q39" s="116">
        <v>6.3385343681182649E-3</v>
      </c>
      <c r="R39" s="116">
        <v>2.2268577196306039E-3</v>
      </c>
      <c r="S39" s="116">
        <v>6.2471001963848583E-4</v>
      </c>
      <c r="T39" s="116">
        <v>1.3615841889635938E-4</v>
      </c>
      <c r="U39" s="116">
        <v>2.2380636622298944E-5</v>
      </c>
      <c r="V39" s="116">
        <v>2.68643837586513E-6</v>
      </c>
      <c r="W39" s="210">
        <v>4.2999999999999997E-2</v>
      </c>
      <c r="X39" s="116">
        <v>9.5797142280278316E-2</v>
      </c>
      <c r="Y39" s="116">
        <v>0.16040539374775648</v>
      </c>
      <c r="Z39" s="116">
        <v>0.23540539374775649</v>
      </c>
      <c r="AA39" s="116">
        <v>0.32095239121809005</v>
      </c>
      <c r="AB39" s="116">
        <v>0.42096711425629652</v>
      </c>
      <c r="AC39" s="116">
        <v>0.53068481860864725</v>
      </c>
      <c r="AD39" s="116">
        <v>0.642769203728351</v>
      </c>
      <c r="AE39" s="116">
        <v>0.74839528535557953</v>
      </c>
      <c r="AF39" s="116">
        <v>0.83918984935345187</v>
      </c>
      <c r="AG39" s="116">
        <v>0.90945051634530116</v>
      </c>
      <c r="AH39" s="116">
        <v>0.9576688767502457</v>
      </c>
      <c r="AI39" s="116">
        <v>0.9865231113648858</v>
      </c>
      <c r="AJ39" s="116">
        <v>1.0012970762896924</v>
      </c>
      <c r="AK39" s="116">
        <v>1.0076356106578106</v>
      </c>
      <c r="AL39" s="116">
        <v>1.0098624683774413</v>
      </c>
      <c r="AM39" s="116">
        <v>1.0104871783970797</v>
      </c>
      <c r="AN39" s="116">
        <v>1.010623336815976</v>
      </c>
      <c r="AO39" s="116">
        <v>1.0106457174525985</v>
      </c>
      <c r="AP39" s="116">
        <v>1.0106484038909742</v>
      </c>
    </row>
    <row r="40" spans="2:42">
      <c r="B40" s="207" t="str">
        <f>B14</f>
        <v>LO1Slow</v>
      </c>
      <c r="C40" s="116">
        <v>2.5643970768378654E-3</v>
      </c>
      <c r="D40" s="116">
        <v>5.1260615529385989E-3</v>
      </c>
      <c r="E40" s="116">
        <v>9.1015544176433795E-3</v>
      </c>
      <c r="F40" s="116">
        <v>1.4804925730045659E-2</v>
      </c>
      <c r="G40" s="116">
        <v>2.2471809420486211E-2</v>
      </c>
      <c r="H40" s="116">
        <v>3.2184432813882391E-2</v>
      </c>
      <c r="I40" s="116">
        <v>4.3779667172004086E-2</v>
      </c>
      <c r="J40" s="116">
        <v>5.675426075474499E-2</v>
      </c>
      <c r="K40" s="116">
        <v>7.0195239068707532E-2</v>
      </c>
      <c r="L40" s="116">
        <v>8.2776861842756788E-2</v>
      </c>
      <c r="M40" s="116">
        <v>9.2870259507494834E-2</v>
      </c>
      <c r="N40" s="116">
        <v>9.8796470678915727E-2</v>
      </c>
      <c r="O40" s="116">
        <v>9.9208932889988999E-2</v>
      </c>
      <c r="P40" s="116">
        <v>9.3521150494244254E-2</v>
      </c>
      <c r="Q40" s="116">
        <v>8.2226007896862296E-2</v>
      </c>
      <c r="R40" s="116">
        <v>6.6933566027365665E-2</v>
      </c>
      <c r="S40" s="116">
        <v>5.0029565143448806E-2</v>
      </c>
      <c r="T40" s="116">
        <v>3.402486521893211E-2</v>
      </c>
      <c r="U40" s="116">
        <v>2.0846059340774659E-2</v>
      </c>
      <c r="V40" s="116">
        <v>0.01</v>
      </c>
      <c r="W40" s="210">
        <v>2.5643970768378654E-3</v>
      </c>
      <c r="X40" s="116">
        <v>7.6904586297764643E-3</v>
      </c>
      <c r="Y40" s="116">
        <v>1.6792013047419844E-2</v>
      </c>
      <c r="Z40" s="116">
        <v>3.15969387774655E-2</v>
      </c>
      <c r="AA40" s="116">
        <v>5.406874819795171E-2</v>
      </c>
      <c r="AB40" s="116">
        <v>8.6253181011834101E-2</v>
      </c>
      <c r="AC40" s="116">
        <v>0.1300328481838382</v>
      </c>
      <c r="AD40" s="116">
        <v>0.18678710893858319</v>
      </c>
      <c r="AE40" s="116">
        <v>0.2569823480072907</v>
      </c>
      <c r="AF40" s="116">
        <v>0.33975920985004748</v>
      </c>
      <c r="AG40" s="116">
        <v>0.43262946935754232</v>
      </c>
      <c r="AH40" s="116">
        <v>0.53142594003645804</v>
      </c>
      <c r="AI40" s="116">
        <v>0.63063487292644704</v>
      </c>
      <c r="AJ40" s="116">
        <v>0.7241560234206913</v>
      </c>
      <c r="AK40" s="116">
        <v>0.80638203131755359</v>
      </c>
      <c r="AL40" s="116">
        <v>0.87331559734491926</v>
      </c>
      <c r="AM40" s="116">
        <v>0.92334516248836807</v>
      </c>
      <c r="AN40" s="116">
        <v>0.95737002770730018</v>
      </c>
      <c r="AO40" s="116">
        <v>0.97821608704807483</v>
      </c>
      <c r="AP40" s="116">
        <v>0.98821608704807484</v>
      </c>
    </row>
    <row r="41" spans="2:42">
      <c r="B41" s="207" t="str">
        <f>B10</f>
        <v>LO50Fast</v>
      </c>
      <c r="C41" s="116">
        <v>0.45</v>
      </c>
      <c r="D41" s="116">
        <v>0.21</v>
      </c>
      <c r="E41" s="116">
        <v>0.14000000000000001</v>
      </c>
      <c r="F41" s="116">
        <v>0.09</v>
      </c>
      <c r="G41" s="116">
        <v>5.9540362609726505E-2</v>
      </c>
      <c r="H41" s="116">
        <v>2.9770181304863419E-2</v>
      </c>
      <c r="I41" s="116">
        <v>1.3231191691050248E-2</v>
      </c>
      <c r="J41" s="116">
        <v>5.2924766764202991E-3</v>
      </c>
      <c r="K41" s="116">
        <v>1.9245369732436846E-3</v>
      </c>
      <c r="L41" s="116">
        <v>6.415123244144505E-4</v>
      </c>
      <c r="M41" s="116">
        <v>1.9738840751215569E-4</v>
      </c>
      <c r="N41" s="116">
        <v>5.6396687860615913E-5</v>
      </c>
      <c r="O41" s="116">
        <v>1.5039116763038152E-5</v>
      </c>
      <c r="P41" s="116">
        <v>3.7597791905374933E-6</v>
      </c>
      <c r="Q41" s="116">
        <v>8.8465392733549919E-7</v>
      </c>
      <c r="R41" s="116">
        <v>1.9658976146974538E-7</v>
      </c>
      <c r="S41" s="116">
        <v>4.13873183502389E-8</v>
      </c>
      <c r="T41" s="116">
        <v>8.2774636034343985E-9</v>
      </c>
      <c r="U41" s="116">
        <v>1.5766598027155965E-9</v>
      </c>
      <c r="V41" s="116">
        <v>2.8666535811794347E-10</v>
      </c>
      <c r="W41" s="210">
        <v>0.45</v>
      </c>
      <c r="X41" s="116">
        <v>0.66</v>
      </c>
      <c r="Y41" s="116">
        <v>0.8</v>
      </c>
      <c r="Z41" s="116">
        <v>0.89</v>
      </c>
      <c r="AA41" s="116">
        <v>0.94954036260972652</v>
      </c>
      <c r="AB41" s="116">
        <v>0.97931054391458994</v>
      </c>
      <c r="AC41" s="116">
        <v>0.99254173560564019</v>
      </c>
      <c r="AD41" s="116">
        <v>0.99783421228206048</v>
      </c>
      <c r="AE41" s="116">
        <v>0.99975874925530417</v>
      </c>
      <c r="AF41" s="116">
        <v>1.0004002615797187</v>
      </c>
      <c r="AG41" s="116">
        <v>1.0005976499872309</v>
      </c>
      <c r="AH41" s="116">
        <v>1.0006540466750915</v>
      </c>
      <c r="AI41" s="116">
        <v>1.0006690857918545</v>
      </c>
      <c r="AJ41" s="116">
        <v>1.000672845571045</v>
      </c>
      <c r="AK41" s="116">
        <v>1.0006737302249724</v>
      </c>
      <c r="AL41" s="116">
        <v>1.0006739268147338</v>
      </c>
      <c r="AM41" s="116">
        <v>1.0006739682020522</v>
      </c>
      <c r="AN41" s="116">
        <v>1.0006739764795158</v>
      </c>
      <c r="AO41" s="116">
        <v>1.0006739780561755</v>
      </c>
      <c r="AP41" s="116">
        <v>1.0006739783428409</v>
      </c>
    </row>
    <row r="42" spans="2:42">
      <c r="B42" s="207" t="str">
        <f>B13</f>
        <v>LO20Fast</v>
      </c>
      <c r="C42" s="116">
        <v>0.22119921692859512</v>
      </c>
      <c r="D42" s="116">
        <v>0.15504311102289431</v>
      </c>
      <c r="E42" s="116">
        <v>0.10733128557729499</v>
      </c>
      <c r="F42" s="116">
        <v>8.3589689255657879E-2</v>
      </c>
      <c r="G42" s="116">
        <v>7.3237179880126971E-2</v>
      </c>
      <c r="H42" s="116">
        <v>6.3374636711760357E-2</v>
      </c>
      <c r="I42" s="116">
        <v>5.4291838367783084E-2</v>
      </c>
      <c r="J42" s="116">
        <v>4.612639225659896E-2</v>
      </c>
      <c r="K42" s="116">
        <v>3.8916876277172864E-2</v>
      </c>
      <c r="L42" s="116">
        <v>3.2639916313151704E-2</v>
      </c>
      <c r="M42" s="116">
        <v>2.7235706125786907E-2</v>
      </c>
      <c r="N42" s="116">
        <v>2.1211189258265428E-2</v>
      </c>
      <c r="O42" s="116">
        <v>1.6519290804212883E-2</v>
      </c>
      <c r="P42" s="116">
        <v>1.2865236614105324E-2</v>
      </c>
      <c r="Q42" s="116">
        <v>1.0019456349464106E-2</v>
      </c>
      <c r="R42" s="116">
        <v>7.8031604509122832E-3</v>
      </c>
      <c r="S42" s="116">
        <v>6.077107469602494E-3</v>
      </c>
      <c r="T42" s="116">
        <v>4.7328560561354371E-3</v>
      </c>
      <c r="U42" s="116">
        <v>3.6859520026825132E-3</v>
      </c>
      <c r="V42" s="116">
        <v>2.8706223060526725E-3</v>
      </c>
      <c r="W42" s="210">
        <v>0.22119921692859512</v>
      </c>
      <c r="X42" s="116">
        <v>0.37624232795148943</v>
      </c>
      <c r="Y42" s="116">
        <v>0.48357361352878442</v>
      </c>
      <c r="Z42" s="116">
        <v>0.56716330278444227</v>
      </c>
      <c r="AA42" s="116">
        <v>0.64040048266456928</v>
      </c>
      <c r="AB42" s="116">
        <v>0.70377511937632964</v>
      </c>
      <c r="AC42" s="116">
        <v>0.7580669577441127</v>
      </c>
      <c r="AD42" s="116">
        <v>0.80419335000071168</v>
      </c>
      <c r="AE42" s="116">
        <v>0.84311022627788457</v>
      </c>
      <c r="AF42" s="116">
        <v>0.87575014259103623</v>
      </c>
      <c r="AG42" s="116">
        <v>0.90298584871682319</v>
      </c>
      <c r="AH42" s="116">
        <v>0.92419703797508856</v>
      </c>
      <c r="AI42" s="116">
        <v>0.94071632877930145</v>
      </c>
      <c r="AJ42" s="116">
        <v>0.95358156539340677</v>
      </c>
      <c r="AK42" s="116">
        <v>0.96360102174287088</v>
      </c>
      <c r="AL42" s="116">
        <v>0.97140418219378311</v>
      </c>
      <c r="AM42" s="116">
        <v>0.97748128966338554</v>
      </c>
      <c r="AN42" s="116">
        <v>0.98221414571952104</v>
      </c>
      <c r="AO42" s="116">
        <v>0.98590009772220355</v>
      </c>
      <c r="AP42" s="116">
        <v>0.98877072002825628</v>
      </c>
    </row>
    <row r="43" spans="2:42">
      <c r="B43" s="207" t="str">
        <f>B15</f>
        <v>LOEven20</v>
      </c>
      <c r="C43" s="116">
        <v>0.05</v>
      </c>
      <c r="D43" s="116">
        <v>0.05</v>
      </c>
      <c r="E43" s="116">
        <v>0.05</v>
      </c>
      <c r="F43" s="116">
        <v>0.05</v>
      </c>
      <c r="G43" s="116">
        <v>0.05</v>
      </c>
      <c r="H43" s="116">
        <v>0.05</v>
      </c>
      <c r="I43" s="116">
        <v>0.05</v>
      </c>
      <c r="J43" s="116">
        <v>0.05</v>
      </c>
      <c r="K43" s="116">
        <v>0.05</v>
      </c>
      <c r="L43" s="116">
        <v>0.05</v>
      </c>
      <c r="M43" s="116">
        <v>0.05</v>
      </c>
      <c r="N43" s="116">
        <v>0.05</v>
      </c>
      <c r="O43" s="116">
        <v>0.05</v>
      </c>
      <c r="P43" s="116">
        <v>0.05</v>
      </c>
      <c r="Q43" s="116">
        <v>0.05</v>
      </c>
      <c r="R43" s="116">
        <v>0.05</v>
      </c>
      <c r="S43" s="116">
        <v>0.05</v>
      </c>
      <c r="T43" s="116">
        <v>0.05</v>
      </c>
      <c r="U43" s="116">
        <v>0.05</v>
      </c>
      <c r="V43" s="116">
        <v>0.05</v>
      </c>
      <c r="W43" s="210">
        <v>0.05</v>
      </c>
      <c r="X43" s="116">
        <v>0.1</v>
      </c>
      <c r="Y43" s="116">
        <v>0.15000000000000002</v>
      </c>
      <c r="Z43" s="116">
        <v>0.2</v>
      </c>
      <c r="AA43" s="116">
        <v>0.25</v>
      </c>
      <c r="AB43" s="116">
        <v>0.3</v>
      </c>
      <c r="AC43" s="116">
        <v>0.35</v>
      </c>
      <c r="AD43" s="116">
        <v>0.39999999999999997</v>
      </c>
      <c r="AE43" s="116">
        <v>0.44999999999999996</v>
      </c>
      <c r="AF43" s="116">
        <v>0.49999999999999994</v>
      </c>
      <c r="AG43" s="116">
        <v>0.54999999999999993</v>
      </c>
      <c r="AH43" s="116">
        <v>0.6</v>
      </c>
      <c r="AI43" s="116">
        <v>0.65</v>
      </c>
      <c r="AJ43" s="116">
        <v>0.70000000000000007</v>
      </c>
      <c r="AK43" s="116">
        <v>0.75000000000000011</v>
      </c>
      <c r="AL43" s="116">
        <v>0.80000000000000016</v>
      </c>
      <c r="AM43" s="116">
        <v>0.8500000000000002</v>
      </c>
      <c r="AN43" s="116">
        <v>0.90000000000000024</v>
      </c>
      <c r="AO43" s="116">
        <v>0.95000000000000029</v>
      </c>
      <c r="AP43" s="116">
        <v>1.0000000000000002</v>
      </c>
    </row>
    <row r="44" spans="2:42">
      <c r="B44" s="207" t="str">
        <f>B16</f>
        <v>LOMax60</v>
      </c>
      <c r="C44" s="421">
        <v>0.01</v>
      </c>
      <c r="D44" s="421">
        <v>1.9799999999999998E-2</v>
      </c>
      <c r="E44" s="421">
        <v>2.9106E-2</v>
      </c>
      <c r="F44" s="421">
        <v>3.7643759999999998E-2</v>
      </c>
      <c r="G44" s="421">
        <v>4.5172511999999984E-2</v>
      </c>
      <c r="H44" s="116">
        <v>4.8635737920000005E-2</v>
      </c>
      <c r="I44" s="116">
        <v>4.587971277120001E-2</v>
      </c>
      <c r="J44" s="116">
        <v>4.3279862380832007E-2</v>
      </c>
      <c r="K44" s="116">
        <v>4.0827336845918161E-2</v>
      </c>
      <c r="L44" s="116">
        <v>3.8513787757982809E-2</v>
      </c>
      <c r="M44" s="116">
        <v>3.6331339785030448E-2</v>
      </c>
      <c r="N44" s="116">
        <v>3.4272563863878724E-2</v>
      </c>
      <c r="O44" s="116">
        <v>3.2330451911592284E-2</v>
      </c>
      <c r="P44" s="116">
        <v>3.0498392969935395E-2</v>
      </c>
      <c r="Q44" s="116">
        <v>2.8770150701639075E-2</v>
      </c>
      <c r="R44" s="116">
        <v>2.7139842161879479E-2</v>
      </c>
      <c r="S44" s="116">
        <v>2.5601917772706373E-2</v>
      </c>
      <c r="T44" s="116">
        <v>2.4151142432252914E-2</v>
      </c>
      <c r="U44" s="116">
        <v>2.2782577694425266E-2</v>
      </c>
      <c r="V44" s="116">
        <v>2.1491564958407872E-2</v>
      </c>
      <c r="W44" s="210">
        <v>0.01</v>
      </c>
      <c r="X44" s="116">
        <v>2.98E-2</v>
      </c>
      <c r="Y44" s="116">
        <v>5.8906E-2</v>
      </c>
      <c r="Z44" s="116">
        <v>9.6549759999999998E-2</v>
      </c>
      <c r="AA44" s="116">
        <v>0.14172227199999998</v>
      </c>
      <c r="AB44" s="116">
        <v>0.19035800991999999</v>
      </c>
      <c r="AC44" s="116">
        <v>0.2362377226912</v>
      </c>
      <c r="AD44" s="116">
        <v>0.279517585072032</v>
      </c>
      <c r="AE44" s="116">
        <v>0.32034492191795017</v>
      </c>
      <c r="AF44" s="116">
        <v>0.35885870967593297</v>
      </c>
      <c r="AG44" s="116">
        <v>0.39519004946096342</v>
      </c>
      <c r="AH44" s="116">
        <v>0.42946261332484215</v>
      </c>
      <c r="AI44" s="116">
        <v>0.46179306523643443</v>
      </c>
      <c r="AJ44" s="116">
        <v>0.49229145820636983</v>
      </c>
      <c r="AK44" s="116">
        <v>0.5210616089080089</v>
      </c>
      <c r="AL44" s="116">
        <v>0.54820145106988838</v>
      </c>
      <c r="AM44" s="116">
        <v>0.57380336884259475</v>
      </c>
      <c r="AN44" s="116">
        <v>0.59795451127484767</v>
      </c>
      <c r="AO44" s="116">
        <v>0.62073708896927293</v>
      </c>
      <c r="AP44" s="116">
        <v>0.6422286539276808</v>
      </c>
    </row>
    <row r="45" spans="2:42">
      <c r="B45" s="207" t="str">
        <f>B17</f>
        <v>LO3Slow</v>
      </c>
      <c r="C45" s="421">
        <v>5.5320496977002724E-3</v>
      </c>
      <c r="D45" s="421">
        <v>8.6958686465615706E-3</v>
      </c>
      <c r="E45" s="421">
        <v>1.7391737293123145E-2</v>
      </c>
      <c r="F45" s="421">
        <v>3.0435540262965514E-2</v>
      </c>
      <c r="G45" s="421">
        <v>4.7344173742390784E-2</v>
      </c>
      <c r="H45" s="116">
        <v>6.6281843239347063E-2</v>
      </c>
      <c r="I45" s="116">
        <v>8.4358709577350838E-2</v>
      </c>
      <c r="J45" s="116">
        <v>9.8418494506909315E-2</v>
      </c>
      <c r="K45" s="116">
        <v>0.10598914793051767</v>
      </c>
      <c r="L45" s="116">
        <v>0.10598914793051767</v>
      </c>
      <c r="M45" s="116">
        <v>9.8923204735149928E-2</v>
      </c>
      <c r="N45" s="116">
        <v>8.655780414325609E-2</v>
      </c>
      <c r="O45" s="116">
        <v>7.1282897529740263E-2</v>
      </c>
      <c r="P45" s="116">
        <v>5.5442253634242489E-2</v>
      </c>
      <c r="Q45" s="116">
        <v>4.0852186888389319E-2</v>
      </c>
      <c r="R45" s="116">
        <v>2.8596530821872412E-2</v>
      </c>
      <c r="S45" s="116">
        <v>1.9064353881248275E-2</v>
      </c>
      <c r="T45" s="116">
        <v>1.2131861560794377E-2</v>
      </c>
      <c r="U45" s="116">
        <v>7.3846113848314854E-3</v>
      </c>
      <c r="V45" s="116">
        <v>4.3076899744848296E-3</v>
      </c>
      <c r="W45" s="210">
        <v>5.5320496977002724E-3</v>
      </c>
      <c r="X45" s="116">
        <v>1.4227918344261844E-2</v>
      </c>
      <c r="Y45" s="116">
        <v>3.1619655637384989E-2</v>
      </c>
      <c r="Z45" s="116">
        <v>6.2055195900350503E-2</v>
      </c>
      <c r="AA45" s="116">
        <v>0.10939936964274129</v>
      </c>
      <c r="AB45" s="116">
        <v>0.17568121288208835</v>
      </c>
      <c r="AC45" s="116">
        <v>0.26003992245943919</v>
      </c>
      <c r="AD45" s="116">
        <v>0.3584584169663485</v>
      </c>
      <c r="AE45" s="116">
        <v>0.46444756489686617</v>
      </c>
      <c r="AF45" s="116">
        <v>0.57043671282738384</v>
      </c>
      <c r="AG45" s="116">
        <v>0.66935991756253377</v>
      </c>
      <c r="AH45" s="116">
        <v>0.75591772170578986</v>
      </c>
      <c r="AI45" s="116">
        <v>0.82720061923553012</v>
      </c>
      <c r="AJ45" s="116">
        <v>0.88264287286977261</v>
      </c>
      <c r="AK45" s="116">
        <v>0.92349505975816193</v>
      </c>
      <c r="AL45" s="116">
        <v>0.95209159058003434</v>
      </c>
      <c r="AM45" s="116">
        <v>0.97115594446128262</v>
      </c>
      <c r="AN45" s="116">
        <v>0.98328780602207699</v>
      </c>
      <c r="AO45" s="116">
        <v>0.99067241740690848</v>
      </c>
      <c r="AP45" s="116">
        <v>0.99498010738139331</v>
      </c>
    </row>
    <row r="46" spans="2:42">
      <c r="B46" s="423" t="s">
        <v>435</v>
      </c>
      <c r="C46" s="421">
        <v>0.01</v>
      </c>
      <c r="D46" s="421">
        <v>1.6E-2</v>
      </c>
      <c r="E46" s="421">
        <v>2.1999999999999999E-2</v>
      </c>
      <c r="F46" s="421">
        <v>0.03</v>
      </c>
      <c r="G46" s="421">
        <v>3.5000000000000003E-2</v>
      </c>
      <c r="H46" s="421">
        <v>0.04</v>
      </c>
      <c r="I46" s="421">
        <v>4.4999999999999998E-2</v>
      </c>
      <c r="J46" s="421">
        <v>4.8000000000000001E-2</v>
      </c>
      <c r="K46" s="421">
        <v>5.0999999999999997E-2</v>
      </c>
      <c r="L46" s="421">
        <v>5.3999999999999999E-2</v>
      </c>
      <c r="M46" s="421">
        <v>5.7000000000000002E-2</v>
      </c>
      <c r="N46" s="421">
        <v>0.06</v>
      </c>
      <c r="O46" s="421">
        <v>0.06</v>
      </c>
      <c r="P46" s="421">
        <v>0.06</v>
      </c>
      <c r="Q46" s="421">
        <v>0.06</v>
      </c>
      <c r="R46" s="421">
        <v>0.06</v>
      </c>
      <c r="S46" s="421">
        <v>0.06</v>
      </c>
      <c r="T46" s="421">
        <v>0.06</v>
      </c>
      <c r="U46" s="421">
        <v>0.06</v>
      </c>
      <c r="V46" s="421">
        <v>0.06</v>
      </c>
    </row>
    <row r="49" spans="2:42">
      <c r="B49" s="219" t="s">
        <v>503</v>
      </c>
      <c r="C49" s="219">
        <v>2016</v>
      </c>
      <c r="D49" s="219">
        <f>C49+1</f>
        <v>2017</v>
      </c>
      <c r="E49" s="219">
        <f t="shared" ref="E49" si="11">D49+1</f>
        <v>2018</v>
      </c>
      <c r="F49" s="219">
        <f t="shared" ref="F49" si="12">E49+1</f>
        <v>2019</v>
      </c>
      <c r="G49" s="219">
        <f t="shared" ref="G49" si="13">F49+1</f>
        <v>2020</v>
      </c>
      <c r="H49" s="219">
        <f t="shared" ref="H49" si="14">G49+1</f>
        <v>2021</v>
      </c>
      <c r="I49" s="219">
        <f t="shared" ref="I49" si="15">H49+1</f>
        <v>2022</v>
      </c>
      <c r="J49" s="219">
        <f t="shared" ref="J49" si="16">I49+1</f>
        <v>2023</v>
      </c>
      <c r="K49" s="219">
        <f t="shared" ref="K49" si="17">J49+1</f>
        <v>2024</v>
      </c>
      <c r="L49" s="219">
        <f t="shared" ref="L49" si="18">K49+1</f>
        <v>2025</v>
      </c>
      <c r="M49" s="219">
        <f t="shared" ref="M49" si="19">L49+1</f>
        <v>2026</v>
      </c>
      <c r="N49" s="219">
        <f t="shared" ref="N49" si="20">M49+1</f>
        <v>2027</v>
      </c>
      <c r="O49" s="219">
        <f t="shared" ref="O49" si="21">N49+1</f>
        <v>2028</v>
      </c>
      <c r="P49" s="219">
        <f t="shared" ref="P49" si="22">O49+1</f>
        <v>2029</v>
      </c>
      <c r="Q49" s="219">
        <f t="shared" ref="Q49" si="23">P49+1</f>
        <v>2030</v>
      </c>
      <c r="R49" s="219">
        <f t="shared" ref="R49" si="24">Q49+1</f>
        <v>2031</v>
      </c>
      <c r="S49" s="219">
        <f t="shared" ref="S49" si="25">R49+1</f>
        <v>2032</v>
      </c>
      <c r="T49" s="219">
        <f t="shared" ref="T49" si="26">S49+1</f>
        <v>2033</v>
      </c>
      <c r="U49" s="219">
        <f t="shared" ref="U49" si="27">T49+1</f>
        <v>2034</v>
      </c>
      <c r="V49" s="220">
        <f t="shared" ref="V49" si="28">U49+1</f>
        <v>2035</v>
      </c>
      <c r="W49" s="221">
        <v>2016</v>
      </c>
      <c r="X49" s="219">
        <f>W49+1</f>
        <v>2017</v>
      </c>
      <c r="Y49" s="219">
        <f t="shared" ref="Y49" si="29">X49+1</f>
        <v>2018</v>
      </c>
      <c r="Z49" s="219">
        <f t="shared" ref="Z49" si="30">Y49+1</f>
        <v>2019</v>
      </c>
      <c r="AA49" s="219">
        <f t="shared" ref="AA49" si="31">Z49+1</f>
        <v>2020</v>
      </c>
      <c r="AB49" s="219">
        <f t="shared" ref="AB49" si="32">AA49+1</f>
        <v>2021</v>
      </c>
      <c r="AC49" s="219">
        <f t="shared" ref="AC49" si="33">AB49+1</f>
        <v>2022</v>
      </c>
      <c r="AD49" s="219">
        <f t="shared" ref="AD49" si="34">AC49+1</f>
        <v>2023</v>
      </c>
      <c r="AE49" s="219">
        <f t="shared" ref="AE49" si="35">AD49+1</f>
        <v>2024</v>
      </c>
      <c r="AF49" s="219">
        <f t="shared" ref="AF49" si="36">AE49+1</f>
        <v>2025</v>
      </c>
      <c r="AG49" s="219">
        <f t="shared" ref="AG49" si="37">AF49+1</f>
        <v>2026</v>
      </c>
      <c r="AH49" s="219">
        <f t="shared" ref="AH49" si="38">AG49+1</f>
        <v>2027</v>
      </c>
      <c r="AI49" s="219">
        <f t="shared" ref="AI49" si="39">AH49+1</f>
        <v>2028</v>
      </c>
      <c r="AJ49" s="219">
        <f t="shared" ref="AJ49" si="40">AI49+1</f>
        <v>2029</v>
      </c>
      <c r="AK49" s="219">
        <f t="shared" ref="AK49" si="41">AJ49+1</f>
        <v>2030</v>
      </c>
      <c r="AL49" s="219">
        <f t="shared" ref="AL49" si="42">AK49+1</f>
        <v>2031</v>
      </c>
      <c r="AM49" s="219">
        <f t="shared" ref="AM49" si="43">AL49+1</f>
        <v>2032</v>
      </c>
      <c r="AN49" s="219">
        <f t="shared" ref="AN49" si="44">AM49+1</f>
        <v>2033</v>
      </c>
      <c r="AO49" s="219">
        <f t="shared" ref="AO49" si="45">AN49+1</f>
        <v>2034</v>
      </c>
      <c r="AP49" s="219">
        <f t="shared" ref="AP49" si="46">AO49+1</f>
        <v>2035</v>
      </c>
    </row>
    <row r="50" spans="2:42">
      <c r="B50" s="149"/>
      <c r="C50" s="3">
        <f>C49-2015</f>
        <v>1</v>
      </c>
      <c r="D50" s="3">
        <f t="shared" ref="D50:AP50" si="47">D49-2015</f>
        <v>2</v>
      </c>
      <c r="E50" s="3">
        <f t="shared" si="47"/>
        <v>3</v>
      </c>
      <c r="F50" s="3">
        <f t="shared" si="47"/>
        <v>4</v>
      </c>
      <c r="G50" s="3">
        <f t="shared" si="47"/>
        <v>5</v>
      </c>
      <c r="H50" s="3">
        <f t="shared" si="47"/>
        <v>6</v>
      </c>
      <c r="I50" s="3">
        <f t="shared" si="47"/>
        <v>7</v>
      </c>
      <c r="J50" s="3">
        <f t="shared" si="47"/>
        <v>8</v>
      </c>
      <c r="K50" s="3">
        <f t="shared" si="47"/>
        <v>9</v>
      </c>
      <c r="L50" s="3">
        <f t="shared" si="47"/>
        <v>10</v>
      </c>
      <c r="M50" s="3">
        <f t="shared" si="47"/>
        <v>11</v>
      </c>
      <c r="N50" s="3">
        <f t="shared" si="47"/>
        <v>12</v>
      </c>
      <c r="O50" s="3">
        <f t="shared" si="47"/>
        <v>13</v>
      </c>
      <c r="P50" s="3">
        <f t="shared" si="47"/>
        <v>14</v>
      </c>
      <c r="Q50" s="3">
        <f t="shared" si="47"/>
        <v>15</v>
      </c>
      <c r="R50" s="3">
        <f t="shared" si="47"/>
        <v>16</v>
      </c>
      <c r="S50" s="3">
        <f t="shared" si="47"/>
        <v>17</v>
      </c>
      <c r="T50" s="3">
        <f t="shared" si="47"/>
        <v>18</v>
      </c>
      <c r="U50" s="3">
        <f t="shared" si="47"/>
        <v>19</v>
      </c>
      <c r="V50" s="3">
        <f t="shared" si="47"/>
        <v>20</v>
      </c>
      <c r="W50" s="3">
        <f t="shared" si="47"/>
        <v>1</v>
      </c>
      <c r="X50" s="3">
        <f t="shared" si="47"/>
        <v>2</v>
      </c>
      <c r="Y50" s="3">
        <f t="shared" si="47"/>
        <v>3</v>
      </c>
      <c r="Z50" s="3">
        <f t="shared" si="47"/>
        <v>4</v>
      </c>
      <c r="AA50" s="3">
        <f t="shared" si="47"/>
        <v>5</v>
      </c>
      <c r="AB50" s="3">
        <f t="shared" si="47"/>
        <v>6</v>
      </c>
      <c r="AC50" s="3">
        <f t="shared" si="47"/>
        <v>7</v>
      </c>
      <c r="AD50" s="3">
        <f t="shared" si="47"/>
        <v>8</v>
      </c>
      <c r="AE50" s="3">
        <f t="shared" si="47"/>
        <v>9</v>
      </c>
      <c r="AF50" s="3">
        <f t="shared" si="47"/>
        <v>10</v>
      </c>
      <c r="AG50" s="3">
        <f t="shared" si="47"/>
        <v>11</v>
      </c>
      <c r="AH50" s="3">
        <f t="shared" si="47"/>
        <v>12</v>
      </c>
      <c r="AI50" s="3">
        <f t="shared" si="47"/>
        <v>13</v>
      </c>
      <c r="AJ50" s="3">
        <f t="shared" si="47"/>
        <v>14</v>
      </c>
      <c r="AK50" s="3">
        <f t="shared" si="47"/>
        <v>15</v>
      </c>
      <c r="AL50" s="3">
        <f t="shared" si="47"/>
        <v>16</v>
      </c>
      <c r="AM50" s="3">
        <f t="shared" si="47"/>
        <v>17</v>
      </c>
      <c r="AN50" s="3">
        <f t="shared" si="47"/>
        <v>18</v>
      </c>
      <c r="AO50" s="3">
        <f t="shared" si="47"/>
        <v>19</v>
      </c>
      <c r="AP50" s="3">
        <f t="shared" si="47"/>
        <v>20</v>
      </c>
    </row>
  </sheetData>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dimension ref="B2:F14"/>
  <sheetViews>
    <sheetView workbookViewId="0">
      <selection activeCell="C13" sqref="C13"/>
    </sheetView>
  </sheetViews>
  <sheetFormatPr defaultRowHeight="12.75"/>
  <cols>
    <col min="3" max="3" width="67.7109375" customWidth="1"/>
    <col min="5" max="5" width="10.7109375" customWidth="1"/>
    <col min="6" max="6" width="100.85546875" customWidth="1"/>
  </cols>
  <sheetData>
    <row r="2" spans="2:6" ht="13.5" thickBot="1"/>
    <row r="3" spans="2:6" ht="15.75" thickBot="1">
      <c r="B3" s="428" t="s">
        <v>448</v>
      </c>
      <c r="C3" s="429" t="s">
        <v>918</v>
      </c>
      <c r="D3" s="429" t="s">
        <v>919</v>
      </c>
      <c r="E3" s="429" t="s">
        <v>920</v>
      </c>
      <c r="F3" s="429" t="s">
        <v>450</v>
      </c>
    </row>
    <row r="4" spans="2:6">
      <c r="B4">
        <f>ROW()-3</f>
        <v>1</v>
      </c>
      <c r="C4" s="149" t="s">
        <v>923</v>
      </c>
      <c r="D4" s="149" t="s">
        <v>924</v>
      </c>
      <c r="E4" s="430">
        <v>42070</v>
      </c>
    </row>
    <row r="5" spans="2:6">
      <c r="B5">
        <f t="shared" ref="B5:B14" si="0">ROW()-3</f>
        <v>2</v>
      </c>
      <c r="C5" s="149" t="s">
        <v>925</v>
      </c>
      <c r="D5" t="s">
        <v>921</v>
      </c>
      <c r="E5" s="430">
        <v>42077</v>
      </c>
    </row>
    <row r="6" spans="2:6">
      <c r="B6">
        <f t="shared" si="0"/>
        <v>3</v>
      </c>
      <c r="C6" s="149" t="s">
        <v>926</v>
      </c>
      <c r="D6" t="s">
        <v>921</v>
      </c>
      <c r="E6" s="430">
        <v>42077</v>
      </c>
    </row>
    <row r="7" spans="2:6">
      <c r="B7">
        <f t="shared" si="0"/>
        <v>4</v>
      </c>
      <c r="C7" s="149" t="s">
        <v>927</v>
      </c>
      <c r="D7" t="s">
        <v>921</v>
      </c>
      <c r="E7" s="430">
        <v>42077</v>
      </c>
    </row>
    <row r="8" spans="2:6">
      <c r="B8">
        <f t="shared" si="0"/>
        <v>5</v>
      </c>
      <c r="C8" s="29" t="s">
        <v>922</v>
      </c>
      <c r="D8" t="s">
        <v>921</v>
      </c>
      <c r="E8" s="430">
        <v>42081</v>
      </c>
    </row>
    <row r="9" spans="2:6">
      <c r="B9">
        <f t="shared" si="0"/>
        <v>6</v>
      </c>
      <c r="C9" s="149" t="s">
        <v>928</v>
      </c>
      <c r="D9" t="s">
        <v>921</v>
      </c>
      <c r="E9" s="430">
        <v>42081</v>
      </c>
    </row>
    <row r="10" spans="2:6">
      <c r="B10">
        <f t="shared" si="0"/>
        <v>7</v>
      </c>
      <c r="C10" s="149" t="s">
        <v>929</v>
      </c>
      <c r="D10" t="s">
        <v>921</v>
      </c>
      <c r="E10" s="430"/>
    </row>
    <row r="11" spans="2:6">
      <c r="B11">
        <f t="shared" si="0"/>
        <v>8</v>
      </c>
      <c r="E11" s="430"/>
    </row>
    <row r="12" spans="2:6">
      <c r="B12">
        <f t="shared" si="0"/>
        <v>9</v>
      </c>
      <c r="E12" s="430"/>
    </row>
    <row r="13" spans="2:6">
      <c r="B13">
        <f t="shared" si="0"/>
        <v>10</v>
      </c>
      <c r="E13" s="430"/>
    </row>
    <row r="14" spans="2:6">
      <c r="B14">
        <f t="shared" si="0"/>
        <v>11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3"/>
  <dimension ref="A1:CB118"/>
  <sheetViews>
    <sheetView tabSelected="1" workbookViewId="0">
      <selection activeCell="A10" sqref="A10"/>
    </sheetView>
  </sheetViews>
  <sheetFormatPr defaultRowHeight="12.75"/>
  <cols>
    <col min="1" max="1" width="45.5703125" style="251" customWidth="1"/>
    <col min="2" max="2" width="20.28515625" style="251" customWidth="1"/>
    <col min="3" max="3" width="29.28515625" style="251" customWidth="1"/>
    <col min="4" max="4" width="50.42578125" style="251" customWidth="1"/>
    <col min="5" max="24" width="13.28515625" style="251" customWidth="1"/>
    <col min="25" max="25" width="17.7109375" style="251" bestFit="1" customWidth="1"/>
    <col min="26" max="255" width="9.140625" style="251"/>
    <col min="256" max="256" width="35" style="251" customWidth="1"/>
    <col min="257" max="257" width="16" style="251" customWidth="1"/>
    <col min="258" max="258" width="29.140625" style="251" customWidth="1"/>
    <col min="259" max="259" width="12.85546875" style="251" bestFit="1" customWidth="1"/>
    <col min="260" max="260" width="9.42578125" style="251" customWidth="1"/>
    <col min="261" max="511" width="9.140625" style="251"/>
    <col min="512" max="512" width="35" style="251" customWidth="1"/>
    <col min="513" max="513" width="16" style="251" customWidth="1"/>
    <col min="514" max="514" width="29.140625" style="251" customWidth="1"/>
    <col min="515" max="515" width="12.85546875" style="251" bestFit="1" customWidth="1"/>
    <col min="516" max="516" width="9.42578125" style="251" customWidth="1"/>
    <col min="517" max="767" width="9.140625" style="251"/>
    <col min="768" max="768" width="35" style="251" customWidth="1"/>
    <col min="769" max="769" width="16" style="251" customWidth="1"/>
    <col min="770" max="770" width="29.140625" style="251" customWidth="1"/>
    <col min="771" max="771" width="12.85546875" style="251" bestFit="1" customWidth="1"/>
    <col min="772" max="772" width="9.42578125" style="251" customWidth="1"/>
    <col min="773" max="1023" width="9.140625" style="251"/>
    <col min="1024" max="1024" width="35" style="251" customWidth="1"/>
    <col min="1025" max="1025" width="16" style="251" customWidth="1"/>
    <col min="1026" max="1026" width="29.140625" style="251" customWidth="1"/>
    <col min="1027" max="1027" width="12.85546875" style="251" bestFit="1" customWidth="1"/>
    <col min="1028" max="1028" width="9.42578125" style="251" customWidth="1"/>
    <col min="1029" max="1279" width="9.140625" style="251"/>
    <col min="1280" max="1280" width="35" style="251" customWidth="1"/>
    <col min="1281" max="1281" width="16" style="251" customWidth="1"/>
    <col min="1282" max="1282" width="29.140625" style="251" customWidth="1"/>
    <col min="1283" max="1283" width="12.85546875" style="251" bestFit="1" customWidth="1"/>
    <col min="1284" max="1284" width="9.42578125" style="251" customWidth="1"/>
    <col min="1285" max="1535" width="9.140625" style="251"/>
    <col min="1536" max="1536" width="35" style="251" customWidth="1"/>
    <col min="1537" max="1537" width="16" style="251" customWidth="1"/>
    <col min="1538" max="1538" width="29.140625" style="251" customWidth="1"/>
    <col min="1539" max="1539" width="12.85546875" style="251" bestFit="1" customWidth="1"/>
    <col min="1540" max="1540" width="9.42578125" style="251" customWidth="1"/>
    <col min="1541" max="1791" width="9.140625" style="251"/>
    <col min="1792" max="1792" width="35" style="251" customWidth="1"/>
    <col min="1793" max="1793" width="16" style="251" customWidth="1"/>
    <col min="1794" max="1794" width="29.140625" style="251" customWidth="1"/>
    <col min="1795" max="1795" width="12.85546875" style="251" bestFit="1" customWidth="1"/>
    <col min="1796" max="1796" width="9.42578125" style="251" customWidth="1"/>
    <col min="1797" max="2047" width="9.140625" style="251"/>
    <col min="2048" max="2048" width="35" style="251" customWidth="1"/>
    <col min="2049" max="2049" width="16" style="251" customWidth="1"/>
    <col min="2050" max="2050" width="29.140625" style="251" customWidth="1"/>
    <col min="2051" max="2051" width="12.85546875" style="251" bestFit="1" customWidth="1"/>
    <col min="2052" max="2052" width="9.42578125" style="251" customWidth="1"/>
    <col min="2053" max="2303" width="9.140625" style="251"/>
    <col min="2304" max="2304" width="35" style="251" customWidth="1"/>
    <col min="2305" max="2305" width="16" style="251" customWidth="1"/>
    <col min="2306" max="2306" width="29.140625" style="251" customWidth="1"/>
    <col min="2307" max="2307" width="12.85546875" style="251" bestFit="1" customWidth="1"/>
    <col min="2308" max="2308" width="9.42578125" style="251" customWidth="1"/>
    <col min="2309" max="2559" width="9.140625" style="251"/>
    <col min="2560" max="2560" width="35" style="251" customWidth="1"/>
    <col min="2561" max="2561" width="16" style="251" customWidth="1"/>
    <col min="2562" max="2562" width="29.140625" style="251" customWidth="1"/>
    <col min="2563" max="2563" width="12.85546875" style="251" bestFit="1" customWidth="1"/>
    <col min="2564" max="2564" width="9.42578125" style="251" customWidth="1"/>
    <col min="2565" max="2815" width="9.140625" style="251"/>
    <col min="2816" max="2816" width="35" style="251" customWidth="1"/>
    <col min="2817" max="2817" width="16" style="251" customWidth="1"/>
    <col min="2818" max="2818" width="29.140625" style="251" customWidth="1"/>
    <col min="2819" max="2819" width="12.85546875" style="251" bestFit="1" customWidth="1"/>
    <col min="2820" max="2820" width="9.42578125" style="251" customWidth="1"/>
    <col min="2821" max="3071" width="9.140625" style="251"/>
    <col min="3072" max="3072" width="35" style="251" customWidth="1"/>
    <col min="3073" max="3073" width="16" style="251" customWidth="1"/>
    <col min="3074" max="3074" width="29.140625" style="251" customWidth="1"/>
    <col min="3075" max="3075" width="12.85546875" style="251" bestFit="1" customWidth="1"/>
    <col min="3076" max="3076" width="9.42578125" style="251" customWidth="1"/>
    <col min="3077" max="3327" width="9.140625" style="251"/>
    <col min="3328" max="3328" width="35" style="251" customWidth="1"/>
    <col min="3329" max="3329" width="16" style="251" customWidth="1"/>
    <col min="3330" max="3330" width="29.140625" style="251" customWidth="1"/>
    <col min="3331" max="3331" width="12.85546875" style="251" bestFit="1" customWidth="1"/>
    <col min="3332" max="3332" width="9.42578125" style="251" customWidth="1"/>
    <col min="3333" max="3583" width="9.140625" style="251"/>
    <col min="3584" max="3584" width="35" style="251" customWidth="1"/>
    <col min="3585" max="3585" width="16" style="251" customWidth="1"/>
    <col min="3586" max="3586" width="29.140625" style="251" customWidth="1"/>
    <col min="3587" max="3587" width="12.85546875" style="251" bestFit="1" customWidth="1"/>
    <col min="3588" max="3588" width="9.42578125" style="251" customWidth="1"/>
    <col min="3589" max="3839" width="9.140625" style="251"/>
    <col min="3840" max="3840" width="35" style="251" customWidth="1"/>
    <col min="3841" max="3841" width="16" style="251" customWidth="1"/>
    <col min="3842" max="3842" width="29.140625" style="251" customWidth="1"/>
    <col min="3843" max="3843" width="12.85546875" style="251" bestFit="1" customWidth="1"/>
    <col min="3844" max="3844" width="9.42578125" style="251" customWidth="1"/>
    <col min="3845" max="4095" width="9.140625" style="251"/>
    <col min="4096" max="4096" width="35" style="251" customWidth="1"/>
    <col min="4097" max="4097" width="16" style="251" customWidth="1"/>
    <col min="4098" max="4098" width="29.140625" style="251" customWidth="1"/>
    <col min="4099" max="4099" width="12.85546875" style="251" bestFit="1" customWidth="1"/>
    <col min="4100" max="4100" width="9.42578125" style="251" customWidth="1"/>
    <col min="4101" max="4351" width="9.140625" style="251"/>
    <col min="4352" max="4352" width="35" style="251" customWidth="1"/>
    <col min="4353" max="4353" width="16" style="251" customWidth="1"/>
    <col min="4354" max="4354" width="29.140625" style="251" customWidth="1"/>
    <col min="4355" max="4355" width="12.85546875" style="251" bestFit="1" customWidth="1"/>
    <col min="4356" max="4356" width="9.42578125" style="251" customWidth="1"/>
    <col min="4357" max="4607" width="9.140625" style="251"/>
    <col min="4608" max="4608" width="35" style="251" customWidth="1"/>
    <col min="4609" max="4609" width="16" style="251" customWidth="1"/>
    <col min="4610" max="4610" width="29.140625" style="251" customWidth="1"/>
    <col min="4611" max="4611" width="12.85546875" style="251" bestFit="1" customWidth="1"/>
    <col min="4612" max="4612" width="9.42578125" style="251" customWidth="1"/>
    <col min="4613" max="4863" width="9.140625" style="251"/>
    <col min="4864" max="4864" width="35" style="251" customWidth="1"/>
    <col min="4865" max="4865" width="16" style="251" customWidth="1"/>
    <col min="4866" max="4866" width="29.140625" style="251" customWidth="1"/>
    <col min="4867" max="4867" width="12.85546875" style="251" bestFit="1" customWidth="1"/>
    <col min="4868" max="4868" width="9.42578125" style="251" customWidth="1"/>
    <col min="4869" max="5119" width="9.140625" style="251"/>
    <col min="5120" max="5120" width="35" style="251" customWidth="1"/>
    <col min="5121" max="5121" width="16" style="251" customWidth="1"/>
    <col min="5122" max="5122" width="29.140625" style="251" customWidth="1"/>
    <col min="5123" max="5123" width="12.85546875" style="251" bestFit="1" customWidth="1"/>
    <col min="5124" max="5124" width="9.42578125" style="251" customWidth="1"/>
    <col min="5125" max="5375" width="9.140625" style="251"/>
    <col min="5376" max="5376" width="35" style="251" customWidth="1"/>
    <col min="5377" max="5377" width="16" style="251" customWidth="1"/>
    <col min="5378" max="5378" width="29.140625" style="251" customWidth="1"/>
    <col min="5379" max="5379" width="12.85546875" style="251" bestFit="1" customWidth="1"/>
    <col min="5380" max="5380" width="9.42578125" style="251" customWidth="1"/>
    <col min="5381" max="5631" width="9.140625" style="251"/>
    <col min="5632" max="5632" width="35" style="251" customWidth="1"/>
    <col min="5633" max="5633" width="16" style="251" customWidth="1"/>
    <col min="5634" max="5634" width="29.140625" style="251" customWidth="1"/>
    <col min="5635" max="5635" width="12.85546875" style="251" bestFit="1" customWidth="1"/>
    <col min="5636" max="5636" width="9.42578125" style="251" customWidth="1"/>
    <col min="5637" max="5887" width="9.140625" style="251"/>
    <col min="5888" max="5888" width="35" style="251" customWidth="1"/>
    <col min="5889" max="5889" width="16" style="251" customWidth="1"/>
    <col min="5890" max="5890" width="29.140625" style="251" customWidth="1"/>
    <col min="5891" max="5891" width="12.85546875" style="251" bestFit="1" customWidth="1"/>
    <col min="5892" max="5892" width="9.42578125" style="251" customWidth="1"/>
    <col min="5893" max="6143" width="9.140625" style="251"/>
    <col min="6144" max="6144" width="35" style="251" customWidth="1"/>
    <col min="6145" max="6145" width="16" style="251" customWidth="1"/>
    <col min="6146" max="6146" width="29.140625" style="251" customWidth="1"/>
    <col min="6147" max="6147" width="12.85546875" style="251" bestFit="1" customWidth="1"/>
    <col min="6148" max="6148" width="9.42578125" style="251" customWidth="1"/>
    <col min="6149" max="6399" width="9.140625" style="251"/>
    <col min="6400" max="6400" width="35" style="251" customWidth="1"/>
    <col min="6401" max="6401" width="16" style="251" customWidth="1"/>
    <col min="6402" max="6402" width="29.140625" style="251" customWidth="1"/>
    <col min="6403" max="6403" width="12.85546875" style="251" bestFit="1" customWidth="1"/>
    <col min="6404" max="6404" width="9.42578125" style="251" customWidth="1"/>
    <col min="6405" max="6655" width="9.140625" style="251"/>
    <col min="6656" max="6656" width="35" style="251" customWidth="1"/>
    <col min="6657" max="6657" width="16" style="251" customWidth="1"/>
    <col min="6658" max="6658" width="29.140625" style="251" customWidth="1"/>
    <col min="6659" max="6659" width="12.85546875" style="251" bestFit="1" customWidth="1"/>
    <col min="6660" max="6660" width="9.42578125" style="251" customWidth="1"/>
    <col min="6661" max="6911" width="9.140625" style="251"/>
    <col min="6912" max="6912" width="35" style="251" customWidth="1"/>
    <col min="6913" max="6913" width="16" style="251" customWidth="1"/>
    <col min="6914" max="6914" width="29.140625" style="251" customWidth="1"/>
    <col min="6915" max="6915" width="12.85546875" style="251" bestFit="1" customWidth="1"/>
    <col min="6916" max="6916" width="9.42578125" style="251" customWidth="1"/>
    <col min="6917" max="7167" width="9.140625" style="251"/>
    <col min="7168" max="7168" width="35" style="251" customWidth="1"/>
    <col min="7169" max="7169" width="16" style="251" customWidth="1"/>
    <col min="7170" max="7170" width="29.140625" style="251" customWidth="1"/>
    <col min="7171" max="7171" width="12.85546875" style="251" bestFit="1" customWidth="1"/>
    <col min="7172" max="7172" width="9.42578125" style="251" customWidth="1"/>
    <col min="7173" max="7423" width="9.140625" style="251"/>
    <col min="7424" max="7424" width="35" style="251" customWidth="1"/>
    <col min="7425" max="7425" width="16" style="251" customWidth="1"/>
    <col min="7426" max="7426" width="29.140625" style="251" customWidth="1"/>
    <col min="7427" max="7427" width="12.85546875" style="251" bestFit="1" customWidth="1"/>
    <col min="7428" max="7428" width="9.42578125" style="251" customWidth="1"/>
    <col min="7429" max="7679" width="9.140625" style="251"/>
    <col min="7680" max="7680" width="35" style="251" customWidth="1"/>
    <col min="7681" max="7681" width="16" style="251" customWidth="1"/>
    <col min="7682" max="7682" width="29.140625" style="251" customWidth="1"/>
    <col min="7683" max="7683" width="12.85546875" style="251" bestFit="1" customWidth="1"/>
    <col min="7684" max="7684" width="9.42578125" style="251" customWidth="1"/>
    <col min="7685" max="7935" width="9.140625" style="251"/>
    <col min="7936" max="7936" width="35" style="251" customWidth="1"/>
    <col min="7937" max="7937" width="16" style="251" customWidth="1"/>
    <col min="7938" max="7938" width="29.140625" style="251" customWidth="1"/>
    <col min="7939" max="7939" width="12.85546875" style="251" bestFit="1" customWidth="1"/>
    <col min="7940" max="7940" width="9.42578125" style="251" customWidth="1"/>
    <col min="7941" max="8191" width="9.140625" style="251"/>
    <col min="8192" max="8192" width="35" style="251" customWidth="1"/>
    <col min="8193" max="8193" width="16" style="251" customWidth="1"/>
    <col min="8194" max="8194" width="29.140625" style="251" customWidth="1"/>
    <col min="8195" max="8195" width="12.85546875" style="251" bestFit="1" customWidth="1"/>
    <col min="8196" max="8196" width="9.42578125" style="251" customWidth="1"/>
    <col min="8197" max="8447" width="9.140625" style="251"/>
    <col min="8448" max="8448" width="35" style="251" customWidth="1"/>
    <col min="8449" max="8449" width="16" style="251" customWidth="1"/>
    <col min="8450" max="8450" width="29.140625" style="251" customWidth="1"/>
    <col min="8451" max="8451" width="12.85546875" style="251" bestFit="1" customWidth="1"/>
    <col min="8452" max="8452" width="9.42578125" style="251" customWidth="1"/>
    <col min="8453" max="8703" width="9.140625" style="251"/>
    <col min="8704" max="8704" width="35" style="251" customWidth="1"/>
    <col min="8705" max="8705" width="16" style="251" customWidth="1"/>
    <col min="8706" max="8706" width="29.140625" style="251" customWidth="1"/>
    <col min="8707" max="8707" width="12.85546875" style="251" bestFit="1" customWidth="1"/>
    <col min="8708" max="8708" width="9.42578125" style="251" customWidth="1"/>
    <col min="8709" max="8959" width="9.140625" style="251"/>
    <col min="8960" max="8960" width="35" style="251" customWidth="1"/>
    <col min="8961" max="8961" width="16" style="251" customWidth="1"/>
    <col min="8962" max="8962" width="29.140625" style="251" customWidth="1"/>
    <col min="8963" max="8963" width="12.85546875" style="251" bestFit="1" customWidth="1"/>
    <col min="8964" max="8964" width="9.42578125" style="251" customWidth="1"/>
    <col min="8965" max="9215" width="9.140625" style="251"/>
    <col min="9216" max="9216" width="35" style="251" customWidth="1"/>
    <col min="9217" max="9217" width="16" style="251" customWidth="1"/>
    <col min="9218" max="9218" width="29.140625" style="251" customWidth="1"/>
    <col min="9219" max="9219" width="12.85546875" style="251" bestFit="1" customWidth="1"/>
    <col min="9220" max="9220" width="9.42578125" style="251" customWidth="1"/>
    <col min="9221" max="9471" width="9.140625" style="251"/>
    <col min="9472" max="9472" width="35" style="251" customWidth="1"/>
    <col min="9473" max="9473" width="16" style="251" customWidth="1"/>
    <col min="9474" max="9474" width="29.140625" style="251" customWidth="1"/>
    <col min="9475" max="9475" width="12.85546875" style="251" bestFit="1" customWidth="1"/>
    <col min="9476" max="9476" width="9.42578125" style="251" customWidth="1"/>
    <col min="9477" max="9727" width="9.140625" style="251"/>
    <col min="9728" max="9728" width="35" style="251" customWidth="1"/>
    <col min="9729" max="9729" width="16" style="251" customWidth="1"/>
    <col min="9730" max="9730" width="29.140625" style="251" customWidth="1"/>
    <col min="9731" max="9731" width="12.85546875" style="251" bestFit="1" customWidth="1"/>
    <col min="9732" max="9732" width="9.42578125" style="251" customWidth="1"/>
    <col min="9733" max="9983" width="9.140625" style="251"/>
    <col min="9984" max="9984" width="35" style="251" customWidth="1"/>
    <col min="9985" max="9985" width="16" style="251" customWidth="1"/>
    <col min="9986" max="9986" width="29.140625" style="251" customWidth="1"/>
    <col min="9987" max="9987" width="12.85546875" style="251" bestFit="1" customWidth="1"/>
    <col min="9988" max="9988" width="9.42578125" style="251" customWidth="1"/>
    <col min="9989" max="10239" width="9.140625" style="251"/>
    <col min="10240" max="10240" width="35" style="251" customWidth="1"/>
    <col min="10241" max="10241" width="16" style="251" customWidth="1"/>
    <col min="10242" max="10242" width="29.140625" style="251" customWidth="1"/>
    <col min="10243" max="10243" width="12.85546875" style="251" bestFit="1" customWidth="1"/>
    <col min="10244" max="10244" width="9.42578125" style="251" customWidth="1"/>
    <col min="10245" max="10495" width="9.140625" style="251"/>
    <col min="10496" max="10496" width="35" style="251" customWidth="1"/>
    <col min="10497" max="10497" width="16" style="251" customWidth="1"/>
    <col min="10498" max="10498" width="29.140625" style="251" customWidth="1"/>
    <col min="10499" max="10499" width="12.85546875" style="251" bestFit="1" customWidth="1"/>
    <col min="10500" max="10500" width="9.42578125" style="251" customWidth="1"/>
    <col min="10501" max="10751" width="9.140625" style="251"/>
    <col min="10752" max="10752" width="35" style="251" customWidth="1"/>
    <col min="10753" max="10753" width="16" style="251" customWidth="1"/>
    <col min="10754" max="10754" width="29.140625" style="251" customWidth="1"/>
    <col min="10755" max="10755" width="12.85546875" style="251" bestFit="1" customWidth="1"/>
    <col min="10756" max="10756" width="9.42578125" style="251" customWidth="1"/>
    <col min="10757" max="11007" width="9.140625" style="251"/>
    <col min="11008" max="11008" width="35" style="251" customWidth="1"/>
    <col min="11009" max="11009" width="16" style="251" customWidth="1"/>
    <col min="11010" max="11010" width="29.140625" style="251" customWidth="1"/>
    <col min="11011" max="11011" width="12.85546875" style="251" bestFit="1" customWidth="1"/>
    <col min="11012" max="11012" width="9.42578125" style="251" customWidth="1"/>
    <col min="11013" max="11263" width="9.140625" style="251"/>
    <col min="11264" max="11264" width="35" style="251" customWidth="1"/>
    <col min="11265" max="11265" width="16" style="251" customWidth="1"/>
    <col min="11266" max="11266" width="29.140625" style="251" customWidth="1"/>
    <col min="11267" max="11267" width="12.85546875" style="251" bestFit="1" customWidth="1"/>
    <col min="11268" max="11268" width="9.42578125" style="251" customWidth="1"/>
    <col min="11269" max="11519" width="9.140625" style="251"/>
    <col min="11520" max="11520" width="35" style="251" customWidth="1"/>
    <col min="11521" max="11521" width="16" style="251" customWidth="1"/>
    <col min="11522" max="11522" width="29.140625" style="251" customWidth="1"/>
    <col min="11523" max="11523" width="12.85546875" style="251" bestFit="1" customWidth="1"/>
    <col min="11524" max="11524" width="9.42578125" style="251" customWidth="1"/>
    <col min="11525" max="11775" width="9.140625" style="251"/>
    <col min="11776" max="11776" width="35" style="251" customWidth="1"/>
    <col min="11777" max="11777" width="16" style="251" customWidth="1"/>
    <col min="11778" max="11778" width="29.140625" style="251" customWidth="1"/>
    <col min="11779" max="11779" width="12.85546875" style="251" bestFit="1" customWidth="1"/>
    <col min="11780" max="11780" width="9.42578125" style="251" customWidth="1"/>
    <col min="11781" max="12031" width="9.140625" style="251"/>
    <col min="12032" max="12032" width="35" style="251" customWidth="1"/>
    <col min="12033" max="12033" width="16" style="251" customWidth="1"/>
    <col min="12034" max="12034" width="29.140625" style="251" customWidth="1"/>
    <col min="12035" max="12035" width="12.85546875" style="251" bestFit="1" customWidth="1"/>
    <col min="12036" max="12036" width="9.42578125" style="251" customWidth="1"/>
    <col min="12037" max="12287" width="9.140625" style="251"/>
    <col min="12288" max="12288" width="35" style="251" customWidth="1"/>
    <col min="12289" max="12289" width="16" style="251" customWidth="1"/>
    <col min="12290" max="12290" width="29.140625" style="251" customWidth="1"/>
    <col min="12291" max="12291" width="12.85546875" style="251" bestFit="1" customWidth="1"/>
    <col min="12292" max="12292" width="9.42578125" style="251" customWidth="1"/>
    <col min="12293" max="12543" width="9.140625" style="251"/>
    <col min="12544" max="12544" width="35" style="251" customWidth="1"/>
    <col min="12545" max="12545" width="16" style="251" customWidth="1"/>
    <col min="12546" max="12546" width="29.140625" style="251" customWidth="1"/>
    <col min="12547" max="12547" width="12.85546875" style="251" bestFit="1" customWidth="1"/>
    <col min="12548" max="12548" width="9.42578125" style="251" customWidth="1"/>
    <col min="12549" max="12799" width="9.140625" style="251"/>
    <col min="12800" max="12800" width="35" style="251" customWidth="1"/>
    <col min="12801" max="12801" width="16" style="251" customWidth="1"/>
    <col min="12802" max="12802" width="29.140625" style="251" customWidth="1"/>
    <col min="12803" max="12803" width="12.85546875" style="251" bestFit="1" customWidth="1"/>
    <col min="12804" max="12804" width="9.42578125" style="251" customWidth="1"/>
    <col min="12805" max="13055" width="9.140625" style="251"/>
    <col min="13056" max="13056" width="35" style="251" customWidth="1"/>
    <col min="13057" max="13057" width="16" style="251" customWidth="1"/>
    <col min="13058" max="13058" width="29.140625" style="251" customWidth="1"/>
    <col min="13059" max="13059" width="12.85546875" style="251" bestFit="1" customWidth="1"/>
    <col min="13060" max="13060" width="9.42578125" style="251" customWidth="1"/>
    <col min="13061" max="13311" width="9.140625" style="251"/>
    <col min="13312" max="13312" width="35" style="251" customWidth="1"/>
    <col min="13313" max="13313" width="16" style="251" customWidth="1"/>
    <col min="13314" max="13314" width="29.140625" style="251" customWidth="1"/>
    <col min="13315" max="13315" width="12.85546875" style="251" bestFit="1" customWidth="1"/>
    <col min="13316" max="13316" width="9.42578125" style="251" customWidth="1"/>
    <col min="13317" max="13567" width="9.140625" style="251"/>
    <col min="13568" max="13568" width="35" style="251" customWidth="1"/>
    <col min="13569" max="13569" width="16" style="251" customWidth="1"/>
    <col min="13570" max="13570" width="29.140625" style="251" customWidth="1"/>
    <col min="13571" max="13571" width="12.85546875" style="251" bestFit="1" customWidth="1"/>
    <col min="13572" max="13572" width="9.42578125" style="251" customWidth="1"/>
    <col min="13573" max="13823" width="9.140625" style="251"/>
    <col min="13824" max="13824" width="35" style="251" customWidth="1"/>
    <col min="13825" max="13825" width="16" style="251" customWidth="1"/>
    <col min="13826" max="13826" width="29.140625" style="251" customWidth="1"/>
    <col min="13827" max="13827" width="12.85546875" style="251" bestFit="1" customWidth="1"/>
    <col min="13828" max="13828" width="9.42578125" style="251" customWidth="1"/>
    <col min="13829" max="14079" width="9.140625" style="251"/>
    <col min="14080" max="14080" width="35" style="251" customWidth="1"/>
    <col min="14081" max="14081" width="16" style="251" customWidth="1"/>
    <col min="14082" max="14082" width="29.140625" style="251" customWidth="1"/>
    <col min="14083" max="14083" width="12.85546875" style="251" bestFit="1" customWidth="1"/>
    <col min="14084" max="14084" width="9.42578125" style="251" customWidth="1"/>
    <col min="14085" max="14335" width="9.140625" style="251"/>
    <col min="14336" max="14336" width="35" style="251" customWidth="1"/>
    <col min="14337" max="14337" width="16" style="251" customWidth="1"/>
    <col min="14338" max="14338" width="29.140625" style="251" customWidth="1"/>
    <col min="14339" max="14339" width="12.85546875" style="251" bestFit="1" customWidth="1"/>
    <col min="14340" max="14340" width="9.42578125" style="251" customWidth="1"/>
    <col min="14341" max="14591" width="9.140625" style="251"/>
    <col min="14592" max="14592" width="35" style="251" customWidth="1"/>
    <col min="14593" max="14593" width="16" style="251" customWidth="1"/>
    <col min="14594" max="14594" width="29.140625" style="251" customWidth="1"/>
    <col min="14595" max="14595" width="12.85546875" style="251" bestFit="1" customWidth="1"/>
    <col min="14596" max="14596" width="9.42578125" style="251" customWidth="1"/>
    <col min="14597" max="14847" width="9.140625" style="251"/>
    <col min="14848" max="14848" width="35" style="251" customWidth="1"/>
    <col min="14849" max="14849" width="16" style="251" customWidth="1"/>
    <col min="14850" max="14850" width="29.140625" style="251" customWidth="1"/>
    <col min="14851" max="14851" width="12.85546875" style="251" bestFit="1" customWidth="1"/>
    <col min="14852" max="14852" width="9.42578125" style="251" customWidth="1"/>
    <col min="14853" max="15103" width="9.140625" style="251"/>
    <col min="15104" max="15104" width="35" style="251" customWidth="1"/>
    <col min="15105" max="15105" width="16" style="251" customWidth="1"/>
    <col min="15106" max="15106" width="29.140625" style="251" customWidth="1"/>
    <col min="15107" max="15107" width="12.85546875" style="251" bestFit="1" customWidth="1"/>
    <col min="15108" max="15108" width="9.42578125" style="251" customWidth="1"/>
    <col min="15109" max="15359" width="9.140625" style="251"/>
    <col min="15360" max="15360" width="35" style="251" customWidth="1"/>
    <col min="15361" max="15361" width="16" style="251" customWidth="1"/>
    <col min="15362" max="15362" width="29.140625" style="251" customWidth="1"/>
    <col min="15363" max="15363" width="12.85546875" style="251" bestFit="1" customWidth="1"/>
    <col min="15364" max="15364" width="9.42578125" style="251" customWidth="1"/>
    <col min="15365" max="15615" width="9.140625" style="251"/>
    <col min="15616" max="15616" width="35" style="251" customWidth="1"/>
    <col min="15617" max="15617" width="16" style="251" customWidth="1"/>
    <col min="15618" max="15618" width="29.140625" style="251" customWidth="1"/>
    <col min="15619" max="15619" width="12.85546875" style="251" bestFit="1" customWidth="1"/>
    <col min="15620" max="15620" width="9.42578125" style="251" customWidth="1"/>
    <col min="15621" max="15871" width="9.140625" style="251"/>
    <col min="15872" max="15872" width="35" style="251" customWidth="1"/>
    <col min="15873" max="15873" width="16" style="251" customWidth="1"/>
    <col min="15874" max="15874" width="29.140625" style="251" customWidth="1"/>
    <col min="15875" max="15875" width="12.85546875" style="251" bestFit="1" customWidth="1"/>
    <col min="15876" max="15876" width="9.42578125" style="251" customWidth="1"/>
    <col min="15877" max="16127" width="9.140625" style="251"/>
    <col min="16128" max="16128" width="35" style="251" customWidth="1"/>
    <col min="16129" max="16129" width="16" style="251" customWidth="1"/>
    <col min="16130" max="16130" width="29.140625" style="251" customWidth="1"/>
    <col min="16131" max="16131" width="12.85546875" style="251" bestFit="1" customWidth="1"/>
    <col min="16132" max="16132" width="9.42578125" style="251" customWidth="1"/>
    <col min="16133" max="16384" width="9.140625" style="251"/>
  </cols>
  <sheetData>
    <row r="1" spans="1:25">
      <c r="A1" s="261" t="s">
        <v>533</v>
      </c>
      <c r="B1" s="431" t="s">
        <v>907</v>
      </c>
      <c r="C1" s="432"/>
      <c r="D1" s="432"/>
      <c r="E1" s="432"/>
      <c r="F1" s="432"/>
      <c r="G1" s="432"/>
      <c r="H1" s="432"/>
      <c r="I1" s="432"/>
      <c r="J1" s="432"/>
      <c r="K1" s="432"/>
      <c r="L1" s="432"/>
      <c r="M1" s="432"/>
      <c r="N1" s="432"/>
      <c r="O1" s="432"/>
      <c r="P1" s="432"/>
      <c r="Q1" s="432"/>
      <c r="R1" s="432"/>
      <c r="S1" s="433"/>
      <c r="T1" s="262"/>
      <c r="U1" s="262"/>
      <c r="V1" s="262"/>
      <c r="W1" s="262"/>
    </row>
    <row r="2" spans="1:25">
      <c r="A2" s="263"/>
      <c r="B2" s="434"/>
      <c r="C2" s="435"/>
      <c r="D2" s="435"/>
      <c r="E2" s="435"/>
      <c r="F2" s="435"/>
      <c r="G2" s="435"/>
      <c r="H2" s="435"/>
      <c r="I2" s="435"/>
      <c r="J2" s="435"/>
      <c r="K2" s="435"/>
      <c r="L2" s="435"/>
      <c r="M2" s="435"/>
      <c r="N2" s="435"/>
      <c r="O2" s="435"/>
      <c r="P2" s="435"/>
      <c r="Q2" s="435"/>
      <c r="R2" s="435"/>
      <c r="S2" s="436"/>
      <c r="T2" s="264"/>
      <c r="U2" s="264"/>
      <c r="V2" s="264"/>
      <c r="W2" s="264"/>
    </row>
    <row r="3" spans="1:25">
      <c r="A3" s="263"/>
      <c r="B3" s="434"/>
      <c r="C3" s="435"/>
      <c r="D3" s="435"/>
      <c r="E3" s="435"/>
      <c r="F3" s="435"/>
      <c r="G3" s="435"/>
      <c r="H3" s="435"/>
      <c r="I3" s="435"/>
      <c r="J3" s="435"/>
      <c r="K3" s="435"/>
      <c r="L3" s="435"/>
      <c r="M3" s="435"/>
      <c r="N3" s="435"/>
      <c r="O3" s="435"/>
      <c r="P3" s="435"/>
      <c r="Q3" s="435"/>
      <c r="R3" s="435"/>
      <c r="S3" s="436"/>
      <c r="T3" s="264"/>
      <c r="U3" s="264"/>
      <c r="V3" s="264"/>
      <c r="W3" s="264"/>
    </row>
    <row r="4" spans="1:25">
      <c r="A4" s="263"/>
      <c r="B4" s="434"/>
      <c r="C4" s="435"/>
      <c r="D4" s="435"/>
      <c r="E4" s="435"/>
      <c r="F4" s="435"/>
      <c r="G4" s="435"/>
      <c r="H4" s="435"/>
      <c r="I4" s="435"/>
      <c r="J4" s="435"/>
      <c r="K4" s="435"/>
      <c r="L4" s="435"/>
      <c r="M4" s="435"/>
      <c r="N4" s="435"/>
      <c r="O4" s="435"/>
      <c r="P4" s="435"/>
      <c r="Q4" s="435"/>
      <c r="R4" s="435"/>
      <c r="S4" s="436"/>
      <c r="T4" s="264"/>
      <c r="U4" s="264"/>
      <c r="V4" s="264"/>
      <c r="W4" s="264"/>
    </row>
    <row r="5" spans="1:25">
      <c r="A5" s="265" t="s">
        <v>534</v>
      </c>
      <c r="B5" s="434"/>
      <c r="C5" s="435"/>
      <c r="D5" s="437"/>
      <c r="E5" s="437"/>
      <c r="F5" s="437"/>
      <c r="G5" s="437"/>
      <c r="H5" s="437"/>
      <c r="I5" s="437"/>
      <c r="J5" s="437"/>
      <c r="K5" s="437"/>
      <c r="L5" s="437"/>
      <c r="M5" s="437"/>
      <c r="N5" s="437"/>
      <c r="O5" s="437"/>
      <c r="P5" s="437"/>
      <c r="Q5" s="437"/>
      <c r="R5" s="437"/>
      <c r="S5" s="438"/>
      <c r="T5" s="264"/>
      <c r="U5" s="264"/>
      <c r="V5" s="264"/>
      <c r="W5" s="264"/>
    </row>
    <row r="6" spans="1:25">
      <c r="A6" s="266"/>
      <c r="B6" s="267"/>
      <c r="C6" s="267"/>
      <c r="D6" s="268"/>
      <c r="E6" s="269"/>
      <c r="F6" s="269"/>
      <c r="G6" s="269"/>
      <c r="H6" s="269"/>
      <c r="I6" s="269"/>
      <c r="J6" s="269"/>
      <c r="K6" s="269"/>
      <c r="L6" s="269"/>
      <c r="M6" s="269"/>
      <c r="N6" s="269"/>
      <c r="O6" s="269"/>
      <c r="P6" s="269"/>
      <c r="Q6" s="269"/>
      <c r="R6" s="269"/>
      <c r="S6" s="270"/>
      <c r="T6" s="264"/>
      <c r="U6" s="264"/>
      <c r="V6" s="264"/>
      <c r="W6" s="264"/>
    </row>
    <row r="7" spans="1:25">
      <c r="A7" s="271"/>
      <c r="B7" s="272" t="s">
        <v>535</v>
      </c>
      <c r="C7" s="273" t="s">
        <v>505</v>
      </c>
      <c r="D7" s="274" t="s">
        <v>916</v>
      </c>
    </row>
    <row r="8" spans="1:25">
      <c r="A8" s="275" t="s">
        <v>536</v>
      </c>
      <c r="B8" s="276" t="s">
        <v>537</v>
      </c>
      <c r="C8" s="277" t="str">
        <f>[3]MLIST!$A$2</f>
        <v>Distribution System Efficiency</v>
      </c>
      <c r="D8" s="278" t="str">
        <f>[1]!switch_ForecastState</f>
        <v>Region</v>
      </c>
      <c r="E8" s="279"/>
      <c r="F8" s="280"/>
    </row>
    <row r="9" spans="1:25">
      <c r="A9" s="275" t="str">
        <f>[7]MLIST!$A$6</f>
        <v>Utility Distribution Sytem</v>
      </c>
      <c r="B9" s="281" t="s">
        <v>538</v>
      </c>
      <c r="C9" s="277">
        <v>2035</v>
      </c>
      <c r="D9" s="278" t="str">
        <f>[1]!switch_ForecastScenario</f>
        <v>Base</v>
      </c>
      <c r="E9" s="282"/>
    </row>
    <row r="10" spans="1:25">
      <c r="A10" s="283"/>
      <c r="B10" s="284" t="s">
        <v>539</v>
      </c>
      <c r="C10" s="424">
        <f ca="1">MIN(SUM(E26:X30),SUM(Y26:Y30))</f>
        <v>217.59677979669169</v>
      </c>
      <c r="D10" s="285"/>
      <c r="E10" s="251">
        <v>1</v>
      </c>
      <c r="F10" s="251">
        <f>E10+1</f>
        <v>2</v>
      </c>
      <c r="G10" s="251">
        <f t="shared" ref="G10:V11" si="0">F10+1</f>
        <v>3</v>
      </c>
      <c r="H10" s="251">
        <f t="shared" si="0"/>
        <v>4</v>
      </c>
      <c r="I10" s="251">
        <f t="shared" si="0"/>
        <v>5</v>
      </c>
      <c r="J10" s="251">
        <f t="shared" si="0"/>
        <v>6</v>
      </c>
      <c r="K10" s="251">
        <f t="shared" si="0"/>
        <v>7</v>
      </c>
      <c r="L10" s="251">
        <f t="shared" si="0"/>
        <v>8</v>
      </c>
      <c r="M10" s="251">
        <f t="shared" si="0"/>
        <v>9</v>
      </c>
      <c r="N10" s="251">
        <f t="shared" si="0"/>
        <v>10</v>
      </c>
      <c r="O10" s="251">
        <f t="shared" si="0"/>
        <v>11</v>
      </c>
      <c r="P10" s="251">
        <f t="shared" si="0"/>
        <v>12</v>
      </c>
      <c r="Q10" s="251">
        <f t="shared" si="0"/>
        <v>13</v>
      </c>
      <c r="R10" s="251">
        <f t="shared" si="0"/>
        <v>14</v>
      </c>
      <c r="S10" s="251">
        <f t="shared" si="0"/>
        <v>15</v>
      </c>
      <c r="T10" s="251">
        <f t="shared" si="0"/>
        <v>16</v>
      </c>
      <c r="U10" s="251">
        <f t="shared" si="0"/>
        <v>17</v>
      </c>
      <c r="V10" s="251">
        <f t="shared" si="0"/>
        <v>18</v>
      </c>
      <c r="W10" s="251">
        <f t="shared" ref="W10:X11" si="1">V10+1</f>
        <v>19</v>
      </c>
      <c r="X10" s="251">
        <f t="shared" si="1"/>
        <v>20</v>
      </c>
    </row>
    <row r="11" spans="1:25">
      <c r="A11" s="252" t="s">
        <v>540</v>
      </c>
      <c r="B11" s="252"/>
      <c r="C11" s="252"/>
      <c r="D11" s="252"/>
      <c r="E11" s="252">
        <f>C9-20+1</f>
        <v>2016</v>
      </c>
      <c r="F11" s="252">
        <f>E11+1</f>
        <v>2017</v>
      </c>
      <c r="G11" s="252">
        <f t="shared" si="0"/>
        <v>2018</v>
      </c>
      <c r="H11" s="252">
        <f t="shared" si="0"/>
        <v>2019</v>
      </c>
      <c r="I11" s="252">
        <f t="shared" si="0"/>
        <v>2020</v>
      </c>
      <c r="J11" s="252">
        <f t="shared" si="0"/>
        <v>2021</v>
      </c>
      <c r="K11" s="252">
        <f t="shared" si="0"/>
        <v>2022</v>
      </c>
      <c r="L11" s="252">
        <f t="shared" si="0"/>
        <v>2023</v>
      </c>
      <c r="M11" s="252">
        <f t="shared" si="0"/>
        <v>2024</v>
      </c>
      <c r="N11" s="252">
        <f t="shared" si="0"/>
        <v>2025</v>
      </c>
      <c r="O11" s="252">
        <f t="shared" si="0"/>
        <v>2026</v>
      </c>
      <c r="P11" s="252">
        <f t="shared" si="0"/>
        <v>2027</v>
      </c>
      <c r="Q11" s="252">
        <f t="shared" si="0"/>
        <v>2028</v>
      </c>
      <c r="R11" s="252">
        <f t="shared" si="0"/>
        <v>2029</v>
      </c>
      <c r="S11" s="252">
        <f t="shared" si="0"/>
        <v>2030</v>
      </c>
      <c r="T11" s="252">
        <f t="shared" si="0"/>
        <v>2031</v>
      </c>
      <c r="U11" s="252">
        <f t="shared" si="0"/>
        <v>2032</v>
      </c>
      <c r="V11" s="252">
        <f t="shared" si="0"/>
        <v>2033</v>
      </c>
      <c r="W11" s="252">
        <f t="shared" si="1"/>
        <v>2034</v>
      </c>
      <c r="X11" s="252">
        <f t="shared" si="1"/>
        <v>2035</v>
      </c>
    </row>
    <row r="12" spans="1:25">
      <c r="A12" s="252"/>
      <c r="B12" s="252"/>
      <c r="C12" s="252"/>
      <c r="D12" s="252"/>
      <c r="E12" s="252" t="str">
        <f>CONCATENATE("FLOOR_",E11)</f>
        <v>FLOOR_2016</v>
      </c>
      <c r="F12" s="252" t="str">
        <f t="shared" ref="F12:X12" si="2">CONCATENATE("FLOOR_",F11)</f>
        <v>FLOOR_2017</v>
      </c>
      <c r="G12" s="252" t="str">
        <f t="shared" si="2"/>
        <v>FLOOR_2018</v>
      </c>
      <c r="H12" s="252" t="str">
        <f t="shared" si="2"/>
        <v>FLOOR_2019</v>
      </c>
      <c r="I12" s="252" t="str">
        <f t="shared" si="2"/>
        <v>FLOOR_2020</v>
      </c>
      <c r="J12" s="252" t="str">
        <f t="shared" si="2"/>
        <v>FLOOR_2021</v>
      </c>
      <c r="K12" s="252" t="str">
        <f t="shared" si="2"/>
        <v>FLOOR_2022</v>
      </c>
      <c r="L12" s="252" t="str">
        <f t="shared" si="2"/>
        <v>FLOOR_2023</v>
      </c>
      <c r="M12" s="252" t="str">
        <f t="shared" si="2"/>
        <v>FLOOR_2024</v>
      </c>
      <c r="N12" s="252" t="str">
        <f t="shared" si="2"/>
        <v>FLOOR_2025</v>
      </c>
      <c r="O12" s="252" t="str">
        <f t="shared" si="2"/>
        <v>FLOOR_2026</v>
      </c>
      <c r="P12" s="252" t="str">
        <f t="shared" si="2"/>
        <v>FLOOR_2027</v>
      </c>
      <c r="Q12" s="252" t="str">
        <f t="shared" si="2"/>
        <v>FLOOR_2028</v>
      </c>
      <c r="R12" s="252" t="str">
        <f t="shared" si="2"/>
        <v>FLOOR_2029</v>
      </c>
      <c r="S12" s="252" t="str">
        <f t="shared" si="2"/>
        <v>FLOOR_2030</v>
      </c>
      <c r="T12" s="252" t="str">
        <f t="shared" si="2"/>
        <v>FLOOR_2031</v>
      </c>
      <c r="U12" s="252" t="str">
        <f t="shared" si="2"/>
        <v>FLOOR_2032</v>
      </c>
      <c r="V12" s="252" t="str">
        <f t="shared" si="2"/>
        <v>FLOOR_2033</v>
      </c>
      <c r="W12" s="252" t="str">
        <f t="shared" si="2"/>
        <v>FLOOR_2034</v>
      </c>
      <c r="X12" s="252" t="str">
        <f t="shared" si="2"/>
        <v>FLOOR_2035</v>
      </c>
    </row>
    <row r="13" spans="1:25">
      <c r="C13" s="336" t="s">
        <v>917</v>
      </c>
      <c r="D13" s="280" t="s">
        <v>906</v>
      </c>
      <c r="E13" s="426">
        <f ca="1">INDEX([1]!tbl_Forecast,MATCH($D$8&amp;$C13&amp;$D$7,[1]!rng_ForecastRowLookup,0),MATCH(E$11,[1]!rng_ForecastColumnLookup,0))</f>
        <v>21071.66</v>
      </c>
      <c r="F13" s="426">
        <f ca="1">INDEX([1]!tbl_Forecast,MATCH($D$8&amp;$C13&amp;$D$7,[1]!rng_ForecastRowLookup,0),MATCH(F$11,[1]!rng_ForecastColumnLookup,0))</f>
        <v>21195.54</v>
      </c>
      <c r="G13" s="426">
        <f ca="1">INDEX([1]!tbl_Forecast,MATCH($D$8&amp;$C13&amp;$D$7,[1]!rng_ForecastRowLookup,0),MATCH(G$11,[1]!rng_ForecastColumnLookup,0))</f>
        <v>21410</v>
      </c>
      <c r="H13" s="426">
        <f ca="1">INDEX([1]!tbl_Forecast,MATCH($D$8&amp;$C13&amp;$D$7,[1]!rng_ForecastRowLookup,0),MATCH(H$11,[1]!rng_ForecastColumnLookup,0))</f>
        <v>21551.43</v>
      </c>
      <c r="I13" s="426">
        <f ca="1">INDEX([1]!tbl_Forecast,MATCH($D$8&amp;$C13&amp;$D$7,[1]!rng_ForecastRowLookup,0),MATCH(I$11,[1]!rng_ForecastColumnLookup,0))</f>
        <v>21679.64</v>
      </c>
      <c r="J13" s="426">
        <f ca="1">INDEX([1]!tbl_Forecast,MATCH($D$8&amp;$C13&amp;$D$7,[1]!rng_ForecastRowLookup,0),MATCH(J$11,[1]!rng_ForecastColumnLookup,0))</f>
        <v>21827.78</v>
      </c>
      <c r="K13" s="426">
        <f ca="1">INDEX([1]!tbl_Forecast,MATCH($D$8&amp;$C13&amp;$D$7,[1]!rng_ForecastRowLookup,0),MATCH(K$11,[1]!rng_ForecastColumnLookup,0))</f>
        <v>21990.98</v>
      </c>
      <c r="L13" s="426">
        <f ca="1">INDEX([1]!tbl_Forecast,MATCH($D$8&amp;$C13&amp;$D$7,[1]!rng_ForecastRowLookup,0),MATCH(L$11,[1]!rng_ForecastColumnLookup,0))</f>
        <v>22168.240000000002</v>
      </c>
      <c r="M13" s="426">
        <f ca="1">INDEX([1]!tbl_Forecast,MATCH($D$8&amp;$C13&amp;$D$7,[1]!rng_ForecastRowLookup,0),MATCH(M$11,[1]!rng_ForecastColumnLookup,0))</f>
        <v>22361.75</v>
      </c>
      <c r="N13" s="426">
        <f ca="1">INDEX([1]!tbl_Forecast,MATCH($D$8&amp;$C13&amp;$D$7,[1]!rng_ForecastRowLookup,0),MATCH(N$11,[1]!rng_ForecastColumnLookup,0))</f>
        <v>22575.51</v>
      </c>
      <c r="O13" s="426">
        <f ca="1">INDEX([1]!tbl_Forecast,MATCH($D$8&amp;$C13&amp;$D$7,[1]!rng_ForecastRowLookup,0),MATCH(O$11,[1]!rng_ForecastColumnLookup,0))</f>
        <v>22799.94</v>
      </c>
      <c r="P13" s="426">
        <f ca="1">INDEX([1]!tbl_Forecast,MATCH($D$8&amp;$C13&amp;$D$7,[1]!rng_ForecastRowLookup,0),MATCH(P$11,[1]!rng_ForecastColumnLookup,0))</f>
        <v>23044.44</v>
      </c>
      <c r="Q13" s="426">
        <f ca="1">INDEX([1]!tbl_Forecast,MATCH($D$8&amp;$C13&amp;$D$7,[1]!rng_ForecastRowLookup,0),MATCH(Q$11,[1]!rng_ForecastColumnLookup,0))</f>
        <v>23305.64</v>
      </c>
      <c r="R13" s="426">
        <f ca="1">INDEX([1]!tbl_Forecast,MATCH($D$8&amp;$C13&amp;$D$7,[1]!rng_ForecastRowLookup,0),MATCH(R$11,[1]!rng_ForecastColumnLookup,0))</f>
        <v>23567.14</v>
      </c>
      <c r="S13" s="426">
        <f ca="1">INDEX([1]!tbl_Forecast,MATCH($D$8&amp;$C13&amp;$D$7,[1]!rng_ForecastRowLookup,0),MATCH(S$11,[1]!rng_ForecastColumnLookup,0))</f>
        <v>23843.91</v>
      </c>
      <c r="T13" s="426">
        <f ca="1">INDEX([1]!tbl_Forecast,MATCH($D$8&amp;$C13&amp;$D$7,[1]!rng_ForecastRowLookup,0),MATCH(T$11,[1]!rng_ForecastColumnLookup,0))</f>
        <v>24084.7</v>
      </c>
      <c r="U13" s="426">
        <f ca="1">INDEX([1]!tbl_Forecast,MATCH($D$8&amp;$C13&amp;$D$7,[1]!rng_ForecastRowLookup,0),MATCH(U$11,[1]!rng_ForecastColumnLookup,0))</f>
        <v>24359.31</v>
      </c>
      <c r="V13" s="426">
        <f ca="1">INDEX([1]!tbl_Forecast,MATCH($D$8&amp;$C13&amp;$D$7,[1]!rng_ForecastRowLookup,0),MATCH(V$11,[1]!rng_ForecastColumnLookup,0))</f>
        <v>24636.46</v>
      </c>
      <c r="W13" s="426">
        <f ca="1">INDEX([1]!tbl_Forecast,MATCH($D$8&amp;$C13&amp;$D$7,[1]!rng_ForecastRowLookup,0),MATCH(W$11,[1]!rng_ForecastColumnLookup,0))</f>
        <v>24918.69</v>
      </c>
      <c r="X13" s="426">
        <f ca="1">INDEX([1]!tbl_Forecast,MATCH($D$8&amp;$C13&amp;$D$7,[1]!rng_ForecastRowLookup,0),MATCH(X$11,[1]!rng_ForecastColumnLookup,0))</f>
        <v>25207.16</v>
      </c>
      <c r="Y13" s="287"/>
    </row>
    <row r="14" spans="1:25">
      <c r="C14" s="336" t="s">
        <v>905</v>
      </c>
      <c r="E14" s="425">
        <f ca="1">E13*8760</f>
        <v>184587741.59999999</v>
      </c>
      <c r="F14" s="425">
        <f t="shared" ref="F14:X14" ca="1" si="3">F13*8760</f>
        <v>185672930.40000001</v>
      </c>
      <c r="G14" s="425">
        <f t="shared" ca="1" si="3"/>
        <v>187551600</v>
      </c>
      <c r="H14" s="425">
        <f t="shared" ca="1" si="3"/>
        <v>188790526.80000001</v>
      </c>
      <c r="I14" s="425">
        <f t="shared" ca="1" si="3"/>
        <v>189913646.40000001</v>
      </c>
      <c r="J14" s="425">
        <f t="shared" ca="1" si="3"/>
        <v>191211352.79999998</v>
      </c>
      <c r="K14" s="425">
        <f t="shared" ca="1" si="3"/>
        <v>192640984.79999998</v>
      </c>
      <c r="L14" s="425">
        <f t="shared" ca="1" si="3"/>
        <v>194193782.40000001</v>
      </c>
      <c r="M14" s="425">
        <f t="shared" ca="1" si="3"/>
        <v>195888930</v>
      </c>
      <c r="N14" s="425">
        <f t="shared" ca="1" si="3"/>
        <v>197761467.59999999</v>
      </c>
      <c r="O14" s="425">
        <f t="shared" ca="1" si="3"/>
        <v>199727474.39999998</v>
      </c>
      <c r="P14" s="425">
        <f t="shared" ca="1" si="3"/>
        <v>201869294.39999998</v>
      </c>
      <c r="Q14" s="425">
        <f t="shared" ca="1" si="3"/>
        <v>204157406.40000001</v>
      </c>
      <c r="R14" s="425">
        <f t="shared" ca="1" si="3"/>
        <v>206448146.40000001</v>
      </c>
      <c r="S14" s="425">
        <f t="shared" ca="1" si="3"/>
        <v>208872651.59999999</v>
      </c>
      <c r="T14" s="425">
        <f t="shared" ca="1" si="3"/>
        <v>210981972</v>
      </c>
      <c r="U14" s="425">
        <f t="shared" ca="1" si="3"/>
        <v>213387555.60000002</v>
      </c>
      <c r="V14" s="425">
        <f t="shared" ca="1" si="3"/>
        <v>215815389.59999999</v>
      </c>
      <c r="W14" s="425">
        <f t="shared" ca="1" si="3"/>
        <v>218287724.39999998</v>
      </c>
      <c r="X14" s="425">
        <f t="shared" ca="1" si="3"/>
        <v>220814721.59999999</v>
      </c>
      <c r="Y14" s="287"/>
    </row>
    <row r="15" spans="1:25">
      <c r="C15" s="251" t="s">
        <v>668</v>
      </c>
      <c r="D15" s="280" t="s">
        <v>669</v>
      </c>
      <c r="E15" s="286"/>
      <c r="F15" s="286"/>
      <c r="G15" s="286"/>
      <c r="H15" s="286"/>
      <c r="I15" s="286"/>
      <c r="J15" s="286"/>
      <c r="K15" s="286"/>
      <c r="L15" s="286"/>
      <c r="M15" s="286"/>
      <c r="N15" s="286"/>
      <c r="O15" s="286"/>
      <c r="P15" s="286"/>
      <c r="Q15" s="286"/>
      <c r="R15" s="286"/>
      <c r="S15" s="286"/>
      <c r="T15" s="286"/>
      <c r="U15" s="286"/>
      <c r="V15" s="286"/>
      <c r="W15" s="286"/>
      <c r="X15" s="286"/>
      <c r="Y15" s="287"/>
    </row>
    <row r="16" spans="1:25">
      <c r="C16" s="280"/>
      <c r="E16" s="286"/>
      <c r="F16" s="286"/>
      <c r="G16" s="286"/>
      <c r="H16" s="286"/>
      <c r="I16" s="286"/>
      <c r="J16" s="286"/>
      <c r="K16" s="286"/>
      <c r="L16" s="286"/>
      <c r="M16" s="286"/>
      <c r="N16" s="286"/>
      <c r="O16" s="286"/>
      <c r="P16" s="286"/>
      <c r="Q16" s="286"/>
      <c r="R16" s="286"/>
      <c r="S16" s="286"/>
      <c r="T16" s="286"/>
      <c r="U16" s="286"/>
      <c r="V16" s="286"/>
      <c r="W16" s="286"/>
      <c r="X16" s="286"/>
      <c r="Y16" s="287"/>
    </row>
    <row r="17" spans="1:80">
      <c r="A17" s="262"/>
      <c r="B17" s="262"/>
      <c r="E17" s="288"/>
      <c r="F17" s="288"/>
      <c r="G17" s="288"/>
      <c r="H17" s="288"/>
      <c r="I17" s="288"/>
      <c r="J17" s="288"/>
      <c r="K17" s="288"/>
      <c r="L17" s="288"/>
      <c r="M17" s="288"/>
      <c r="N17" s="288"/>
      <c r="O17" s="288"/>
      <c r="P17" s="288"/>
      <c r="Q17" s="288"/>
      <c r="R17" s="288"/>
      <c r="S17" s="288"/>
      <c r="T17" s="288"/>
      <c r="U17" s="288"/>
      <c r="V17" s="288"/>
      <c r="W17" s="288"/>
      <c r="X17" s="288"/>
      <c r="Y17" s="262"/>
    </row>
    <row r="18" spans="1:80">
      <c r="A18" s="252"/>
      <c r="B18" s="252"/>
      <c r="C18" s="252"/>
      <c r="D18" s="290" t="s">
        <v>541</v>
      </c>
      <c r="E18" s="252">
        <f>E11</f>
        <v>2016</v>
      </c>
      <c r="F18" s="252">
        <f t="shared" ref="F18:X18" si="4">F11</f>
        <v>2017</v>
      </c>
      <c r="G18" s="252">
        <f t="shared" si="4"/>
        <v>2018</v>
      </c>
      <c r="H18" s="252">
        <f t="shared" si="4"/>
        <v>2019</v>
      </c>
      <c r="I18" s="252">
        <f t="shared" si="4"/>
        <v>2020</v>
      </c>
      <c r="J18" s="252">
        <f t="shared" si="4"/>
        <v>2021</v>
      </c>
      <c r="K18" s="252">
        <f t="shared" si="4"/>
        <v>2022</v>
      </c>
      <c r="L18" s="252">
        <f t="shared" si="4"/>
        <v>2023</v>
      </c>
      <c r="M18" s="252">
        <f t="shared" si="4"/>
        <v>2024</v>
      </c>
      <c r="N18" s="252">
        <f t="shared" si="4"/>
        <v>2025</v>
      </c>
      <c r="O18" s="252">
        <f t="shared" si="4"/>
        <v>2026</v>
      </c>
      <c r="P18" s="252">
        <f t="shared" si="4"/>
        <v>2027</v>
      </c>
      <c r="Q18" s="252">
        <f t="shared" si="4"/>
        <v>2028</v>
      </c>
      <c r="R18" s="252">
        <f t="shared" si="4"/>
        <v>2029</v>
      </c>
      <c r="S18" s="252">
        <f t="shared" si="4"/>
        <v>2030</v>
      </c>
      <c r="T18" s="252">
        <f t="shared" si="4"/>
        <v>2031</v>
      </c>
      <c r="U18" s="252">
        <f t="shared" si="4"/>
        <v>2032</v>
      </c>
      <c r="V18" s="252">
        <f t="shared" si="4"/>
        <v>2033</v>
      </c>
      <c r="W18" s="252">
        <f t="shared" si="4"/>
        <v>2034</v>
      </c>
      <c r="X18" s="252">
        <f t="shared" si="4"/>
        <v>2035</v>
      </c>
      <c r="Y18" s="291">
        <v>0.85</v>
      </c>
    </row>
    <row r="19" spans="1:80">
      <c r="A19" s="252" t="s">
        <v>542</v>
      </c>
      <c r="B19" s="252"/>
      <c r="C19" s="252" t="str">
        <f>C8</f>
        <v>Distribution System Efficiency</v>
      </c>
      <c r="D19" s="422" t="s">
        <v>435</v>
      </c>
      <c r="E19" s="427">
        <f>VLOOKUP($D$19,ACHEIVE!$B$4:$AP$46,MATCH(E$11,$E$11:$X$11,0)+1,FALSE)</f>
        <v>0.01</v>
      </c>
      <c r="F19" s="427">
        <f>VLOOKUP($D$19,ACHEIVE!$B$4:$AP$46,MATCH(F$11,$E$11:$X$11,0)+1,FALSE)</f>
        <v>1.6E-2</v>
      </c>
      <c r="G19" s="427">
        <f>VLOOKUP($D$19,ACHEIVE!$B$4:$AP$46,MATCH(G$11,$E$11:$X$11,0)+1,FALSE)</f>
        <v>2.1999999999999999E-2</v>
      </c>
      <c r="H19" s="427">
        <f>VLOOKUP($D$19,ACHEIVE!$B$4:$AP$46,MATCH(H$11,$E$11:$X$11,0)+1,FALSE)</f>
        <v>0.03</v>
      </c>
      <c r="I19" s="427">
        <f>VLOOKUP($D$19,ACHEIVE!$B$4:$AP$46,MATCH(I$11,$E$11:$X$11,0)+1,FALSE)</f>
        <v>3.5000000000000003E-2</v>
      </c>
      <c r="J19" s="427">
        <f>VLOOKUP($D$19,ACHEIVE!$B$4:$AP$46,MATCH(J$11,$E$11:$X$11,0)+1,FALSE)</f>
        <v>0.04</v>
      </c>
      <c r="K19" s="292">
        <f>VLOOKUP($D$19,ACHEIVE!$B$4:$AP$46,MATCH(K$11,$E$11:$X$11,0)+1,FALSE)</f>
        <v>4.4999999999999998E-2</v>
      </c>
      <c r="L19" s="292">
        <f>VLOOKUP($D$19,ACHEIVE!$B$4:$AP$46,MATCH(L$11,$E$11:$X$11,0)+1,FALSE)</f>
        <v>4.8000000000000001E-2</v>
      </c>
      <c r="M19" s="292">
        <f>VLOOKUP($D$19,ACHEIVE!$B$4:$AP$46,MATCH(M$11,$E$11:$X$11,0)+1,FALSE)</f>
        <v>5.0999999999999997E-2</v>
      </c>
      <c r="N19" s="292">
        <f>VLOOKUP($D$19,ACHEIVE!$B$4:$AP$46,MATCH(N$11,$E$11:$X$11,0)+1,FALSE)</f>
        <v>5.3999999999999999E-2</v>
      </c>
      <c r="O19" s="292">
        <f>VLOOKUP($D$19,ACHEIVE!$B$4:$AP$46,MATCH(O$11,$E$11:$X$11,0)+1,FALSE)</f>
        <v>5.7000000000000002E-2</v>
      </c>
      <c r="P19" s="292">
        <f>VLOOKUP($D$19,ACHEIVE!$B$4:$AP$46,MATCH(P$11,$E$11:$X$11,0)+1,FALSE)</f>
        <v>0.06</v>
      </c>
      <c r="Q19" s="292">
        <f>VLOOKUP($D$19,ACHEIVE!$B$4:$AP$46,MATCH(Q$11,$E$11:$X$11,0)+1,FALSE)</f>
        <v>0.06</v>
      </c>
      <c r="R19" s="292">
        <f>VLOOKUP($D$19,ACHEIVE!$B$4:$AP$46,MATCH(R$11,$E$11:$X$11,0)+1,FALSE)</f>
        <v>0.06</v>
      </c>
      <c r="S19" s="292">
        <f>VLOOKUP($D$19,ACHEIVE!$B$4:$AP$46,MATCH(S$11,$E$11:$X$11,0)+1,FALSE)</f>
        <v>0.06</v>
      </c>
      <c r="T19" s="292">
        <f>VLOOKUP($D$19,ACHEIVE!$B$4:$AP$46,MATCH(T$11,$E$11:$X$11,0)+1,FALSE)</f>
        <v>0.06</v>
      </c>
      <c r="U19" s="292">
        <f>VLOOKUP($D$19,ACHEIVE!$B$4:$AP$46,MATCH(U$11,$E$11:$X$11,0)+1,FALSE)</f>
        <v>0.06</v>
      </c>
      <c r="V19" s="292">
        <f>VLOOKUP($D$19,ACHEIVE!$B$4:$AP$46,MATCH(V$11,$E$11:$X$11,0)+1,FALSE)</f>
        <v>0.06</v>
      </c>
      <c r="W19" s="292">
        <f>VLOOKUP($D$19,ACHEIVE!$B$4:$AP$46,MATCH(W$11,$E$11:$X$11,0)+1,FALSE)</f>
        <v>0.06</v>
      </c>
      <c r="X19" s="292">
        <f>VLOOKUP($D$19,ACHEIVE!$B$4:$AP$46,MATCH(X$11,$E$11:$X$11,0)+1,FALSE)</f>
        <v>0.06</v>
      </c>
      <c r="Y19" s="262"/>
    </row>
    <row r="20" spans="1:80">
      <c r="A20" s="336" t="s">
        <v>670</v>
      </c>
      <c r="E20" s="288">
        <f ca="1">E14*E19</f>
        <v>1845877.416</v>
      </c>
      <c r="F20" s="288">
        <f t="shared" ref="F20:X20" ca="1" si="5">F14*F19</f>
        <v>2970766.8864000002</v>
      </c>
      <c r="G20" s="288">
        <f t="shared" ca="1" si="5"/>
        <v>4126135.1999999997</v>
      </c>
      <c r="H20" s="288">
        <f t="shared" ca="1" si="5"/>
        <v>5663715.8040000005</v>
      </c>
      <c r="I20" s="288">
        <f t="shared" ca="1" si="5"/>
        <v>6646977.6240000008</v>
      </c>
      <c r="J20" s="288">
        <f t="shared" ca="1" si="5"/>
        <v>7648454.1119999997</v>
      </c>
      <c r="K20" s="288">
        <f t="shared" ca="1" si="5"/>
        <v>8668844.3159999996</v>
      </c>
      <c r="L20" s="288">
        <f t="shared" ca="1" si="5"/>
        <v>9321301.5552000012</v>
      </c>
      <c r="M20" s="288">
        <f t="shared" ca="1" si="5"/>
        <v>9990335.4299999997</v>
      </c>
      <c r="N20" s="288">
        <f t="shared" ca="1" si="5"/>
        <v>10679119.250399999</v>
      </c>
      <c r="O20" s="288">
        <f t="shared" ca="1" si="5"/>
        <v>11384466.0408</v>
      </c>
      <c r="P20" s="288">
        <f t="shared" ca="1" si="5"/>
        <v>12112157.663999999</v>
      </c>
      <c r="Q20" s="288">
        <f t="shared" ca="1" si="5"/>
        <v>12249444.384</v>
      </c>
      <c r="R20" s="288">
        <f t="shared" ca="1" si="5"/>
        <v>12386888.784</v>
      </c>
      <c r="S20" s="288">
        <f t="shared" ca="1" si="5"/>
        <v>12532359.095999999</v>
      </c>
      <c r="T20" s="288">
        <f t="shared" ca="1" si="5"/>
        <v>12658918.32</v>
      </c>
      <c r="U20" s="288">
        <f t="shared" ca="1" si="5"/>
        <v>12803253.336000001</v>
      </c>
      <c r="V20" s="288">
        <f t="shared" ca="1" si="5"/>
        <v>12948923.375999998</v>
      </c>
      <c r="W20" s="288">
        <f t="shared" ca="1" si="5"/>
        <v>13097263.463999998</v>
      </c>
      <c r="X20" s="288">
        <f t="shared" ca="1" si="5"/>
        <v>13248883.295999998</v>
      </c>
      <c r="Y20" s="289"/>
    </row>
    <row r="21" spans="1:80">
      <c r="E21" s="288"/>
      <c r="F21" s="288"/>
      <c r="G21" s="288"/>
      <c r="H21" s="288"/>
      <c r="I21" s="288"/>
      <c r="J21" s="288"/>
      <c r="K21" s="288"/>
      <c r="L21" s="288"/>
      <c r="M21" s="288"/>
      <c r="N21" s="288"/>
      <c r="O21" s="288"/>
      <c r="P21" s="288"/>
      <c r="Q21" s="288"/>
      <c r="R21" s="288"/>
      <c r="S21" s="288"/>
      <c r="T21" s="288"/>
      <c r="U21" s="288"/>
      <c r="V21" s="288"/>
      <c r="W21" s="288"/>
      <c r="X21" s="288"/>
      <c r="Y21" s="289"/>
    </row>
    <row r="22" spans="1:80">
      <c r="A22" s="252" t="s">
        <v>894</v>
      </c>
      <c r="E22" s="288"/>
      <c r="F22" s="288"/>
      <c r="G22" s="288"/>
      <c r="H22" s="288"/>
      <c r="I22" s="288"/>
      <c r="J22" s="288"/>
      <c r="K22" s="288"/>
      <c r="L22" s="288"/>
      <c r="M22" s="288"/>
      <c r="N22" s="288"/>
      <c r="O22" s="288"/>
      <c r="P22" s="288"/>
      <c r="Q22" s="288"/>
      <c r="R22" s="288"/>
      <c r="S22" s="288"/>
      <c r="T22" s="288"/>
      <c r="U22" s="288"/>
      <c r="V22" s="288"/>
      <c r="W22" s="288"/>
      <c r="X22" s="288"/>
      <c r="Y22" s="289"/>
    </row>
    <row r="23" spans="1:80" ht="15">
      <c r="A23" s="248" t="s">
        <v>543</v>
      </c>
      <c r="C23" s="234" t="str">
        <f>C8</f>
        <v>Distribution System Efficiency</v>
      </c>
      <c r="D23" s="234"/>
      <c r="E23" s="251" t="s">
        <v>162</v>
      </c>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row>
    <row r="24" spans="1:80" ht="15">
      <c r="A24" s="234"/>
      <c r="B24" s="234"/>
      <c r="C24" s="234"/>
      <c r="D24" s="234"/>
      <c r="E24" s="235">
        <f>E11</f>
        <v>2016</v>
      </c>
      <c r="F24" s="235">
        <f t="shared" ref="F24:X24" si="6">F11</f>
        <v>2017</v>
      </c>
      <c r="G24" s="235">
        <f t="shared" si="6"/>
        <v>2018</v>
      </c>
      <c r="H24" s="235">
        <f t="shared" si="6"/>
        <v>2019</v>
      </c>
      <c r="I24" s="235">
        <f t="shared" si="6"/>
        <v>2020</v>
      </c>
      <c r="J24" s="235">
        <f t="shared" si="6"/>
        <v>2021</v>
      </c>
      <c r="K24" s="235">
        <f t="shared" si="6"/>
        <v>2022</v>
      </c>
      <c r="L24" s="235">
        <f t="shared" si="6"/>
        <v>2023</v>
      </c>
      <c r="M24" s="235">
        <f t="shared" si="6"/>
        <v>2024</v>
      </c>
      <c r="N24" s="235">
        <f t="shared" si="6"/>
        <v>2025</v>
      </c>
      <c r="O24" s="235">
        <f t="shared" si="6"/>
        <v>2026</v>
      </c>
      <c r="P24" s="235">
        <f t="shared" si="6"/>
        <v>2027</v>
      </c>
      <c r="Q24" s="235">
        <f t="shared" si="6"/>
        <v>2028</v>
      </c>
      <c r="R24" s="235">
        <f t="shared" si="6"/>
        <v>2029</v>
      </c>
      <c r="S24" s="235">
        <f t="shared" si="6"/>
        <v>2030</v>
      </c>
      <c r="T24" s="235">
        <f t="shared" si="6"/>
        <v>2031</v>
      </c>
      <c r="U24" s="235">
        <f t="shared" si="6"/>
        <v>2032</v>
      </c>
      <c r="V24" s="235">
        <f t="shared" si="6"/>
        <v>2033</v>
      </c>
      <c r="W24" s="235">
        <f t="shared" si="6"/>
        <v>2034</v>
      </c>
      <c r="X24" s="235">
        <f t="shared" si="6"/>
        <v>2035</v>
      </c>
      <c r="Y24" s="293" t="s">
        <v>515</v>
      </c>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row>
    <row r="25" spans="1:80" ht="15">
      <c r="A25" s="234" t="s">
        <v>544</v>
      </c>
      <c r="B25" s="234" t="s">
        <v>520</v>
      </c>
      <c r="C25" s="234" t="s">
        <v>513</v>
      </c>
      <c r="D25" s="234" t="s">
        <v>514</v>
      </c>
      <c r="E25" s="242" t="str">
        <f>CONCATENATE("aMW_",E$11)</f>
        <v>aMW_2016</v>
      </c>
      <c r="F25" s="242" t="str">
        <f t="shared" ref="F25:X25" si="7">CONCATENATE("aMW_",F$11)</f>
        <v>aMW_2017</v>
      </c>
      <c r="G25" s="242" t="str">
        <f t="shared" si="7"/>
        <v>aMW_2018</v>
      </c>
      <c r="H25" s="242" t="str">
        <f t="shared" si="7"/>
        <v>aMW_2019</v>
      </c>
      <c r="I25" s="242" t="str">
        <f t="shared" si="7"/>
        <v>aMW_2020</v>
      </c>
      <c r="J25" s="242" t="str">
        <f t="shared" si="7"/>
        <v>aMW_2021</v>
      </c>
      <c r="K25" s="242" t="str">
        <f t="shared" si="7"/>
        <v>aMW_2022</v>
      </c>
      <c r="L25" s="242" t="str">
        <f t="shared" si="7"/>
        <v>aMW_2023</v>
      </c>
      <c r="M25" s="242" t="str">
        <f t="shared" si="7"/>
        <v>aMW_2024</v>
      </c>
      <c r="N25" s="242" t="str">
        <f t="shared" si="7"/>
        <v>aMW_2025</v>
      </c>
      <c r="O25" s="242" t="str">
        <f t="shared" si="7"/>
        <v>aMW_2026</v>
      </c>
      <c r="P25" s="242" t="str">
        <f t="shared" si="7"/>
        <v>aMW_2027</v>
      </c>
      <c r="Q25" s="242" t="str">
        <f t="shared" si="7"/>
        <v>aMW_2028</v>
      </c>
      <c r="R25" s="242" t="str">
        <f t="shared" si="7"/>
        <v>aMW_2029</v>
      </c>
      <c r="S25" s="242" t="str">
        <f t="shared" si="7"/>
        <v>aMW_2030</v>
      </c>
      <c r="T25" s="242" t="str">
        <f t="shared" si="7"/>
        <v>aMW_2031</v>
      </c>
      <c r="U25" s="242" t="str">
        <f t="shared" si="7"/>
        <v>aMW_2032</v>
      </c>
      <c r="V25" s="242" t="str">
        <f t="shared" si="7"/>
        <v>aMW_2033</v>
      </c>
      <c r="W25" s="242" t="str">
        <f t="shared" si="7"/>
        <v>aMW_2034</v>
      </c>
      <c r="X25" s="242" t="str">
        <f t="shared" si="7"/>
        <v>aMW_2035</v>
      </c>
      <c r="Y25" s="294" t="s">
        <v>515</v>
      </c>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row>
    <row r="26" spans="1:80">
      <c r="A26" s="411">
        <f>VLOOKUP($D26,M_Input_Out!A1:AM22,3,FALSE)</f>
        <v>4.4347105597087273</v>
      </c>
      <c r="B26" s="295">
        <f>VLOOKUP($D26,M_Input_Out!A1:AM22,11,FALSE)</f>
        <v>-2.4129262646443115</v>
      </c>
      <c r="D26" s="337" t="s">
        <v>700</v>
      </c>
      <c r="E26" s="296">
        <f ca="1">E$20*$A26/8760/1000*$Y$18</f>
        <v>0.79429706145703194</v>
      </c>
      <c r="F26" s="296">
        <f t="shared" ref="F26:X30" ca="1" si="8">F$20*$A26/8760/1000*$Y$18</f>
        <v>1.2783467567715106</v>
      </c>
      <c r="G26" s="296">
        <f t="shared" ca="1" si="8"/>
        <v>1.7755117626589036</v>
      </c>
      <c r="H26" s="296">
        <f t="shared" ca="1" si="8"/>
        <v>2.4371460320444984</v>
      </c>
      <c r="I26" s="296">
        <f t="shared" ca="1" si="8"/>
        <v>2.8602521210508409</v>
      </c>
      <c r="J26" s="296">
        <f t="shared" ca="1" si="8"/>
        <v>3.2911961396739651</v>
      </c>
      <c r="K26" s="296">
        <f t="shared" ca="1" si="8"/>
        <v>3.730278894331136</v>
      </c>
      <c r="L26" s="296">
        <f t="shared" ca="1" si="8"/>
        <v>4.0110369031408224</v>
      </c>
      <c r="M26" s="296">
        <f t="shared" ca="1" si="8"/>
        <v>4.2989279820188626</v>
      </c>
      <c r="N26" s="296">
        <f t="shared" ca="1" si="8"/>
        <v>4.5953176337804766</v>
      </c>
      <c r="O26" s="296">
        <f t="shared" ca="1" si="8"/>
        <v>4.8988344751842456</v>
      </c>
      <c r="P26" s="296">
        <f t="shared" ca="1" si="8"/>
        <v>5.2119664919392825</v>
      </c>
      <c r="Q26" s="296">
        <f t="shared" ca="1" si="8"/>
        <v>5.2710421582472753</v>
      </c>
      <c r="R26" s="296">
        <f t="shared" ca="1" si="8"/>
        <v>5.3301856756268311</v>
      </c>
      <c r="S26" s="296">
        <f t="shared" ca="1" si="8"/>
        <v>5.3927828125489699</v>
      </c>
      <c r="T26" s="296">
        <f t="shared" ca="1" si="8"/>
        <v>5.4472423442882558</v>
      </c>
      <c r="U26" s="296">
        <f t="shared" ca="1" si="8"/>
        <v>5.5093509534951384</v>
      </c>
      <c r="V26" s="296">
        <f t="shared" ca="1" si="8"/>
        <v>5.5720340351079249</v>
      </c>
      <c r="W26" s="296">
        <f t="shared" ca="1" si="8"/>
        <v>5.6358660615325205</v>
      </c>
      <c r="X26" s="296">
        <f t="shared" ca="1" si="8"/>
        <v>5.7011093902456391</v>
      </c>
      <c r="Y26" s="253">
        <f ca="1">SUM(E26:X26)</f>
        <v>83.042725685144134</v>
      </c>
      <c r="AA26" s="287"/>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row>
    <row r="27" spans="1:80">
      <c r="A27" s="411">
        <f>VLOOKUP($D27,M_Input_Out!A2:AM23,3,FALSE)</f>
        <v>2.6564290127868606</v>
      </c>
      <c r="B27" s="295">
        <f>VLOOKUP($D27,M_Input_Out!A2:AM23,11,FALSE)</f>
        <v>3.4416972773919268</v>
      </c>
      <c r="D27" s="337" t="s">
        <v>698</v>
      </c>
      <c r="E27" s="296">
        <f t="shared" ref="E27:T30" ca="1" si="9">E$20*$A27/8760/1000*$Y$18</f>
        <v>0.47579063625843315</v>
      </c>
      <c r="F27" s="296">
        <f t="shared" ca="1" si="9"/>
        <v>0.76574048460850808</v>
      </c>
      <c r="G27" s="296">
        <f t="shared" ca="1" si="9"/>
        <v>1.063546514562437</v>
      </c>
      <c r="H27" s="296">
        <f t="shared" ca="1" si="9"/>
        <v>1.459871019935651</v>
      </c>
      <c r="I27" s="296">
        <f t="shared" ca="1" si="9"/>
        <v>1.7133151343125426</v>
      </c>
      <c r="J27" s="296">
        <f t="shared" ca="1" si="9"/>
        <v>1.9714542346087782</v>
      </c>
      <c r="K27" s="296">
        <f t="shared" ca="1" si="9"/>
        <v>2.2344685064042964</v>
      </c>
      <c r="L27" s="296">
        <f t="shared" ca="1" si="9"/>
        <v>2.402644920655626</v>
      </c>
      <c r="M27" s="296">
        <f t="shared" ca="1" si="9"/>
        <v>2.5750941040143629</v>
      </c>
      <c r="N27" s="296">
        <f t="shared" ca="1" si="9"/>
        <v>2.7526340041789092</v>
      </c>
      <c r="O27" s="296">
        <f t="shared" ca="1" si="9"/>
        <v>2.9344431510259934</v>
      </c>
      <c r="P27" s="296">
        <f t="shared" ca="1" si="9"/>
        <v>3.1220118689707284</v>
      </c>
      <c r="Q27" s="296">
        <f t="shared" ca="1" si="9"/>
        <v>3.1573986911358638</v>
      </c>
      <c r="R27" s="296">
        <f t="shared" ca="1" si="9"/>
        <v>3.1928261566648959</v>
      </c>
      <c r="S27" s="296">
        <f t="shared" ca="1" si="9"/>
        <v>3.2303223694162164</v>
      </c>
      <c r="T27" s="296">
        <f t="shared" ca="1" si="9"/>
        <v>3.2629440880576528</v>
      </c>
      <c r="U27" s="296">
        <f t="shared" ca="1" si="8"/>
        <v>3.3001476685889251</v>
      </c>
      <c r="V27" s="296">
        <f t="shared" ca="1" si="8"/>
        <v>3.3376953629345119</v>
      </c>
      <c r="W27" s="296">
        <f t="shared" ca="1" si="8"/>
        <v>3.3759312849087322</v>
      </c>
      <c r="X27" s="296">
        <f t="shared" ca="1" si="8"/>
        <v>3.4150125888519813</v>
      </c>
      <c r="Y27" s="253">
        <f t="shared" ref="Y27:Y30" ca="1" si="10">SUM(E27:X27)</f>
        <v>49.74329279009504</v>
      </c>
      <c r="AA27" s="28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row>
    <row r="28" spans="1:80">
      <c r="A28" s="411">
        <f>VLOOKUP($D28,M_Input_Out!A3:AM24,3,FALSE)</f>
        <v>2.9178889796356824</v>
      </c>
      <c r="B28" s="295">
        <f>VLOOKUP($D28,M_Input_Out!A3:AM24,11,FALSE)</f>
        <v>59.902637657436337</v>
      </c>
      <c r="D28" s="337" t="s">
        <v>699</v>
      </c>
      <c r="E28" s="296">
        <f t="shared" ca="1" si="9"/>
        <v>0.52262049822135515</v>
      </c>
      <c r="F28" s="296">
        <f t="shared" ca="1" si="8"/>
        <v>0.84110876313461125</v>
      </c>
      <c r="G28" s="296">
        <f t="shared" ca="1" si="8"/>
        <v>1.1682264571097993</v>
      </c>
      <c r="H28" s="296">
        <f t="shared" ca="1" si="8"/>
        <v>1.6035593423559409</v>
      </c>
      <c r="I28" s="296">
        <f t="shared" ca="1" si="8"/>
        <v>1.8819487834944506</v>
      </c>
      <c r="J28" s="296">
        <f t="shared" ca="1" si="8"/>
        <v>2.1654953162050132</v>
      </c>
      <c r="K28" s="296">
        <f t="shared" ca="1" si="8"/>
        <v>2.4543968608971176</v>
      </c>
      <c r="L28" s="296">
        <f t="shared" ca="1" si="8"/>
        <v>2.639126098311892</v>
      </c>
      <c r="M28" s="296">
        <f t="shared" ca="1" si="8"/>
        <v>2.828548653647462</v>
      </c>
      <c r="N28" s="296">
        <f t="shared" ca="1" si="8"/>
        <v>3.0235629813942708</v>
      </c>
      <c r="O28" s="296">
        <f t="shared" ca="1" si="8"/>
        <v>3.2232667579410887</v>
      </c>
      <c r="P28" s="296">
        <f t="shared" ca="1" si="8"/>
        <v>3.4292969934116604</v>
      </c>
      <c r="Q28" s="296">
        <f t="shared" ca="1" si="8"/>
        <v>3.4681667760871839</v>
      </c>
      <c r="R28" s="296">
        <f t="shared" ca="1" si="8"/>
        <v>3.5070812024640952</v>
      </c>
      <c r="S28" s="296">
        <f t="shared" ca="1" si="8"/>
        <v>3.5482679932416765</v>
      </c>
      <c r="T28" s="296">
        <f t="shared" ca="1" si="8"/>
        <v>3.5841005160994071</v>
      </c>
      <c r="U28" s="296">
        <f t="shared" ca="1" si="8"/>
        <v>3.6249658722269933</v>
      </c>
      <c r="V28" s="296">
        <f t="shared" ca="1" si="8"/>
        <v>3.6662092116929998</v>
      </c>
      <c r="W28" s="296">
        <f t="shared" ca="1" si="8"/>
        <v>3.7082085178358515</v>
      </c>
      <c r="X28" s="296">
        <f t="shared" ca="1" si="8"/>
        <v>3.7511364129675817</v>
      </c>
      <c r="Y28" s="253">
        <f t="shared" ca="1" si="10"/>
        <v>54.63929400874045</v>
      </c>
      <c r="AA28" s="287"/>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row>
    <row r="29" spans="1:80">
      <c r="A29" s="411">
        <f>VLOOKUP($D29,M_Input_Out!A4:AM25,3,FALSE)</f>
        <v>1.4954141897898539</v>
      </c>
      <c r="B29" s="295">
        <f>VLOOKUP($D29,M_Input_Out!A4:AM25,11,FALSE)</f>
        <v>96.719901846188563</v>
      </c>
      <c r="D29" s="337" t="s">
        <v>380</v>
      </c>
      <c r="E29" s="296">
        <f t="shared" ca="1" si="9"/>
        <v>0.26784230461463177</v>
      </c>
      <c r="F29" s="296">
        <f t="shared" ca="1" si="8"/>
        <v>0.43106711335711473</v>
      </c>
      <c r="G29" s="296">
        <f t="shared" ca="1" si="8"/>
        <v>0.59871449292359435</v>
      </c>
      <c r="H29" s="296">
        <f t="shared" ca="1" si="8"/>
        <v>0.8218220129227003</v>
      </c>
      <c r="I29" s="296">
        <f t="shared" ca="1" si="8"/>
        <v>0.96449622824468728</v>
      </c>
      <c r="J29" s="296">
        <f t="shared" ca="1" si="8"/>
        <v>1.1098134460827798</v>
      </c>
      <c r="K29" s="296">
        <f t="shared" ca="1" si="8"/>
        <v>1.2578751003814717</v>
      </c>
      <c r="L29" s="296">
        <f t="shared" ca="1" si="8"/>
        <v>1.3525485868736149</v>
      </c>
      <c r="M29" s="296">
        <f t="shared" ca="1" si="8"/>
        <v>1.449627392507417</v>
      </c>
      <c r="N29" s="296">
        <f t="shared" ca="1" si="8"/>
        <v>1.5495719740045919</v>
      </c>
      <c r="O29" s="296">
        <f t="shared" ca="1" si="8"/>
        <v>1.6519198917242099</v>
      </c>
      <c r="P29" s="296">
        <f t="shared" ca="1" si="8"/>
        <v>1.7575101111598057</v>
      </c>
      <c r="Q29" s="296">
        <f t="shared" ca="1" si="8"/>
        <v>1.7774308226648343</v>
      </c>
      <c r="R29" s="296">
        <f t="shared" ca="1" si="8"/>
        <v>1.797374414006967</v>
      </c>
      <c r="S29" s="296">
        <f t="shared" ca="1" si="8"/>
        <v>1.8184825890576815</v>
      </c>
      <c r="T29" s="296">
        <f t="shared" ca="1" si="8"/>
        <v>1.8368467089784164</v>
      </c>
      <c r="U29" s="296">
        <f t="shared" ca="1" si="8"/>
        <v>1.8577901492019842</v>
      </c>
      <c r="V29" s="296">
        <f t="shared" ca="1" si="8"/>
        <v>1.8789273053796971</v>
      </c>
      <c r="W29" s="296">
        <f t="shared" ca="1" si="8"/>
        <v>1.9004518934657009</v>
      </c>
      <c r="X29" s="296">
        <f t="shared" ca="1" si="8"/>
        <v>1.9224523821634636</v>
      </c>
      <c r="Y29" s="253">
        <f t="shared" ca="1" si="10"/>
        <v>28.002564919715361</v>
      </c>
      <c r="AA29" s="287"/>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row>
    <row r="30" spans="1:80">
      <c r="A30" s="411">
        <f>VLOOKUP($D30,M_Input_Out!A5:AM26,3,FALSE)</f>
        <v>0.11582536899942986</v>
      </c>
      <c r="B30" s="295">
        <f>VLOOKUP($D30,M_Input_Out!A5:AM26,11,FALSE)</f>
        <v>321.6199785595287</v>
      </c>
      <c r="D30" s="337" t="s">
        <v>381</v>
      </c>
      <c r="E30" s="296">
        <f t="shared" ca="1" si="9"/>
        <v>2.0745378756909471E-2</v>
      </c>
      <c r="F30" s="296">
        <f t="shared" ca="1" si="8"/>
        <v>3.3387744886333587E-2</v>
      </c>
      <c r="G30" s="296">
        <f t="shared" ca="1" si="8"/>
        <v>4.6372655510194732E-2</v>
      </c>
      <c r="H30" s="296">
        <f t="shared" ca="1" si="8"/>
        <v>6.3653159471492263E-2</v>
      </c>
      <c r="I30" s="296">
        <f t="shared" ca="1" si="8"/>
        <v>7.4703806007550291E-2</v>
      </c>
      <c r="J30" s="296">
        <f t="shared" ca="1" si="8"/>
        <v>8.5959162879904766E-2</v>
      </c>
      <c r="K30" s="296">
        <f t="shared" ca="1" si="8"/>
        <v>9.7427086523334885E-2</v>
      </c>
      <c r="L30" s="296">
        <f t="shared" ca="1" si="8"/>
        <v>0.1047598987851712</v>
      </c>
      <c r="M30" s="296">
        <f t="shared" ca="1" si="8"/>
        <v>0.11227901192541709</v>
      </c>
      <c r="N30" s="296">
        <f t="shared" ca="1" si="8"/>
        <v>0.12002009002300462</v>
      </c>
      <c r="O30" s="296">
        <f t="shared" ca="1" si="8"/>
        <v>0.1279473154145625</v>
      </c>
      <c r="P30" s="296">
        <f t="shared" ca="1" si="8"/>
        <v>0.13612566908564627</v>
      </c>
      <c r="Q30" s="296">
        <f t="shared" ca="1" si="8"/>
        <v>0.13766860199116149</v>
      </c>
      <c r="R30" s="296">
        <f t="shared" ca="1" si="8"/>
        <v>0.13921330702482237</v>
      </c>
      <c r="S30" s="296">
        <f t="shared" ca="1" si="8"/>
        <v>0.14084821338109896</v>
      </c>
      <c r="T30" s="296">
        <f t="shared" ca="1" si="8"/>
        <v>0.14227058250176897</v>
      </c>
      <c r="U30" s="296">
        <f t="shared" ca="1" si="8"/>
        <v>0.14389272953539659</v>
      </c>
      <c r="V30" s="296">
        <f t="shared" ca="1" si="8"/>
        <v>0.14552988058732433</v>
      </c>
      <c r="W30" s="296">
        <f t="shared" ca="1" si="8"/>
        <v>0.14719703967585251</v>
      </c>
      <c r="X30" s="296">
        <f t="shared" ca="1" si="8"/>
        <v>0.14890105902981107</v>
      </c>
      <c r="Y30" s="253">
        <f t="shared" ca="1" si="10"/>
        <v>2.1689023929967584</v>
      </c>
      <c r="AA30" s="287"/>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row>
    <row r="31" spans="1:80">
      <c r="A31" s="297"/>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row>
    <row r="32" spans="1:80">
      <c r="D32" s="253"/>
      <c r="E32" s="253">
        <f ca="1">SUM(E26:E31)</f>
        <v>2.0812958793083616</v>
      </c>
      <c r="F32" s="253">
        <f t="shared" ref="F32:X32" ca="1" si="11">SUM(F26:F31)</f>
        <v>3.3496508627580783</v>
      </c>
      <c r="G32" s="253">
        <f t="shared" ca="1" si="11"/>
        <v>4.6523718827649292</v>
      </c>
      <c r="H32" s="253">
        <f t="shared" ca="1" si="11"/>
        <v>6.3860515667302833</v>
      </c>
      <c r="I32" s="253">
        <f t="shared" ca="1" si="11"/>
        <v>7.4947160731100713</v>
      </c>
      <c r="J32" s="253">
        <f t="shared" ca="1" si="11"/>
        <v>8.6239182994504411</v>
      </c>
      <c r="K32" s="253">
        <f t="shared" ca="1" si="11"/>
        <v>9.7744464485373577</v>
      </c>
      <c r="L32" s="253">
        <f t="shared" ca="1" si="11"/>
        <v>10.510116407767125</v>
      </c>
      <c r="M32" s="253">
        <f t="shared" ca="1" si="11"/>
        <v>11.264477144113521</v>
      </c>
      <c r="N32" s="253">
        <f t="shared" ca="1" si="11"/>
        <v>12.041106683381255</v>
      </c>
      <c r="O32" s="253">
        <f t="shared" ca="1" si="11"/>
        <v>12.836411591290101</v>
      </c>
      <c r="P32" s="253">
        <f t="shared" ca="1" si="11"/>
        <v>13.656911134567125</v>
      </c>
      <c r="Q32" s="253">
        <f t="shared" ca="1" si="11"/>
        <v>13.811707050126319</v>
      </c>
      <c r="R32" s="253">
        <f t="shared" ca="1" si="11"/>
        <v>13.966680755787612</v>
      </c>
      <c r="S32" s="253">
        <f t="shared" ca="1" si="11"/>
        <v>14.130703977645645</v>
      </c>
      <c r="T32" s="253">
        <f t="shared" ca="1" si="11"/>
        <v>14.273404239925501</v>
      </c>
      <c r="U32" s="253">
        <f t="shared" ca="1" si="11"/>
        <v>14.436147373048438</v>
      </c>
      <c r="V32" s="253">
        <f t="shared" ca="1" si="11"/>
        <v>14.600395795702457</v>
      </c>
      <c r="W32" s="253">
        <f t="shared" ca="1" si="11"/>
        <v>14.767654797418658</v>
      </c>
      <c r="X32" s="253">
        <f t="shared" ca="1" si="11"/>
        <v>14.938611833258477</v>
      </c>
      <c r="Y32" s="287">
        <f ca="1">SUM(Y26:Y31)</f>
        <v>217.59677979669175</v>
      </c>
      <c r="Z32" s="253"/>
      <c r="AA32" s="253"/>
      <c r="AB32" s="298"/>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row>
    <row r="33" spans="1:79">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row>
    <row r="34" spans="1:79">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row>
    <row r="35" spans="1:79" ht="15">
      <c r="A35" s="299" t="s">
        <v>545</v>
      </c>
      <c r="B35" s="300"/>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row>
    <row r="36" spans="1:79" ht="15">
      <c r="C36" s="301"/>
      <c r="D36" s="301"/>
      <c r="E36" s="235">
        <f>E24</f>
        <v>2016</v>
      </c>
      <c r="F36" s="235">
        <f t="shared" ref="F36:X36" si="12">F24</f>
        <v>2017</v>
      </c>
      <c r="G36" s="235">
        <f t="shared" si="12"/>
        <v>2018</v>
      </c>
      <c r="H36" s="235">
        <f t="shared" si="12"/>
        <v>2019</v>
      </c>
      <c r="I36" s="235">
        <f t="shared" si="12"/>
        <v>2020</v>
      </c>
      <c r="J36" s="235">
        <f t="shared" si="12"/>
        <v>2021</v>
      </c>
      <c r="K36" s="235">
        <f t="shared" si="12"/>
        <v>2022</v>
      </c>
      <c r="L36" s="235">
        <f t="shared" si="12"/>
        <v>2023</v>
      </c>
      <c r="M36" s="235">
        <f t="shared" si="12"/>
        <v>2024</v>
      </c>
      <c r="N36" s="235">
        <f t="shared" si="12"/>
        <v>2025</v>
      </c>
      <c r="O36" s="235">
        <f t="shared" si="12"/>
        <v>2026</v>
      </c>
      <c r="P36" s="235">
        <f t="shared" si="12"/>
        <v>2027</v>
      </c>
      <c r="Q36" s="235">
        <f t="shared" si="12"/>
        <v>2028</v>
      </c>
      <c r="R36" s="235">
        <f t="shared" si="12"/>
        <v>2029</v>
      </c>
      <c r="S36" s="235">
        <f t="shared" si="12"/>
        <v>2030</v>
      </c>
      <c r="T36" s="235">
        <f t="shared" si="12"/>
        <v>2031</v>
      </c>
      <c r="U36" s="235">
        <f t="shared" si="12"/>
        <v>2032</v>
      </c>
      <c r="V36" s="235">
        <f t="shared" si="12"/>
        <v>2033</v>
      </c>
      <c r="W36" s="235">
        <f t="shared" si="12"/>
        <v>2034</v>
      </c>
      <c r="X36" s="235">
        <f t="shared" si="12"/>
        <v>2035</v>
      </c>
      <c r="Y36" s="235" t="s">
        <v>546</v>
      </c>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row>
    <row r="37" spans="1:79" ht="15">
      <c r="C37" s="302" t="s">
        <v>520</v>
      </c>
      <c r="D37" s="302" t="s">
        <v>520</v>
      </c>
      <c r="E37" s="242" t="str">
        <f>CONCATENATE("aMW_",E$11)</f>
        <v>aMW_2016</v>
      </c>
      <c r="F37" s="242" t="str">
        <f t="shared" ref="F37:X37" si="13">CONCATENATE("aMW_",F$11)</f>
        <v>aMW_2017</v>
      </c>
      <c r="G37" s="242" t="str">
        <f t="shared" si="13"/>
        <v>aMW_2018</v>
      </c>
      <c r="H37" s="242" t="str">
        <f t="shared" si="13"/>
        <v>aMW_2019</v>
      </c>
      <c r="I37" s="242" t="str">
        <f t="shared" si="13"/>
        <v>aMW_2020</v>
      </c>
      <c r="J37" s="242" t="str">
        <f t="shared" si="13"/>
        <v>aMW_2021</v>
      </c>
      <c r="K37" s="242" t="str">
        <f t="shared" si="13"/>
        <v>aMW_2022</v>
      </c>
      <c r="L37" s="242" t="str">
        <f t="shared" si="13"/>
        <v>aMW_2023</v>
      </c>
      <c r="M37" s="242" t="str">
        <f t="shared" si="13"/>
        <v>aMW_2024</v>
      </c>
      <c r="N37" s="242" t="str">
        <f t="shared" si="13"/>
        <v>aMW_2025</v>
      </c>
      <c r="O37" s="242" t="str">
        <f t="shared" si="13"/>
        <v>aMW_2026</v>
      </c>
      <c r="P37" s="242" t="str">
        <f t="shared" si="13"/>
        <v>aMW_2027</v>
      </c>
      <c r="Q37" s="242" t="str">
        <f t="shared" si="13"/>
        <v>aMW_2028</v>
      </c>
      <c r="R37" s="242" t="str">
        <f t="shared" si="13"/>
        <v>aMW_2029</v>
      </c>
      <c r="S37" s="242" t="str">
        <f t="shared" si="13"/>
        <v>aMW_2030</v>
      </c>
      <c r="T37" s="242" t="str">
        <f t="shared" si="13"/>
        <v>aMW_2031</v>
      </c>
      <c r="U37" s="242" t="str">
        <f t="shared" si="13"/>
        <v>aMW_2032</v>
      </c>
      <c r="V37" s="242" t="str">
        <f t="shared" si="13"/>
        <v>aMW_2033</v>
      </c>
      <c r="W37" s="242" t="str">
        <f t="shared" si="13"/>
        <v>aMW_2034</v>
      </c>
      <c r="X37" s="242" t="str">
        <f t="shared" si="13"/>
        <v>aMW_2035</v>
      </c>
      <c r="Y37" s="242" t="s">
        <v>547</v>
      </c>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row>
    <row r="38" spans="1:79">
      <c r="B38" s="251" t="s">
        <v>548</v>
      </c>
      <c r="C38" s="303" t="s">
        <v>549</v>
      </c>
      <c r="D38" s="303" t="s">
        <v>550</v>
      </c>
      <c r="E38" s="296">
        <f ca="1">DSUM($B$25:$Y$30,E$25,$C$37:$D38)</f>
        <v>0.79429706145703194</v>
      </c>
      <c r="F38" s="296">
        <f ca="1">DSUM($B$25:$Y$30,F$25,$C$37:$D38)</f>
        <v>1.2783467567715106</v>
      </c>
      <c r="G38" s="296">
        <f ca="1">DSUM($B$25:$Y$30,G$25,$C$37:$D38)</f>
        <v>1.7755117626589036</v>
      </c>
      <c r="H38" s="296">
        <f ca="1">DSUM($B$25:$Y$30,H$25,$C$37:$D38)</f>
        <v>2.4371460320444984</v>
      </c>
      <c r="I38" s="296">
        <f ca="1">DSUM($B$25:$Y$30,I$25,$C$37:$D38)</f>
        <v>2.8602521210508409</v>
      </c>
      <c r="J38" s="296">
        <f ca="1">DSUM($B$25:$Y$30,J$25,$C$37:$D38)</f>
        <v>3.2911961396739651</v>
      </c>
      <c r="K38" s="296">
        <f ca="1">DSUM($B$25:$Y$30,K$25,$C$37:$D38)</f>
        <v>3.730278894331136</v>
      </c>
      <c r="L38" s="296">
        <f ca="1">DSUM($B$25:$Y$30,L$25,$C$37:$D38)</f>
        <v>4.0110369031408224</v>
      </c>
      <c r="M38" s="296">
        <f ca="1">DSUM($B$25:$Y$30,M$25,$C$37:$D38)</f>
        <v>4.2989279820188626</v>
      </c>
      <c r="N38" s="296">
        <f ca="1">DSUM($B$25:$Y$30,N$25,$C$37:$D38)</f>
        <v>4.5953176337804766</v>
      </c>
      <c r="O38" s="296">
        <f ca="1">DSUM($B$25:$Y$30,O$25,$C$37:$D38)</f>
        <v>4.8988344751842456</v>
      </c>
      <c r="P38" s="296">
        <f ca="1">DSUM($B$25:$Y$30,P$25,$C$37:$D38)</f>
        <v>5.2119664919392825</v>
      </c>
      <c r="Q38" s="296">
        <f ca="1">DSUM($B$25:$Y$30,Q$25,$C$37:$D38)</f>
        <v>5.2710421582472753</v>
      </c>
      <c r="R38" s="296">
        <f ca="1">DSUM($B$25:$Y$30,R$25,$C$37:$D38)</f>
        <v>5.3301856756268311</v>
      </c>
      <c r="S38" s="296">
        <f ca="1">DSUM($B$25:$Y$30,S$25,$C$37:$D38)</f>
        <v>5.3927828125489699</v>
      </c>
      <c r="T38" s="296">
        <f ca="1">DSUM($B$25:$Y$30,T$25,$C$37:$D38)</f>
        <v>5.4472423442882558</v>
      </c>
      <c r="U38" s="296">
        <f ca="1">DSUM($B$25:$Y$30,U$25,$C$37:$D38)</f>
        <v>5.5093509534951384</v>
      </c>
      <c r="V38" s="296">
        <f ca="1">DSUM($B$25:$Y$30,V$25,$C$37:$D38)</f>
        <v>5.5720340351079249</v>
      </c>
      <c r="W38" s="296">
        <f ca="1">DSUM($B$25:$Y$30,W$25,$C$37:$D38)</f>
        <v>5.6358660615325205</v>
      </c>
      <c r="X38" s="296">
        <f ca="1">DSUM($B$25:$Y$30,X$25,$C$37:$D38)</f>
        <v>5.7011093902456391</v>
      </c>
      <c r="Y38" s="296">
        <f ca="1">DSUM($B$25:$Y$30,Y$25,$C$37:$D38)</f>
        <v>83.042725685144134</v>
      </c>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row>
    <row r="39" spans="1:79">
      <c r="B39" s="251" t="s">
        <v>551</v>
      </c>
      <c r="C39" s="303" t="s">
        <v>552</v>
      </c>
      <c r="D39" s="303" t="s">
        <v>553</v>
      </c>
      <c r="E39" s="296">
        <f ca="1">DSUM($B$25:$Y$30,E$25,$C$37:$D39)</f>
        <v>1.2700876977154651</v>
      </c>
      <c r="F39" s="296">
        <f ca="1">DSUM($B$25:$Y$30,F$25,$C$37:$D39)</f>
        <v>2.0440872413800184</v>
      </c>
      <c r="G39" s="296">
        <f ca="1">DSUM($B$25:$Y$30,G$25,$C$37:$D39)</f>
        <v>2.8390582772213406</v>
      </c>
      <c r="H39" s="296">
        <f ca="1">DSUM($B$25:$Y$30,H$25,$C$37:$D39)</f>
        <v>3.8970170519801495</v>
      </c>
      <c r="I39" s="296">
        <f ca="1">DSUM($B$25:$Y$30,I$25,$C$37:$D39)</f>
        <v>4.5735672553633835</v>
      </c>
      <c r="J39" s="296">
        <f ca="1">DSUM($B$25:$Y$30,J$25,$C$37:$D39)</f>
        <v>5.2626503742827433</v>
      </c>
      <c r="K39" s="296">
        <f ca="1">DSUM($B$25:$Y$30,K$25,$C$37:$D39)</f>
        <v>5.9647474007354324</v>
      </c>
      <c r="L39" s="296">
        <f ca="1">DSUM($B$25:$Y$30,L$25,$C$37:$D39)</f>
        <v>6.4136818237964484</v>
      </c>
      <c r="M39" s="296">
        <f ca="1">DSUM($B$25:$Y$30,M$25,$C$37:$D39)</f>
        <v>6.8740220860332251</v>
      </c>
      <c r="N39" s="296">
        <f ca="1">DSUM($B$25:$Y$30,N$25,$C$37:$D39)</f>
        <v>7.3479516379593859</v>
      </c>
      <c r="O39" s="296">
        <f ca="1">DSUM($B$25:$Y$30,O$25,$C$37:$D39)</f>
        <v>7.833277626210239</v>
      </c>
      <c r="P39" s="296">
        <f ca="1">DSUM($B$25:$Y$30,P$25,$C$37:$D39)</f>
        <v>8.3339783609100113</v>
      </c>
      <c r="Q39" s="296">
        <f ca="1">DSUM($B$25:$Y$30,Q$25,$C$37:$D39)</f>
        <v>8.42844084938314</v>
      </c>
      <c r="R39" s="296">
        <f ca="1">DSUM($B$25:$Y$30,R$25,$C$37:$D39)</f>
        <v>8.5230118322917274</v>
      </c>
      <c r="S39" s="296">
        <f ca="1">DSUM($B$25:$Y$30,S$25,$C$37:$D39)</f>
        <v>8.6231051819651867</v>
      </c>
      <c r="T39" s="296">
        <f ca="1">DSUM($B$25:$Y$30,T$25,$C$37:$D39)</f>
        <v>8.7101864323459086</v>
      </c>
      <c r="U39" s="296">
        <f ca="1">DSUM($B$25:$Y$30,U$25,$C$37:$D39)</f>
        <v>8.8094986220840639</v>
      </c>
      <c r="V39" s="296">
        <f ca="1">DSUM($B$25:$Y$30,V$25,$C$37:$D39)</f>
        <v>8.9097293980424368</v>
      </c>
      <c r="W39" s="296">
        <f ca="1">DSUM($B$25:$Y$30,W$25,$C$37:$D39)</f>
        <v>9.0117973464412522</v>
      </c>
      <c r="X39" s="296">
        <f ca="1">DSUM($B$25:$Y$30,X$25,$C$37:$D39)</f>
        <v>9.1161219790976205</v>
      </c>
      <c r="Y39" s="296">
        <f ca="1">DSUM($B$25:$Y$30,Y$25,$C$37:$D39)</f>
        <v>132.78601847523919</v>
      </c>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row>
    <row r="40" spans="1:79">
      <c r="B40" s="251" t="s">
        <v>554</v>
      </c>
      <c r="C40" s="303" t="s">
        <v>555</v>
      </c>
      <c r="D40" s="303" t="s">
        <v>556</v>
      </c>
      <c r="E40" s="296">
        <f ca="1">DSUM($B$25:$Y$30,E$25,$C$37:$D40)</f>
        <v>1.2700876977154651</v>
      </c>
      <c r="F40" s="296">
        <f ca="1">DSUM($B$25:$Y$30,F$25,$C$37:$D40)</f>
        <v>2.0440872413800184</v>
      </c>
      <c r="G40" s="296">
        <f ca="1">DSUM($B$25:$Y$30,G$25,$C$37:$D40)</f>
        <v>2.8390582772213406</v>
      </c>
      <c r="H40" s="296">
        <f ca="1">DSUM($B$25:$Y$30,H$25,$C$37:$D40)</f>
        <v>3.8970170519801495</v>
      </c>
      <c r="I40" s="296">
        <f ca="1">DSUM($B$25:$Y$30,I$25,$C$37:$D40)</f>
        <v>4.5735672553633835</v>
      </c>
      <c r="J40" s="296">
        <f ca="1">DSUM($B$25:$Y$30,J$25,$C$37:$D40)</f>
        <v>5.2626503742827433</v>
      </c>
      <c r="K40" s="296">
        <f ca="1">DSUM($B$25:$Y$30,K$25,$C$37:$D40)</f>
        <v>5.9647474007354324</v>
      </c>
      <c r="L40" s="296">
        <f ca="1">DSUM($B$25:$Y$30,L$25,$C$37:$D40)</f>
        <v>6.4136818237964484</v>
      </c>
      <c r="M40" s="296">
        <f ca="1">DSUM($B$25:$Y$30,M$25,$C$37:$D40)</f>
        <v>6.8740220860332251</v>
      </c>
      <c r="N40" s="296">
        <f ca="1">DSUM($B$25:$Y$30,N$25,$C$37:$D40)</f>
        <v>7.3479516379593859</v>
      </c>
      <c r="O40" s="296">
        <f ca="1">DSUM($B$25:$Y$30,O$25,$C$37:$D40)</f>
        <v>7.833277626210239</v>
      </c>
      <c r="P40" s="296">
        <f ca="1">DSUM($B$25:$Y$30,P$25,$C$37:$D40)</f>
        <v>8.3339783609100113</v>
      </c>
      <c r="Q40" s="296">
        <f ca="1">DSUM($B$25:$Y$30,Q$25,$C$37:$D40)</f>
        <v>8.42844084938314</v>
      </c>
      <c r="R40" s="296">
        <f ca="1">DSUM($B$25:$Y$30,R$25,$C$37:$D40)</f>
        <v>8.5230118322917274</v>
      </c>
      <c r="S40" s="296">
        <f ca="1">DSUM($B$25:$Y$30,S$25,$C$37:$D40)</f>
        <v>8.6231051819651867</v>
      </c>
      <c r="T40" s="296">
        <f ca="1">DSUM($B$25:$Y$30,T$25,$C$37:$D40)</f>
        <v>8.7101864323459086</v>
      </c>
      <c r="U40" s="296">
        <f ca="1">DSUM($B$25:$Y$30,U$25,$C$37:$D40)</f>
        <v>8.8094986220840639</v>
      </c>
      <c r="V40" s="296">
        <f ca="1">DSUM($B$25:$Y$30,V$25,$C$37:$D40)</f>
        <v>8.9097293980424368</v>
      </c>
      <c r="W40" s="296">
        <f ca="1">DSUM($B$25:$Y$30,W$25,$C$37:$D40)</f>
        <v>9.0117973464412522</v>
      </c>
      <c r="X40" s="296">
        <f ca="1">DSUM($B$25:$Y$30,X$25,$C$37:$D40)</f>
        <v>9.1161219790976205</v>
      </c>
      <c r="Y40" s="296">
        <f ca="1">DSUM($B$25:$Y$30,Y$25,$C$37:$D40)</f>
        <v>132.78601847523919</v>
      </c>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row>
    <row r="41" spans="1:79">
      <c r="B41" s="251" t="s">
        <v>557</v>
      </c>
      <c r="C41" s="303" t="s">
        <v>558</v>
      </c>
      <c r="D41" s="303" t="s">
        <v>559</v>
      </c>
      <c r="E41" s="296">
        <f ca="1">DSUM($B$25:$Y$30,E$25,$C$37:$D41)</f>
        <v>1.2700876977154651</v>
      </c>
      <c r="F41" s="296">
        <f ca="1">DSUM($B$25:$Y$30,F$25,$C$37:$D41)</f>
        <v>2.0440872413800184</v>
      </c>
      <c r="G41" s="296">
        <f ca="1">DSUM($B$25:$Y$30,G$25,$C$37:$D41)</f>
        <v>2.8390582772213406</v>
      </c>
      <c r="H41" s="296">
        <f ca="1">DSUM($B$25:$Y$30,H$25,$C$37:$D41)</f>
        <v>3.8970170519801495</v>
      </c>
      <c r="I41" s="296">
        <f ca="1">DSUM($B$25:$Y$30,I$25,$C$37:$D41)</f>
        <v>4.5735672553633835</v>
      </c>
      <c r="J41" s="296">
        <f ca="1">DSUM($B$25:$Y$30,J$25,$C$37:$D41)</f>
        <v>5.2626503742827433</v>
      </c>
      <c r="K41" s="296">
        <f ca="1">DSUM($B$25:$Y$30,K$25,$C$37:$D41)</f>
        <v>5.9647474007354324</v>
      </c>
      <c r="L41" s="296">
        <f ca="1">DSUM($B$25:$Y$30,L$25,$C$37:$D41)</f>
        <v>6.4136818237964484</v>
      </c>
      <c r="M41" s="296">
        <f ca="1">DSUM($B$25:$Y$30,M$25,$C$37:$D41)</f>
        <v>6.8740220860332251</v>
      </c>
      <c r="N41" s="296">
        <f ca="1">DSUM($B$25:$Y$30,N$25,$C$37:$D41)</f>
        <v>7.3479516379593859</v>
      </c>
      <c r="O41" s="296">
        <f ca="1">DSUM($B$25:$Y$30,O$25,$C$37:$D41)</f>
        <v>7.833277626210239</v>
      </c>
      <c r="P41" s="296">
        <f ca="1">DSUM($B$25:$Y$30,P$25,$C$37:$D41)</f>
        <v>8.3339783609100113</v>
      </c>
      <c r="Q41" s="296">
        <f ca="1">DSUM($B$25:$Y$30,Q$25,$C$37:$D41)</f>
        <v>8.42844084938314</v>
      </c>
      <c r="R41" s="296">
        <f ca="1">DSUM($B$25:$Y$30,R$25,$C$37:$D41)</f>
        <v>8.5230118322917274</v>
      </c>
      <c r="S41" s="296">
        <f ca="1">DSUM($B$25:$Y$30,S$25,$C$37:$D41)</f>
        <v>8.6231051819651867</v>
      </c>
      <c r="T41" s="296">
        <f ca="1">DSUM($B$25:$Y$30,T$25,$C$37:$D41)</f>
        <v>8.7101864323459086</v>
      </c>
      <c r="U41" s="296">
        <f ca="1">DSUM($B$25:$Y$30,U$25,$C$37:$D41)</f>
        <v>8.8094986220840639</v>
      </c>
      <c r="V41" s="296">
        <f ca="1">DSUM($B$25:$Y$30,V$25,$C$37:$D41)</f>
        <v>8.9097293980424368</v>
      </c>
      <c r="W41" s="296">
        <f ca="1">DSUM($B$25:$Y$30,W$25,$C$37:$D41)</f>
        <v>9.0117973464412522</v>
      </c>
      <c r="X41" s="296">
        <f ca="1">DSUM($B$25:$Y$30,X$25,$C$37:$D41)</f>
        <v>9.1161219790976205</v>
      </c>
      <c r="Y41" s="296">
        <f ca="1">DSUM($B$25:$Y$30,Y$25,$C$37:$D41)</f>
        <v>132.78601847523919</v>
      </c>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row>
    <row r="42" spans="1:79">
      <c r="B42" s="251" t="s">
        <v>560</v>
      </c>
      <c r="C42" s="303" t="s">
        <v>561</v>
      </c>
      <c r="D42" s="303" t="s">
        <v>562</v>
      </c>
      <c r="E42" s="296">
        <f ca="1">DSUM($B$25:$Y$30,E$25,$C$37:$D42)</f>
        <v>1.2700876977154651</v>
      </c>
      <c r="F42" s="296">
        <f ca="1">DSUM($B$25:$Y$30,F$25,$C$37:$D42)</f>
        <v>2.0440872413800184</v>
      </c>
      <c r="G42" s="296">
        <f ca="1">DSUM($B$25:$Y$30,G$25,$C$37:$D42)</f>
        <v>2.8390582772213406</v>
      </c>
      <c r="H42" s="296">
        <f ca="1">DSUM($B$25:$Y$30,H$25,$C$37:$D42)</f>
        <v>3.8970170519801495</v>
      </c>
      <c r="I42" s="296">
        <f ca="1">DSUM($B$25:$Y$30,I$25,$C$37:$D42)</f>
        <v>4.5735672553633835</v>
      </c>
      <c r="J42" s="296">
        <f ca="1">DSUM($B$25:$Y$30,J$25,$C$37:$D42)</f>
        <v>5.2626503742827433</v>
      </c>
      <c r="K42" s="296">
        <f ca="1">DSUM($B$25:$Y$30,K$25,$C$37:$D42)</f>
        <v>5.9647474007354324</v>
      </c>
      <c r="L42" s="296">
        <f ca="1">DSUM($B$25:$Y$30,L$25,$C$37:$D42)</f>
        <v>6.4136818237964484</v>
      </c>
      <c r="M42" s="296">
        <f ca="1">DSUM($B$25:$Y$30,M$25,$C$37:$D42)</f>
        <v>6.8740220860332251</v>
      </c>
      <c r="N42" s="296">
        <f ca="1">DSUM($B$25:$Y$30,N$25,$C$37:$D42)</f>
        <v>7.3479516379593859</v>
      </c>
      <c r="O42" s="296">
        <f ca="1">DSUM($B$25:$Y$30,O$25,$C$37:$D42)</f>
        <v>7.833277626210239</v>
      </c>
      <c r="P42" s="296">
        <f ca="1">DSUM($B$25:$Y$30,P$25,$C$37:$D42)</f>
        <v>8.3339783609100113</v>
      </c>
      <c r="Q42" s="296">
        <f ca="1">DSUM($B$25:$Y$30,Q$25,$C$37:$D42)</f>
        <v>8.42844084938314</v>
      </c>
      <c r="R42" s="296">
        <f ca="1">DSUM($B$25:$Y$30,R$25,$C$37:$D42)</f>
        <v>8.5230118322917274</v>
      </c>
      <c r="S42" s="296">
        <f ca="1">DSUM($B$25:$Y$30,S$25,$C$37:$D42)</f>
        <v>8.6231051819651867</v>
      </c>
      <c r="T42" s="296">
        <f ca="1">DSUM($B$25:$Y$30,T$25,$C$37:$D42)</f>
        <v>8.7101864323459086</v>
      </c>
      <c r="U42" s="296">
        <f ca="1">DSUM($B$25:$Y$30,U$25,$C$37:$D42)</f>
        <v>8.8094986220840639</v>
      </c>
      <c r="V42" s="296">
        <f ca="1">DSUM($B$25:$Y$30,V$25,$C$37:$D42)</f>
        <v>8.9097293980424368</v>
      </c>
      <c r="W42" s="296">
        <f ca="1">DSUM($B$25:$Y$30,W$25,$C$37:$D42)</f>
        <v>9.0117973464412522</v>
      </c>
      <c r="X42" s="296">
        <f ca="1">DSUM($B$25:$Y$30,X$25,$C$37:$D42)</f>
        <v>9.1161219790976205</v>
      </c>
      <c r="Y42" s="296">
        <f ca="1">DSUM($B$25:$Y$30,Y$25,$C$37:$D42)</f>
        <v>132.78601847523919</v>
      </c>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row>
    <row r="43" spans="1:79">
      <c r="B43" s="251" t="s">
        <v>563</v>
      </c>
      <c r="C43" s="303" t="s">
        <v>564</v>
      </c>
      <c r="D43" s="303" t="s">
        <v>565</v>
      </c>
      <c r="E43" s="296">
        <f ca="1">DSUM($B$25:$Y$30,E$25,$C$37:$D43)</f>
        <v>1.2700876977154651</v>
      </c>
      <c r="F43" s="296">
        <f ca="1">DSUM($B$25:$Y$30,F$25,$C$37:$D43)</f>
        <v>2.0440872413800184</v>
      </c>
      <c r="G43" s="296">
        <f ca="1">DSUM($B$25:$Y$30,G$25,$C$37:$D43)</f>
        <v>2.8390582772213406</v>
      </c>
      <c r="H43" s="296">
        <f ca="1">DSUM($B$25:$Y$30,H$25,$C$37:$D43)</f>
        <v>3.8970170519801495</v>
      </c>
      <c r="I43" s="296">
        <f ca="1">DSUM($B$25:$Y$30,I$25,$C$37:$D43)</f>
        <v>4.5735672553633835</v>
      </c>
      <c r="J43" s="296">
        <f ca="1">DSUM($B$25:$Y$30,J$25,$C$37:$D43)</f>
        <v>5.2626503742827433</v>
      </c>
      <c r="K43" s="296">
        <f ca="1">DSUM($B$25:$Y$30,K$25,$C$37:$D43)</f>
        <v>5.9647474007354324</v>
      </c>
      <c r="L43" s="296">
        <f ca="1">DSUM($B$25:$Y$30,L$25,$C$37:$D43)</f>
        <v>6.4136818237964484</v>
      </c>
      <c r="M43" s="296">
        <f ca="1">DSUM($B$25:$Y$30,M$25,$C$37:$D43)</f>
        <v>6.8740220860332251</v>
      </c>
      <c r="N43" s="296">
        <f ca="1">DSUM($B$25:$Y$30,N$25,$C$37:$D43)</f>
        <v>7.3479516379593859</v>
      </c>
      <c r="O43" s="296">
        <f ca="1">DSUM($B$25:$Y$30,O$25,$C$37:$D43)</f>
        <v>7.833277626210239</v>
      </c>
      <c r="P43" s="296">
        <f ca="1">DSUM($B$25:$Y$30,P$25,$C$37:$D43)</f>
        <v>8.3339783609100113</v>
      </c>
      <c r="Q43" s="296">
        <f ca="1">DSUM($B$25:$Y$30,Q$25,$C$37:$D43)</f>
        <v>8.42844084938314</v>
      </c>
      <c r="R43" s="296">
        <f ca="1">DSUM($B$25:$Y$30,R$25,$C$37:$D43)</f>
        <v>8.5230118322917274</v>
      </c>
      <c r="S43" s="296">
        <f ca="1">DSUM($B$25:$Y$30,S$25,$C$37:$D43)</f>
        <v>8.6231051819651867</v>
      </c>
      <c r="T43" s="296">
        <f ca="1">DSUM($B$25:$Y$30,T$25,$C$37:$D43)</f>
        <v>8.7101864323459086</v>
      </c>
      <c r="U43" s="296">
        <f ca="1">DSUM($B$25:$Y$30,U$25,$C$37:$D43)</f>
        <v>8.8094986220840639</v>
      </c>
      <c r="V43" s="296">
        <f ca="1">DSUM($B$25:$Y$30,V$25,$C$37:$D43)</f>
        <v>8.9097293980424368</v>
      </c>
      <c r="W43" s="296">
        <f ca="1">DSUM($B$25:$Y$30,W$25,$C$37:$D43)</f>
        <v>9.0117973464412522</v>
      </c>
      <c r="X43" s="296">
        <f ca="1">DSUM($B$25:$Y$30,X$25,$C$37:$D43)</f>
        <v>9.1161219790976205</v>
      </c>
      <c r="Y43" s="296">
        <f ca="1">DSUM($B$25:$Y$30,Y$25,$C$37:$D43)</f>
        <v>132.78601847523919</v>
      </c>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row>
    <row r="44" spans="1:79">
      <c r="B44" s="251" t="s">
        <v>566</v>
      </c>
      <c r="C44" s="303" t="s">
        <v>567</v>
      </c>
      <c r="D44" s="303" t="s">
        <v>568</v>
      </c>
      <c r="E44" s="296">
        <f ca="1">DSUM($B$25:$Y$30,E$25,$C$37:$D44)</f>
        <v>1.7927081959368203</v>
      </c>
      <c r="F44" s="296">
        <f ca="1">DSUM($B$25:$Y$30,F$25,$C$37:$D44)</f>
        <v>2.8851960045146297</v>
      </c>
      <c r="G44" s="296">
        <f ca="1">DSUM($B$25:$Y$30,G$25,$C$37:$D44)</f>
        <v>4.0072847343311402</v>
      </c>
      <c r="H44" s="296">
        <f ca="1">DSUM($B$25:$Y$30,H$25,$C$37:$D44)</f>
        <v>5.5005763943360906</v>
      </c>
      <c r="I44" s="296">
        <f ca="1">DSUM($B$25:$Y$30,I$25,$C$37:$D44)</f>
        <v>6.4555160388578336</v>
      </c>
      <c r="J44" s="296">
        <f ca="1">DSUM($B$25:$Y$30,J$25,$C$37:$D44)</f>
        <v>7.4281456904877565</v>
      </c>
      <c r="K44" s="296">
        <f ca="1">DSUM($B$25:$Y$30,K$25,$C$37:$D44)</f>
        <v>8.4191442616325496</v>
      </c>
      <c r="L44" s="296">
        <f ca="1">DSUM($B$25:$Y$30,L$25,$C$37:$D44)</f>
        <v>9.0528079221083395</v>
      </c>
      <c r="M44" s="296">
        <f ca="1">DSUM($B$25:$Y$30,M$25,$C$37:$D44)</f>
        <v>9.702570739680688</v>
      </c>
      <c r="N44" s="296">
        <f ca="1">DSUM($B$25:$Y$30,N$25,$C$37:$D44)</f>
        <v>10.371514619353658</v>
      </c>
      <c r="O44" s="296">
        <f ca="1">DSUM($B$25:$Y$30,O$25,$C$37:$D44)</f>
        <v>11.056544384151328</v>
      </c>
      <c r="P44" s="296">
        <f ca="1">DSUM($B$25:$Y$30,P$25,$C$37:$D44)</f>
        <v>11.763275354321671</v>
      </c>
      <c r="Q44" s="296">
        <f ca="1">DSUM($B$25:$Y$30,Q$25,$C$37:$D44)</f>
        <v>11.896607625470324</v>
      </c>
      <c r="R44" s="296">
        <f ca="1">DSUM($B$25:$Y$30,R$25,$C$37:$D44)</f>
        <v>12.030093034755822</v>
      </c>
      <c r="S44" s="296">
        <f ca="1">DSUM($B$25:$Y$30,S$25,$C$37:$D44)</f>
        <v>12.171373175206863</v>
      </c>
      <c r="T44" s="296">
        <f ca="1">DSUM($B$25:$Y$30,T$25,$C$37:$D44)</f>
        <v>12.294286948445315</v>
      </c>
      <c r="U44" s="296">
        <f ca="1">DSUM($B$25:$Y$30,U$25,$C$37:$D44)</f>
        <v>12.434464494311058</v>
      </c>
      <c r="V44" s="296">
        <f ca="1">DSUM($B$25:$Y$30,V$25,$C$37:$D44)</f>
        <v>12.575938609735436</v>
      </c>
      <c r="W44" s="296">
        <f ca="1">DSUM($B$25:$Y$30,W$25,$C$37:$D44)</f>
        <v>12.720005864277104</v>
      </c>
      <c r="X44" s="296">
        <f ca="1">DSUM($B$25:$Y$30,X$25,$C$37:$D44)</f>
        <v>12.867258392065203</v>
      </c>
      <c r="Y44" s="296">
        <f ca="1">DSUM($B$25:$Y$30,Y$25,$C$37:$D44)</f>
        <v>187.42531248397964</v>
      </c>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row>
    <row r="45" spans="1:79">
      <c r="B45" s="251" t="s">
        <v>569</v>
      </c>
      <c r="C45" s="303" t="s">
        <v>570</v>
      </c>
      <c r="D45" s="303" t="s">
        <v>571</v>
      </c>
      <c r="E45" s="296">
        <f ca="1">DSUM($B$25:$Y$30,E$25,$C$37:$D45)</f>
        <v>1.7927081959368203</v>
      </c>
      <c r="F45" s="296">
        <f ca="1">DSUM($B$25:$Y$30,F$25,$C$37:$D45)</f>
        <v>2.8851960045146297</v>
      </c>
      <c r="G45" s="296">
        <f ca="1">DSUM($B$25:$Y$30,G$25,$C$37:$D45)</f>
        <v>4.0072847343311402</v>
      </c>
      <c r="H45" s="296">
        <f ca="1">DSUM($B$25:$Y$30,H$25,$C$37:$D45)</f>
        <v>5.5005763943360906</v>
      </c>
      <c r="I45" s="296">
        <f ca="1">DSUM($B$25:$Y$30,I$25,$C$37:$D45)</f>
        <v>6.4555160388578336</v>
      </c>
      <c r="J45" s="296">
        <f ca="1">DSUM($B$25:$Y$30,J$25,$C$37:$D45)</f>
        <v>7.4281456904877565</v>
      </c>
      <c r="K45" s="296">
        <f ca="1">DSUM($B$25:$Y$30,K$25,$C$37:$D45)</f>
        <v>8.4191442616325496</v>
      </c>
      <c r="L45" s="296">
        <f ca="1">DSUM($B$25:$Y$30,L$25,$C$37:$D45)</f>
        <v>9.0528079221083395</v>
      </c>
      <c r="M45" s="296">
        <f ca="1">DSUM($B$25:$Y$30,M$25,$C$37:$D45)</f>
        <v>9.702570739680688</v>
      </c>
      <c r="N45" s="296">
        <f ca="1">DSUM($B$25:$Y$30,N$25,$C$37:$D45)</f>
        <v>10.371514619353658</v>
      </c>
      <c r="O45" s="296">
        <f ca="1">DSUM($B$25:$Y$30,O$25,$C$37:$D45)</f>
        <v>11.056544384151328</v>
      </c>
      <c r="P45" s="296">
        <f ca="1">DSUM($B$25:$Y$30,P$25,$C$37:$D45)</f>
        <v>11.763275354321671</v>
      </c>
      <c r="Q45" s="296">
        <f ca="1">DSUM($B$25:$Y$30,Q$25,$C$37:$D45)</f>
        <v>11.896607625470324</v>
      </c>
      <c r="R45" s="296">
        <f ca="1">DSUM($B$25:$Y$30,R$25,$C$37:$D45)</f>
        <v>12.030093034755822</v>
      </c>
      <c r="S45" s="296">
        <f ca="1">DSUM($B$25:$Y$30,S$25,$C$37:$D45)</f>
        <v>12.171373175206863</v>
      </c>
      <c r="T45" s="296">
        <f ca="1">DSUM($B$25:$Y$30,T$25,$C$37:$D45)</f>
        <v>12.294286948445315</v>
      </c>
      <c r="U45" s="296">
        <f ca="1">DSUM($B$25:$Y$30,U$25,$C$37:$D45)</f>
        <v>12.434464494311058</v>
      </c>
      <c r="V45" s="296">
        <f ca="1">DSUM($B$25:$Y$30,V$25,$C$37:$D45)</f>
        <v>12.575938609735436</v>
      </c>
      <c r="W45" s="296">
        <f ca="1">DSUM($B$25:$Y$30,W$25,$C$37:$D45)</f>
        <v>12.720005864277104</v>
      </c>
      <c r="X45" s="296">
        <f ca="1">DSUM($B$25:$Y$30,X$25,$C$37:$D45)</f>
        <v>12.867258392065203</v>
      </c>
      <c r="Y45" s="296">
        <f ca="1">DSUM($B$25:$Y$30,Y$25,$C$37:$D45)</f>
        <v>187.42531248397964</v>
      </c>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row>
    <row r="46" spans="1:79">
      <c r="B46" s="251" t="s">
        <v>572</v>
      </c>
      <c r="C46" s="303" t="s">
        <v>573</v>
      </c>
      <c r="D46" s="303" t="s">
        <v>574</v>
      </c>
      <c r="E46" s="296">
        <f ca="1">DSUM($B$25:$Y$30,E$25,$C$37:$D46)</f>
        <v>1.7927081959368203</v>
      </c>
      <c r="F46" s="296">
        <f ca="1">DSUM($B$25:$Y$30,F$25,$C$37:$D46)</f>
        <v>2.8851960045146297</v>
      </c>
      <c r="G46" s="296">
        <f ca="1">DSUM($B$25:$Y$30,G$25,$C$37:$D46)</f>
        <v>4.0072847343311402</v>
      </c>
      <c r="H46" s="296">
        <f ca="1">DSUM($B$25:$Y$30,H$25,$C$37:$D46)</f>
        <v>5.5005763943360906</v>
      </c>
      <c r="I46" s="296">
        <f ca="1">DSUM($B$25:$Y$30,I$25,$C$37:$D46)</f>
        <v>6.4555160388578336</v>
      </c>
      <c r="J46" s="296">
        <f ca="1">DSUM($B$25:$Y$30,J$25,$C$37:$D46)</f>
        <v>7.4281456904877565</v>
      </c>
      <c r="K46" s="296">
        <f ca="1">DSUM($B$25:$Y$30,K$25,$C$37:$D46)</f>
        <v>8.4191442616325496</v>
      </c>
      <c r="L46" s="296">
        <f ca="1">DSUM($B$25:$Y$30,L$25,$C$37:$D46)</f>
        <v>9.0528079221083395</v>
      </c>
      <c r="M46" s="296">
        <f ca="1">DSUM($B$25:$Y$30,M$25,$C$37:$D46)</f>
        <v>9.702570739680688</v>
      </c>
      <c r="N46" s="296">
        <f ca="1">DSUM($B$25:$Y$30,N$25,$C$37:$D46)</f>
        <v>10.371514619353658</v>
      </c>
      <c r="O46" s="296">
        <f ca="1">DSUM($B$25:$Y$30,O$25,$C$37:$D46)</f>
        <v>11.056544384151328</v>
      </c>
      <c r="P46" s="296">
        <f ca="1">DSUM($B$25:$Y$30,P$25,$C$37:$D46)</f>
        <v>11.763275354321671</v>
      </c>
      <c r="Q46" s="296">
        <f ca="1">DSUM($B$25:$Y$30,Q$25,$C$37:$D46)</f>
        <v>11.896607625470324</v>
      </c>
      <c r="R46" s="296">
        <f ca="1">DSUM($B$25:$Y$30,R$25,$C$37:$D46)</f>
        <v>12.030093034755822</v>
      </c>
      <c r="S46" s="296">
        <f ca="1">DSUM($B$25:$Y$30,S$25,$C$37:$D46)</f>
        <v>12.171373175206863</v>
      </c>
      <c r="T46" s="296">
        <f ca="1">DSUM($B$25:$Y$30,T$25,$C$37:$D46)</f>
        <v>12.294286948445315</v>
      </c>
      <c r="U46" s="296">
        <f ca="1">DSUM($B$25:$Y$30,U$25,$C$37:$D46)</f>
        <v>12.434464494311058</v>
      </c>
      <c r="V46" s="296">
        <f ca="1">DSUM($B$25:$Y$30,V$25,$C$37:$D46)</f>
        <v>12.575938609735436</v>
      </c>
      <c r="W46" s="296">
        <f ca="1">DSUM($B$25:$Y$30,W$25,$C$37:$D46)</f>
        <v>12.720005864277104</v>
      </c>
      <c r="X46" s="296">
        <f ca="1">DSUM($B$25:$Y$30,X$25,$C$37:$D46)</f>
        <v>12.867258392065203</v>
      </c>
      <c r="Y46" s="296">
        <f ca="1">DSUM($B$25:$Y$30,Y$25,$C$37:$D46)</f>
        <v>187.42531248397964</v>
      </c>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row>
    <row r="47" spans="1:79">
      <c r="B47" s="251" t="s">
        <v>575</v>
      </c>
      <c r="C47" s="303" t="s">
        <v>576</v>
      </c>
      <c r="D47" s="303" t="s">
        <v>577</v>
      </c>
      <c r="E47" s="296">
        <f ca="1">DSUM($B$25:$Y$30,E$25,$C$37:$D47)</f>
        <v>1.7927081959368203</v>
      </c>
      <c r="F47" s="296">
        <f ca="1">DSUM($B$25:$Y$30,F$25,$C$37:$D47)</f>
        <v>2.8851960045146297</v>
      </c>
      <c r="G47" s="296">
        <f ca="1">DSUM($B$25:$Y$30,G$25,$C$37:$D47)</f>
        <v>4.0072847343311402</v>
      </c>
      <c r="H47" s="296">
        <f ca="1">DSUM($B$25:$Y$30,H$25,$C$37:$D47)</f>
        <v>5.5005763943360906</v>
      </c>
      <c r="I47" s="296">
        <f ca="1">DSUM($B$25:$Y$30,I$25,$C$37:$D47)</f>
        <v>6.4555160388578336</v>
      </c>
      <c r="J47" s="296">
        <f ca="1">DSUM($B$25:$Y$30,J$25,$C$37:$D47)</f>
        <v>7.4281456904877565</v>
      </c>
      <c r="K47" s="296">
        <f ca="1">DSUM($B$25:$Y$30,K$25,$C$37:$D47)</f>
        <v>8.4191442616325496</v>
      </c>
      <c r="L47" s="296">
        <f ca="1">DSUM($B$25:$Y$30,L$25,$C$37:$D47)</f>
        <v>9.0528079221083395</v>
      </c>
      <c r="M47" s="296">
        <f ca="1">DSUM($B$25:$Y$30,M$25,$C$37:$D47)</f>
        <v>9.702570739680688</v>
      </c>
      <c r="N47" s="296">
        <f ca="1">DSUM($B$25:$Y$30,N$25,$C$37:$D47)</f>
        <v>10.371514619353658</v>
      </c>
      <c r="O47" s="296">
        <f ca="1">DSUM($B$25:$Y$30,O$25,$C$37:$D47)</f>
        <v>11.056544384151328</v>
      </c>
      <c r="P47" s="296">
        <f ca="1">DSUM($B$25:$Y$30,P$25,$C$37:$D47)</f>
        <v>11.763275354321671</v>
      </c>
      <c r="Q47" s="296">
        <f ca="1">DSUM($B$25:$Y$30,Q$25,$C$37:$D47)</f>
        <v>11.896607625470324</v>
      </c>
      <c r="R47" s="296">
        <f ca="1">DSUM($B$25:$Y$30,R$25,$C$37:$D47)</f>
        <v>12.030093034755822</v>
      </c>
      <c r="S47" s="296">
        <f ca="1">DSUM($B$25:$Y$30,S$25,$C$37:$D47)</f>
        <v>12.171373175206863</v>
      </c>
      <c r="T47" s="296">
        <f ca="1">DSUM($B$25:$Y$30,T$25,$C$37:$D47)</f>
        <v>12.294286948445315</v>
      </c>
      <c r="U47" s="296">
        <f ca="1">DSUM($B$25:$Y$30,U$25,$C$37:$D47)</f>
        <v>12.434464494311058</v>
      </c>
      <c r="V47" s="296">
        <f ca="1">DSUM($B$25:$Y$30,V$25,$C$37:$D47)</f>
        <v>12.575938609735436</v>
      </c>
      <c r="W47" s="296">
        <f ca="1">DSUM($B$25:$Y$30,W$25,$C$37:$D47)</f>
        <v>12.720005864277104</v>
      </c>
      <c r="X47" s="296">
        <f ca="1">DSUM($B$25:$Y$30,X$25,$C$37:$D47)</f>
        <v>12.867258392065203</v>
      </c>
      <c r="Y47" s="296">
        <f ca="1">DSUM($B$25:$Y$30,Y$25,$C$37:$D47)</f>
        <v>187.42531248397964</v>
      </c>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row>
    <row r="48" spans="1:79">
      <c r="B48" s="251" t="s">
        <v>578</v>
      </c>
      <c r="C48" s="303" t="s">
        <v>579</v>
      </c>
      <c r="D48" s="303" t="s">
        <v>580</v>
      </c>
      <c r="E48" s="296">
        <f ca="1">DSUM($B$25:$Y$30,E$25,$C$37:$D48)</f>
        <v>2.0605505005514519</v>
      </c>
      <c r="F48" s="296">
        <f ca="1">DSUM($B$25:$Y$30,F$25,$C$37:$D48)</f>
        <v>3.3162631178717445</v>
      </c>
      <c r="G48" s="296">
        <f ca="1">DSUM($B$25:$Y$30,G$25,$C$37:$D48)</f>
        <v>4.6059992272547348</v>
      </c>
      <c r="H48" s="296">
        <f ca="1">DSUM($B$25:$Y$30,H$25,$C$37:$D48)</f>
        <v>6.3223984072587909</v>
      </c>
      <c r="I48" s="296">
        <f ca="1">DSUM($B$25:$Y$30,I$25,$C$37:$D48)</f>
        <v>7.4200122671025213</v>
      </c>
      <c r="J48" s="296">
        <f ca="1">DSUM($B$25:$Y$30,J$25,$C$37:$D48)</f>
        <v>8.537959136570537</v>
      </c>
      <c r="K48" s="296">
        <f ca="1">DSUM($B$25:$Y$30,K$25,$C$37:$D48)</f>
        <v>9.6770193620140219</v>
      </c>
      <c r="L48" s="296">
        <f ca="1">DSUM($B$25:$Y$30,L$25,$C$37:$D48)</f>
        <v>10.405356508981955</v>
      </c>
      <c r="M48" s="296">
        <f ca="1">DSUM($B$25:$Y$30,M$25,$C$37:$D48)</f>
        <v>11.152198132188104</v>
      </c>
      <c r="N48" s="296">
        <f ca="1">DSUM($B$25:$Y$30,N$25,$C$37:$D48)</f>
        <v>11.92108659335825</v>
      </c>
      <c r="O48" s="296">
        <f ca="1">DSUM($B$25:$Y$30,O$25,$C$37:$D48)</f>
        <v>12.708464275875539</v>
      </c>
      <c r="P48" s="296">
        <f ca="1">DSUM($B$25:$Y$30,P$25,$C$37:$D48)</f>
        <v>13.520785465481477</v>
      </c>
      <c r="Q48" s="296">
        <f ca="1">DSUM($B$25:$Y$30,Q$25,$C$37:$D48)</f>
        <v>13.674038448135159</v>
      </c>
      <c r="R48" s="296">
        <f ca="1">DSUM($B$25:$Y$30,R$25,$C$37:$D48)</f>
        <v>13.827467448762789</v>
      </c>
      <c r="S48" s="296">
        <f ca="1">DSUM($B$25:$Y$30,S$25,$C$37:$D48)</f>
        <v>13.989855764264545</v>
      </c>
      <c r="T48" s="296">
        <f ca="1">DSUM($B$25:$Y$30,T$25,$C$37:$D48)</f>
        <v>14.131133657423732</v>
      </c>
      <c r="U48" s="296">
        <f ca="1">DSUM($B$25:$Y$30,U$25,$C$37:$D48)</f>
        <v>14.292254643513042</v>
      </c>
      <c r="V48" s="296">
        <f ca="1">DSUM($B$25:$Y$30,V$25,$C$37:$D48)</f>
        <v>14.454865915115134</v>
      </c>
      <c r="W48" s="296">
        <f ca="1">DSUM($B$25:$Y$30,W$25,$C$37:$D48)</f>
        <v>14.620457757742805</v>
      </c>
      <c r="X48" s="296">
        <f ca="1">DSUM($B$25:$Y$30,X$25,$C$37:$D48)</f>
        <v>14.789710774228666</v>
      </c>
      <c r="Y48" s="296">
        <f ca="1">DSUM($B$25:$Y$30,Y$25,$C$37:$D48)</f>
        <v>215.42787740369499</v>
      </c>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row>
    <row r="49" spans="2:79">
      <c r="B49" s="251" t="s">
        <v>581</v>
      </c>
      <c r="C49" s="303" t="s">
        <v>582</v>
      </c>
      <c r="D49" s="303" t="s">
        <v>583</v>
      </c>
      <c r="E49" s="296">
        <f ca="1">DSUM($B$25:$Y$30,E$25,$C$37:$D49)</f>
        <v>2.0605505005514519</v>
      </c>
      <c r="F49" s="296">
        <f ca="1">DSUM($B$25:$Y$30,F$25,$C$37:$D49)</f>
        <v>3.3162631178717445</v>
      </c>
      <c r="G49" s="296">
        <f ca="1">DSUM($B$25:$Y$30,G$25,$C$37:$D49)</f>
        <v>4.6059992272547348</v>
      </c>
      <c r="H49" s="296">
        <f ca="1">DSUM($B$25:$Y$30,H$25,$C$37:$D49)</f>
        <v>6.3223984072587909</v>
      </c>
      <c r="I49" s="296">
        <f ca="1">DSUM($B$25:$Y$30,I$25,$C$37:$D49)</f>
        <v>7.4200122671025213</v>
      </c>
      <c r="J49" s="296">
        <f ca="1">DSUM($B$25:$Y$30,J$25,$C$37:$D49)</f>
        <v>8.537959136570537</v>
      </c>
      <c r="K49" s="296">
        <f ca="1">DSUM($B$25:$Y$30,K$25,$C$37:$D49)</f>
        <v>9.6770193620140219</v>
      </c>
      <c r="L49" s="296">
        <f ca="1">DSUM($B$25:$Y$30,L$25,$C$37:$D49)</f>
        <v>10.405356508981955</v>
      </c>
      <c r="M49" s="296">
        <f ca="1">DSUM($B$25:$Y$30,M$25,$C$37:$D49)</f>
        <v>11.152198132188104</v>
      </c>
      <c r="N49" s="296">
        <f ca="1">DSUM($B$25:$Y$30,N$25,$C$37:$D49)</f>
        <v>11.92108659335825</v>
      </c>
      <c r="O49" s="296">
        <f ca="1">DSUM($B$25:$Y$30,O$25,$C$37:$D49)</f>
        <v>12.708464275875539</v>
      </c>
      <c r="P49" s="296">
        <f ca="1">DSUM($B$25:$Y$30,P$25,$C$37:$D49)</f>
        <v>13.520785465481477</v>
      </c>
      <c r="Q49" s="296">
        <f ca="1">DSUM($B$25:$Y$30,Q$25,$C$37:$D49)</f>
        <v>13.674038448135159</v>
      </c>
      <c r="R49" s="296">
        <f ca="1">DSUM($B$25:$Y$30,R$25,$C$37:$D49)</f>
        <v>13.827467448762789</v>
      </c>
      <c r="S49" s="296">
        <f ca="1">DSUM($B$25:$Y$30,S$25,$C$37:$D49)</f>
        <v>13.989855764264545</v>
      </c>
      <c r="T49" s="296">
        <f ca="1">DSUM($B$25:$Y$30,T$25,$C$37:$D49)</f>
        <v>14.131133657423732</v>
      </c>
      <c r="U49" s="296">
        <f ca="1">DSUM($B$25:$Y$30,U$25,$C$37:$D49)</f>
        <v>14.292254643513042</v>
      </c>
      <c r="V49" s="296">
        <f ca="1">DSUM($B$25:$Y$30,V$25,$C$37:$D49)</f>
        <v>14.454865915115134</v>
      </c>
      <c r="W49" s="296">
        <f ca="1">DSUM($B$25:$Y$30,W$25,$C$37:$D49)</f>
        <v>14.620457757742805</v>
      </c>
      <c r="X49" s="296">
        <f ca="1">DSUM($B$25:$Y$30,X$25,$C$37:$D49)</f>
        <v>14.789710774228666</v>
      </c>
      <c r="Y49" s="296">
        <f ca="1">DSUM($B$25:$Y$30,Y$25,$C$37:$D49)</f>
        <v>215.42787740369499</v>
      </c>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row>
    <row r="50" spans="2:79">
      <c r="B50" s="251" t="s">
        <v>584</v>
      </c>
      <c r="C50" s="303" t="s">
        <v>585</v>
      </c>
      <c r="D50" s="303" t="s">
        <v>586</v>
      </c>
      <c r="E50" s="296">
        <f ca="1">DSUM($B$25:$Y$30,E$25,$C$37:$D50)</f>
        <v>2.0605505005514519</v>
      </c>
      <c r="F50" s="296">
        <f ca="1">DSUM($B$25:$Y$30,F$25,$C$37:$D50)</f>
        <v>3.3162631178717445</v>
      </c>
      <c r="G50" s="296">
        <f ca="1">DSUM($B$25:$Y$30,G$25,$C$37:$D50)</f>
        <v>4.6059992272547348</v>
      </c>
      <c r="H50" s="296">
        <f ca="1">DSUM($B$25:$Y$30,H$25,$C$37:$D50)</f>
        <v>6.3223984072587909</v>
      </c>
      <c r="I50" s="296">
        <f ca="1">DSUM($B$25:$Y$30,I$25,$C$37:$D50)</f>
        <v>7.4200122671025213</v>
      </c>
      <c r="J50" s="296">
        <f ca="1">DSUM($B$25:$Y$30,J$25,$C$37:$D50)</f>
        <v>8.537959136570537</v>
      </c>
      <c r="K50" s="296">
        <f ca="1">DSUM($B$25:$Y$30,K$25,$C$37:$D50)</f>
        <v>9.6770193620140219</v>
      </c>
      <c r="L50" s="296">
        <f ca="1">DSUM($B$25:$Y$30,L$25,$C$37:$D50)</f>
        <v>10.405356508981955</v>
      </c>
      <c r="M50" s="296">
        <f ca="1">DSUM($B$25:$Y$30,M$25,$C$37:$D50)</f>
        <v>11.152198132188104</v>
      </c>
      <c r="N50" s="296">
        <f ca="1">DSUM($B$25:$Y$30,N$25,$C$37:$D50)</f>
        <v>11.92108659335825</v>
      </c>
      <c r="O50" s="296">
        <f ca="1">DSUM($B$25:$Y$30,O$25,$C$37:$D50)</f>
        <v>12.708464275875539</v>
      </c>
      <c r="P50" s="296">
        <f ca="1">DSUM($B$25:$Y$30,P$25,$C$37:$D50)</f>
        <v>13.520785465481477</v>
      </c>
      <c r="Q50" s="296">
        <f ca="1">DSUM($B$25:$Y$30,Q$25,$C$37:$D50)</f>
        <v>13.674038448135159</v>
      </c>
      <c r="R50" s="296">
        <f ca="1">DSUM($B$25:$Y$30,R$25,$C$37:$D50)</f>
        <v>13.827467448762789</v>
      </c>
      <c r="S50" s="296">
        <f ca="1">DSUM($B$25:$Y$30,S$25,$C$37:$D50)</f>
        <v>13.989855764264545</v>
      </c>
      <c r="T50" s="296">
        <f ca="1">DSUM($B$25:$Y$30,T$25,$C$37:$D50)</f>
        <v>14.131133657423732</v>
      </c>
      <c r="U50" s="296">
        <f ca="1">DSUM($B$25:$Y$30,U$25,$C$37:$D50)</f>
        <v>14.292254643513042</v>
      </c>
      <c r="V50" s="296">
        <f ca="1">DSUM($B$25:$Y$30,V$25,$C$37:$D50)</f>
        <v>14.454865915115134</v>
      </c>
      <c r="W50" s="296">
        <f ca="1">DSUM($B$25:$Y$30,W$25,$C$37:$D50)</f>
        <v>14.620457757742805</v>
      </c>
      <c r="X50" s="296">
        <f ca="1">DSUM($B$25:$Y$30,X$25,$C$37:$D50)</f>
        <v>14.789710774228666</v>
      </c>
      <c r="Y50" s="296">
        <f ca="1">DSUM($B$25:$Y$30,Y$25,$C$37:$D50)</f>
        <v>215.42787740369499</v>
      </c>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row>
    <row r="51" spans="2:79">
      <c r="B51" s="251" t="s">
        <v>587</v>
      </c>
      <c r="C51" s="303" t="s">
        <v>588</v>
      </c>
      <c r="D51" s="303" t="s">
        <v>589</v>
      </c>
      <c r="E51" s="296">
        <f ca="1">DSUM($B$25:$Y$30,E$25,$C$37:$D51)</f>
        <v>2.0605505005514519</v>
      </c>
      <c r="F51" s="296">
        <f ca="1">DSUM($B$25:$Y$30,F$25,$C$37:$D51)</f>
        <v>3.3162631178717445</v>
      </c>
      <c r="G51" s="296">
        <f ca="1">DSUM($B$25:$Y$30,G$25,$C$37:$D51)</f>
        <v>4.6059992272547348</v>
      </c>
      <c r="H51" s="296">
        <f ca="1">DSUM($B$25:$Y$30,H$25,$C$37:$D51)</f>
        <v>6.3223984072587909</v>
      </c>
      <c r="I51" s="296">
        <f ca="1">DSUM($B$25:$Y$30,I$25,$C$37:$D51)</f>
        <v>7.4200122671025213</v>
      </c>
      <c r="J51" s="296">
        <f ca="1">DSUM($B$25:$Y$30,J$25,$C$37:$D51)</f>
        <v>8.537959136570537</v>
      </c>
      <c r="K51" s="296">
        <f ca="1">DSUM($B$25:$Y$30,K$25,$C$37:$D51)</f>
        <v>9.6770193620140219</v>
      </c>
      <c r="L51" s="296">
        <f ca="1">DSUM($B$25:$Y$30,L$25,$C$37:$D51)</f>
        <v>10.405356508981955</v>
      </c>
      <c r="M51" s="296">
        <f ca="1">DSUM($B$25:$Y$30,M$25,$C$37:$D51)</f>
        <v>11.152198132188104</v>
      </c>
      <c r="N51" s="296">
        <f ca="1">DSUM($B$25:$Y$30,N$25,$C$37:$D51)</f>
        <v>11.92108659335825</v>
      </c>
      <c r="O51" s="296">
        <f ca="1">DSUM($B$25:$Y$30,O$25,$C$37:$D51)</f>
        <v>12.708464275875539</v>
      </c>
      <c r="P51" s="296">
        <f ca="1">DSUM($B$25:$Y$30,P$25,$C$37:$D51)</f>
        <v>13.520785465481477</v>
      </c>
      <c r="Q51" s="296">
        <f ca="1">DSUM($B$25:$Y$30,Q$25,$C$37:$D51)</f>
        <v>13.674038448135159</v>
      </c>
      <c r="R51" s="296">
        <f ca="1">DSUM($B$25:$Y$30,R$25,$C$37:$D51)</f>
        <v>13.827467448762789</v>
      </c>
      <c r="S51" s="296">
        <f ca="1">DSUM($B$25:$Y$30,S$25,$C$37:$D51)</f>
        <v>13.989855764264545</v>
      </c>
      <c r="T51" s="296">
        <f ca="1">DSUM($B$25:$Y$30,T$25,$C$37:$D51)</f>
        <v>14.131133657423732</v>
      </c>
      <c r="U51" s="296">
        <f ca="1">DSUM($B$25:$Y$30,U$25,$C$37:$D51)</f>
        <v>14.292254643513042</v>
      </c>
      <c r="V51" s="296">
        <f ca="1">DSUM($B$25:$Y$30,V$25,$C$37:$D51)</f>
        <v>14.454865915115134</v>
      </c>
      <c r="W51" s="296">
        <f ca="1">DSUM($B$25:$Y$30,W$25,$C$37:$D51)</f>
        <v>14.620457757742805</v>
      </c>
      <c r="X51" s="296">
        <f ca="1">DSUM($B$25:$Y$30,X$25,$C$37:$D51)</f>
        <v>14.789710774228666</v>
      </c>
      <c r="Y51" s="296">
        <f ca="1">DSUM($B$25:$Y$30,Y$25,$C$37:$D51)</f>
        <v>215.42787740369499</v>
      </c>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row>
    <row r="52" spans="2:79">
      <c r="B52" s="251" t="s">
        <v>590</v>
      </c>
      <c r="C52" s="303" t="s">
        <v>591</v>
      </c>
      <c r="D52" s="303" t="s">
        <v>592</v>
      </c>
      <c r="E52" s="296">
        <f ca="1">DSUM($B$25:$Y$30,E$25,$C$37:$D52)</f>
        <v>2.0605505005514519</v>
      </c>
      <c r="F52" s="296">
        <f ca="1">DSUM($B$25:$Y$30,F$25,$C$37:$D52)</f>
        <v>3.3162631178717445</v>
      </c>
      <c r="G52" s="296">
        <f ca="1">DSUM($B$25:$Y$30,G$25,$C$37:$D52)</f>
        <v>4.6059992272547348</v>
      </c>
      <c r="H52" s="296">
        <f ca="1">DSUM($B$25:$Y$30,H$25,$C$37:$D52)</f>
        <v>6.3223984072587909</v>
      </c>
      <c r="I52" s="296">
        <f ca="1">DSUM($B$25:$Y$30,I$25,$C$37:$D52)</f>
        <v>7.4200122671025213</v>
      </c>
      <c r="J52" s="296">
        <f ca="1">DSUM($B$25:$Y$30,J$25,$C$37:$D52)</f>
        <v>8.537959136570537</v>
      </c>
      <c r="K52" s="296">
        <f ca="1">DSUM($B$25:$Y$30,K$25,$C$37:$D52)</f>
        <v>9.6770193620140219</v>
      </c>
      <c r="L52" s="296">
        <f ca="1">DSUM($B$25:$Y$30,L$25,$C$37:$D52)</f>
        <v>10.405356508981955</v>
      </c>
      <c r="M52" s="296">
        <f ca="1">DSUM($B$25:$Y$30,M$25,$C$37:$D52)</f>
        <v>11.152198132188104</v>
      </c>
      <c r="N52" s="296">
        <f ca="1">DSUM($B$25:$Y$30,N$25,$C$37:$D52)</f>
        <v>11.92108659335825</v>
      </c>
      <c r="O52" s="296">
        <f ca="1">DSUM($B$25:$Y$30,O$25,$C$37:$D52)</f>
        <v>12.708464275875539</v>
      </c>
      <c r="P52" s="296">
        <f ca="1">DSUM($B$25:$Y$30,P$25,$C$37:$D52)</f>
        <v>13.520785465481477</v>
      </c>
      <c r="Q52" s="296">
        <f ca="1">DSUM($B$25:$Y$30,Q$25,$C$37:$D52)</f>
        <v>13.674038448135159</v>
      </c>
      <c r="R52" s="296">
        <f ca="1">DSUM($B$25:$Y$30,R$25,$C$37:$D52)</f>
        <v>13.827467448762789</v>
      </c>
      <c r="S52" s="296">
        <f ca="1">DSUM($B$25:$Y$30,S$25,$C$37:$D52)</f>
        <v>13.989855764264545</v>
      </c>
      <c r="T52" s="296">
        <f ca="1">DSUM($B$25:$Y$30,T$25,$C$37:$D52)</f>
        <v>14.131133657423732</v>
      </c>
      <c r="U52" s="296">
        <f ca="1">DSUM($B$25:$Y$30,U$25,$C$37:$D52)</f>
        <v>14.292254643513042</v>
      </c>
      <c r="V52" s="296">
        <f ca="1">DSUM($B$25:$Y$30,V$25,$C$37:$D52)</f>
        <v>14.454865915115134</v>
      </c>
      <c r="W52" s="296">
        <f ca="1">DSUM($B$25:$Y$30,W$25,$C$37:$D52)</f>
        <v>14.620457757742805</v>
      </c>
      <c r="X52" s="296">
        <f ca="1">DSUM($B$25:$Y$30,X$25,$C$37:$D52)</f>
        <v>14.789710774228666</v>
      </c>
      <c r="Y52" s="296">
        <f ca="1">DSUM($B$25:$Y$30,Y$25,$C$37:$D52)</f>
        <v>215.42787740369499</v>
      </c>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row>
    <row r="53" spans="2:79">
      <c r="B53" s="251" t="s">
        <v>593</v>
      </c>
      <c r="C53" s="303" t="s">
        <v>594</v>
      </c>
      <c r="D53" s="303" t="s">
        <v>595</v>
      </c>
      <c r="E53" s="296">
        <f ca="1">DSUM($B$25:$Y$30,E$25,$C$37:$D53)</f>
        <v>2.0605505005514519</v>
      </c>
      <c r="F53" s="296">
        <f ca="1">DSUM($B$25:$Y$30,F$25,$C$37:$D53)</f>
        <v>3.3162631178717445</v>
      </c>
      <c r="G53" s="296">
        <f ca="1">DSUM($B$25:$Y$30,G$25,$C$37:$D53)</f>
        <v>4.6059992272547348</v>
      </c>
      <c r="H53" s="296">
        <f ca="1">DSUM($B$25:$Y$30,H$25,$C$37:$D53)</f>
        <v>6.3223984072587909</v>
      </c>
      <c r="I53" s="296">
        <f ca="1">DSUM($B$25:$Y$30,I$25,$C$37:$D53)</f>
        <v>7.4200122671025213</v>
      </c>
      <c r="J53" s="296">
        <f ca="1">DSUM($B$25:$Y$30,J$25,$C$37:$D53)</f>
        <v>8.537959136570537</v>
      </c>
      <c r="K53" s="296">
        <f ca="1">DSUM($B$25:$Y$30,K$25,$C$37:$D53)</f>
        <v>9.6770193620140219</v>
      </c>
      <c r="L53" s="296">
        <f ca="1">DSUM($B$25:$Y$30,L$25,$C$37:$D53)</f>
        <v>10.405356508981955</v>
      </c>
      <c r="M53" s="296">
        <f ca="1">DSUM($B$25:$Y$30,M$25,$C$37:$D53)</f>
        <v>11.152198132188104</v>
      </c>
      <c r="N53" s="296">
        <f ca="1">DSUM($B$25:$Y$30,N$25,$C$37:$D53)</f>
        <v>11.92108659335825</v>
      </c>
      <c r="O53" s="296">
        <f ca="1">DSUM($B$25:$Y$30,O$25,$C$37:$D53)</f>
        <v>12.708464275875539</v>
      </c>
      <c r="P53" s="296">
        <f ca="1">DSUM($B$25:$Y$30,P$25,$C$37:$D53)</f>
        <v>13.520785465481477</v>
      </c>
      <c r="Q53" s="296">
        <f ca="1">DSUM($B$25:$Y$30,Q$25,$C$37:$D53)</f>
        <v>13.674038448135159</v>
      </c>
      <c r="R53" s="296">
        <f ca="1">DSUM($B$25:$Y$30,R$25,$C$37:$D53)</f>
        <v>13.827467448762789</v>
      </c>
      <c r="S53" s="296">
        <f ca="1">DSUM($B$25:$Y$30,S$25,$C$37:$D53)</f>
        <v>13.989855764264545</v>
      </c>
      <c r="T53" s="296">
        <f ca="1">DSUM($B$25:$Y$30,T$25,$C$37:$D53)</f>
        <v>14.131133657423732</v>
      </c>
      <c r="U53" s="296">
        <f ca="1">DSUM($B$25:$Y$30,U$25,$C$37:$D53)</f>
        <v>14.292254643513042</v>
      </c>
      <c r="V53" s="296">
        <f ca="1">DSUM($B$25:$Y$30,V$25,$C$37:$D53)</f>
        <v>14.454865915115134</v>
      </c>
      <c r="W53" s="296">
        <f ca="1">DSUM($B$25:$Y$30,W$25,$C$37:$D53)</f>
        <v>14.620457757742805</v>
      </c>
      <c r="X53" s="296">
        <f ca="1">DSUM($B$25:$Y$30,X$25,$C$37:$D53)</f>
        <v>14.789710774228666</v>
      </c>
      <c r="Y53" s="296">
        <f ca="1">DSUM($B$25:$Y$30,Y$25,$C$37:$D53)</f>
        <v>215.42787740369499</v>
      </c>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row>
    <row r="54" spans="2:79">
      <c r="B54" s="251" t="s">
        <v>596</v>
      </c>
      <c r="C54" s="303" t="s">
        <v>597</v>
      </c>
      <c r="D54" s="303" t="s">
        <v>598</v>
      </c>
      <c r="E54" s="296">
        <f ca="1">DSUM($B$25:$Y$30,E$25,$C$37:$D54)</f>
        <v>2.0605505005514519</v>
      </c>
      <c r="F54" s="296">
        <f ca="1">DSUM($B$25:$Y$30,F$25,$C$37:$D54)</f>
        <v>3.3162631178717445</v>
      </c>
      <c r="G54" s="296">
        <f ca="1">DSUM($B$25:$Y$30,G$25,$C$37:$D54)</f>
        <v>4.6059992272547348</v>
      </c>
      <c r="H54" s="296">
        <f ca="1">DSUM($B$25:$Y$30,H$25,$C$37:$D54)</f>
        <v>6.3223984072587909</v>
      </c>
      <c r="I54" s="296">
        <f ca="1">DSUM($B$25:$Y$30,I$25,$C$37:$D54)</f>
        <v>7.4200122671025213</v>
      </c>
      <c r="J54" s="296">
        <f ca="1">DSUM($B$25:$Y$30,J$25,$C$37:$D54)</f>
        <v>8.537959136570537</v>
      </c>
      <c r="K54" s="296">
        <f ca="1">DSUM($B$25:$Y$30,K$25,$C$37:$D54)</f>
        <v>9.6770193620140219</v>
      </c>
      <c r="L54" s="296">
        <f ca="1">DSUM($B$25:$Y$30,L$25,$C$37:$D54)</f>
        <v>10.405356508981955</v>
      </c>
      <c r="M54" s="296">
        <f ca="1">DSUM($B$25:$Y$30,M$25,$C$37:$D54)</f>
        <v>11.152198132188104</v>
      </c>
      <c r="N54" s="296">
        <f ca="1">DSUM($B$25:$Y$30,N$25,$C$37:$D54)</f>
        <v>11.92108659335825</v>
      </c>
      <c r="O54" s="296">
        <f ca="1">DSUM($B$25:$Y$30,O$25,$C$37:$D54)</f>
        <v>12.708464275875539</v>
      </c>
      <c r="P54" s="296">
        <f ca="1">DSUM($B$25:$Y$30,P$25,$C$37:$D54)</f>
        <v>13.520785465481477</v>
      </c>
      <c r="Q54" s="296">
        <f ca="1">DSUM($B$25:$Y$30,Q$25,$C$37:$D54)</f>
        <v>13.674038448135159</v>
      </c>
      <c r="R54" s="296">
        <f ca="1">DSUM($B$25:$Y$30,R$25,$C$37:$D54)</f>
        <v>13.827467448762789</v>
      </c>
      <c r="S54" s="296">
        <f ca="1">DSUM($B$25:$Y$30,S$25,$C$37:$D54)</f>
        <v>13.989855764264545</v>
      </c>
      <c r="T54" s="296">
        <f ca="1">DSUM($B$25:$Y$30,T$25,$C$37:$D54)</f>
        <v>14.131133657423732</v>
      </c>
      <c r="U54" s="296">
        <f ca="1">DSUM($B$25:$Y$30,U$25,$C$37:$D54)</f>
        <v>14.292254643513042</v>
      </c>
      <c r="V54" s="296">
        <f ca="1">DSUM($B$25:$Y$30,V$25,$C$37:$D54)</f>
        <v>14.454865915115134</v>
      </c>
      <c r="W54" s="296">
        <f ca="1">DSUM($B$25:$Y$30,W$25,$C$37:$D54)</f>
        <v>14.620457757742805</v>
      </c>
      <c r="X54" s="296">
        <f ca="1">DSUM($B$25:$Y$30,X$25,$C$37:$D54)</f>
        <v>14.789710774228666</v>
      </c>
      <c r="Y54" s="296">
        <f ca="1">DSUM($B$25:$Y$30,Y$25,$C$37:$D54)</f>
        <v>215.42787740369499</v>
      </c>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row>
    <row r="55" spans="2:79">
      <c r="B55" s="251" t="s">
        <v>599</v>
      </c>
      <c r="C55" s="303" t="s">
        <v>600</v>
      </c>
      <c r="D55" s="303" t="s">
        <v>601</v>
      </c>
      <c r="E55" s="296">
        <f ca="1">DSUM($B$25:$Y$30,E$25,$C$37:$D55)</f>
        <v>2.0605505005514519</v>
      </c>
      <c r="F55" s="296">
        <f ca="1">DSUM($B$25:$Y$30,F$25,$C$37:$D55)</f>
        <v>3.3162631178717445</v>
      </c>
      <c r="G55" s="296">
        <f ca="1">DSUM($B$25:$Y$30,G$25,$C$37:$D55)</f>
        <v>4.6059992272547348</v>
      </c>
      <c r="H55" s="296">
        <f ca="1">DSUM($B$25:$Y$30,H$25,$C$37:$D55)</f>
        <v>6.3223984072587909</v>
      </c>
      <c r="I55" s="296">
        <f ca="1">DSUM($B$25:$Y$30,I$25,$C$37:$D55)</f>
        <v>7.4200122671025213</v>
      </c>
      <c r="J55" s="296">
        <f ca="1">DSUM($B$25:$Y$30,J$25,$C$37:$D55)</f>
        <v>8.537959136570537</v>
      </c>
      <c r="K55" s="296">
        <f ca="1">DSUM($B$25:$Y$30,K$25,$C$37:$D55)</f>
        <v>9.6770193620140219</v>
      </c>
      <c r="L55" s="296">
        <f ca="1">DSUM($B$25:$Y$30,L$25,$C$37:$D55)</f>
        <v>10.405356508981955</v>
      </c>
      <c r="M55" s="296">
        <f ca="1">DSUM($B$25:$Y$30,M$25,$C$37:$D55)</f>
        <v>11.152198132188104</v>
      </c>
      <c r="N55" s="296">
        <f ca="1">DSUM($B$25:$Y$30,N$25,$C$37:$D55)</f>
        <v>11.92108659335825</v>
      </c>
      <c r="O55" s="296">
        <f ca="1">DSUM($B$25:$Y$30,O$25,$C$37:$D55)</f>
        <v>12.708464275875539</v>
      </c>
      <c r="P55" s="296">
        <f ca="1">DSUM($B$25:$Y$30,P$25,$C$37:$D55)</f>
        <v>13.520785465481477</v>
      </c>
      <c r="Q55" s="296">
        <f ca="1">DSUM($B$25:$Y$30,Q$25,$C$37:$D55)</f>
        <v>13.674038448135159</v>
      </c>
      <c r="R55" s="296">
        <f ca="1">DSUM($B$25:$Y$30,R$25,$C$37:$D55)</f>
        <v>13.827467448762789</v>
      </c>
      <c r="S55" s="296">
        <f ca="1">DSUM($B$25:$Y$30,S$25,$C$37:$D55)</f>
        <v>13.989855764264545</v>
      </c>
      <c r="T55" s="296">
        <f ca="1">DSUM($B$25:$Y$30,T$25,$C$37:$D55)</f>
        <v>14.131133657423732</v>
      </c>
      <c r="U55" s="296">
        <f ca="1">DSUM($B$25:$Y$30,U$25,$C$37:$D55)</f>
        <v>14.292254643513042</v>
      </c>
      <c r="V55" s="296">
        <f ca="1">DSUM($B$25:$Y$30,V$25,$C$37:$D55)</f>
        <v>14.454865915115134</v>
      </c>
      <c r="W55" s="296">
        <f ca="1">DSUM($B$25:$Y$30,W$25,$C$37:$D55)</f>
        <v>14.620457757742805</v>
      </c>
      <c r="X55" s="296">
        <f ca="1">DSUM($B$25:$Y$30,X$25,$C$37:$D55)</f>
        <v>14.789710774228666</v>
      </c>
      <c r="Y55" s="296">
        <f ca="1">DSUM($B$25:$Y$30,Y$25,$C$37:$D55)</f>
        <v>215.42787740369499</v>
      </c>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row>
    <row r="56" spans="2:79">
      <c r="B56" s="251" t="s">
        <v>602</v>
      </c>
      <c r="C56" s="303" t="s">
        <v>603</v>
      </c>
      <c r="D56" s="303" t="s">
        <v>604</v>
      </c>
      <c r="E56" s="296">
        <f ca="1">DSUM($B$25:$Y$30,E$25,$C$37:$D56)</f>
        <v>2.0605505005514519</v>
      </c>
      <c r="F56" s="296">
        <f ca="1">DSUM($B$25:$Y$30,F$25,$C$37:$D56)</f>
        <v>3.3162631178717445</v>
      </c>
      <c r="G56" s="296">
        <f ca="1">DSUM($B$25:$Y$30,G$25,$C$37:$D56)</f>
        <v>4.6059992272547348</v>
      </c>
      <c r="H56" s="296">
        <f ca="1">DSUM($B$25:$Y$30,H$25,$C$37:$D56)</f>
        <v>6.3223984072587909</v>
      </c>
      <c r="I56" s="296">
        <f ca="1">DSUM($B$25:$Y$30,I$25,$C$37:$D56)</f>
        <v>7.4200122671025213</v>
      </c>
      <c r="J56" s="296">
        <f ca="1">DSUM($B$25:$Y$30,J$25,$C$37:$D56)</f>
        <v>8.537959136570537</v>
      </c>
      <c r="K56" s="296">
        <f ca="1">DSUM($B$25:$Y$30,K$25,$C$37:$D56)</f>
        <v>9.6770193620140219</v>
      </c>
      <c r="L56" s="296">
        <f ca="1">DSUM($B$25:$Y$30,L$25,$C$37:$D56)</f>
        <v>10.405356508981955</v>
      </c>
      <c r="M56" s="296">
        <f ca="1">DSUM($B$25:$Y$30,M$25,$C$37:$D56)</f>
        <v>11.152198132188104</v>
      </c>
      <c r="N56" s="296">
        <f ca="1">DSUM($B$25:$Y$30,N$25,$C$37:$D56)</f>
        <v>11.92108659335825</v>
      </c>
      <c r="O56" s="296">
        <f ca="1">DSUM($B$25:$Y$30,O$25,$C$37:$D56)</f>
        <v>12.708464275875539</v>
      </c>
      <c r="P56" s="296">
        <f ca="1">DSUM($B$25:$Y$30,P$25,$C$37:$D56)</f>
        <v>13.520785465481477</v>
      </c>
      <c r="Q56" s="296">
        <f ca="1">DSUM($B$25:$Y$30,Q$25,$C$37:$D56)</f>
        <v>13.674038448135159</v>
      </c>
      <c r="R56" s="296">
        <f ca="1">DSUM($B$25:$Y$30,R$25,$C$37:$D56)</f>
        <v>13.827467448762789</v>
      </c>
      <c r="S56" s="296">
        <f ca="1">DSUM($B$25:$Y$30,S$25,$C$37:$D56)</f>
        <v>13.989855764264545</v>
      </c>
      <c r="T56" s="296">
        <f ca="1">DSUM($B$25:$Y$30,T$25,$C$37:$D56)</f>
        <v>14.131133657423732</v>
      </c>
      <c r="U56" s="296">
        <f ca="1">DSUM($B$25:$Y$30,U$25,$C$37:$D56)</f>
        <v>14.292254643513042</v>
      </c>
      <c r="V56" s="296">
        <f ca="1">DSUM($B$25:$Y$30,V$25,$C$37:$D56)</f>
        <v>14.454865915115134</v>
      </c>
      <c r="W56" s="296">
        <f ca="1">DSUM($B$25:$Y$30,W$25,$C$37:$D56)</f>
        <v>14.620457757742805</v>
      </c>
      <c r="X56" s="296">
        <f ca="1">DSUM($B$25:$Y$30,X$25,$C$37:$D56)</f>
        <v>14.789710774228666</v>
      </c>
      <c r="Y56" s="296">
        <f ca="1">DSUM($B$25:$Y$30,Y$25,$C$37:$D56)</f>
        <v>215.42787740369499</v>
      </c>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row>
    <row r="57" spans="2:79">
      <c r="B57" s="251" t="s">
        <v>605</v>
      </c>
      <c r="C57" s="303" t="s">
        <v>606</v>
      </c>
      <c r="D57" s="303" t="s">
        <v>607</v>
      </c>
      <c r="E57" s="296">
        <f ca="1">DSUM($B$25:$Y$30,E$25,$C$37:$D57)</f>
        <v>2.0605505005514519</v>
      </c>
      <c r="F57" s="296">
        <f ca="1">DSUM($B$25:$Y$30,F$25,$C$37:$D57)</f>
        <v>3.3162631178717445</v>
      </c>
      <c r="G57" s="296">
        <f ca="1">DSUM($B$25:$Y$30,G$25,$C$37:$D57)</f>
        <v>4.6059992272547348</v>
      </c>
      <c r="H57" s="296">
        <f ca="1">DSUM($B$25:$Y$30,H$25,$C$37:$D57)</f>
        <v>6.3223984072587909</v>
      </c>
      <c r="I57" s="296">
        <f ca="1">DSUM($B$25:$Y$30,I$25,$C$37:$D57)</f>
        <v>7.4200122671025213</v>
      </c>
      <c r="J57" s="296">
        <f ca="1">DSUM($B$25:$Y$30,J$25,$C$37:$D57)</f>
        <v>8.537959136570537</v>
      </c>
      <c r="K57" s="296">
        <f ca="1">DSUM($B$25:$Y$30,K$25,$C$37:$D57)</f>
        <v>9.6770193620140219</v>
      </c>
      <c r="L57" s="296">
        <f ca="1">DSUM($B$25:$Y$30,L$25,$C$37:$D57)</f>
        <v>10.405356508981955</v>
      </c>
      <c r="M57" s="296">
        <f ca="1">DSUM($B$25:$Y$30,M$25,$C$37:$D57)</f>
        <v>11.152198132188104</v>
      </c>
      <c r="N57" s="296">
        <f ca="1">DSUM($B$25:$Y$30,N$25,$C$37:$D57)</f>
        <v>11.92108659335825</v>
      </c>
      <c r="O57" s="296">
        <f ca="1">DSUM($B$25:$Y$30,O$25,$C$37:$D57)</f>
        <v>12.708464275875539</v>
      </c>
      <c r="P57" s="296">
        <f ca="1">DSUM($B$25:$Y$30,P$25,$C$37:$D57)</f>
        <v>13.520785465481477</v>
      </c>
      <c r="Q57" s="296">
        <f ca="1">DSUM($B$25:$Y$30,Q$25,$C$37:$D57)</f>
        <v>13.674038448135159</v>
      </c>
      <c r="R57" s="296">
        <f ca="1">DSUM($B$25:$Y$30,R$25,$C$37:$D57)</f>
        <v>13.827467448762789</v>
      </c>
      <c r="S57" s="296">
        <f ca="1">DSUM($B$25:$Y$30,S$25,$C$37:$D57)</f>
        <v>13.989855764264545</v>
      </c>
      <c r="T57" s="296">
        <f ca="1">DSUM($B$25:$Y$30,T$25,$C$37:$D57)</f>
        <v>14.131133657423732</v>
      </c>
      <c r="U57" s="296">
        <f ca="1">DSUM($B$25:$Y$30,U$25,$C$37:$D57)</f>
        <v>14.292254643513042</v>
      </c>
      <c r="V57" s="296">
        <f ca="1">DSUM($B$25:$Y$30,V$25,$C$37:$D57)</f>
        <v>14.454865915115134</v>
      </c>
      <c r="W57" s="296">
        <f ca="1">DSUM($B$25:$Y$30,W$25,$C$37:$D57)</f>
        <v>14.620457757742805</v>
      </c>
      <c r="X57" s="296">
        <f ca="1">DSUM($B$25:$Y$30,X$25,$C$37:$D57)</f>
        <v>14.789710774228666</v>
      </c>
      <c r="Y57" s="296">
        <f ca="1">DSUM($B$25:$Y$30,Y$25,$C$37:$D57)</f>
        <v>215.42787740369499</v>
      </c>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row>
    <row r="58" spans="2:79">
      <c r="B58" s="251" t="s">
        <v>608</v>
      </c>
      <c r="C58" s="303" t="s">
        <v>609</v>
      </c>
      <c r="D58" s="303" t="s">
        <v>610</v>
      </c>
      <c r="E58" s="296">
        <f ca="1">DSUM($B$25:$Y$30,E$25,$C$37:$D58)</f>
        <v>2.0605505005514519</v>
      </c>
      <c r="F58" s="296">
        <f ca="1">DSUM($B$25:$Y$30,F$25,$C$37:$D58)</f>
        <v>3.3162631178717445</v>
      </c>
      <c r="G58" s="296">
        <f ca="1">DSUM($B$25:$Y$30,G$25,$C$37:$D58)</f>
        <v>4.6059992272547348</v>
      </c>
      <c r="H58" s="296">
        <f ca="1">DSUM($B$25:$Y$30,H$25,$C$37:$D58)</f>
        <v>6.3223984072587909</v>
      </c>
      <c r="I58" s="296">
        <f ca="1">DSUM($B$25:$Y$30,I$25,$C$37:$D58)</f>
        <v>7.4200122671025213</v>
      </c>
      <c r="J58" s="296">
        <f ca="1">DSUM($B$25:$Y$30,J$25,$C$37:$D58)</f>
        <v>8.537959136570537</v>
      </c>
      <c r="K58" s="296">
        <f ca="1">DSUM($B$25:$Y$30,K$25,$C$37:$D58)</f>
        <v>9.6770193620140219</v>
      </c>
      <c r="L58" s="296">
        <f ca="1">DSUM($B$25:$Y$30,L$25,$C$37:$D58)</f>
        <v>10.405356508981955</v>
      </c>
      <c r="M58" s="296">
        <f ca="1">DSUM($B$25:$Y$30,M$25,$C$37:$D58)</f>
        <v>11.152198132188104</v>
      </c>
      <c r="N58" s="296">
        <f ca="1">DSUM($B$25:$Y$30,N$25,$C$37:$D58)</f>
        <v>11.92108659335825</v>
      </c>
      <c r="O58" s="296">
        <f ca="1">DSUM($B$25:$Y$30,O$25,$C$37:$D58)</f>
        <v>12.708464275875539</v>
      </c>
      <c r="P58" s="296">
        <f ca="1">DSUM($B$25:$Y$30,P$25,$C$37:$D58)</f>
        <v>13.520785465481477</v>
      </c>
      <c r="Q58" s="296">
        <f ca="1">DSUM($B$25:$Y$30,Q$25,$C$37:$D58)</f>
        <v>13.674038448135159</v>
      </c>
      <c r="R58" s="296">
        <f ca="1">DSUM($B$25:$Y$30,R$25,$C$37:$D58)</f>
        <v>13.827467448762789</v>
      </c>
      <c r="S58" s="296">
        <f ca="1">DSUM($B$25:$Y$30,S$25,$C$37:$D58)</f>
        <v>13.989855764264545</v>
      </c>
      <c r="T58" s="296">
        <f ca="1">DSUM($B$25:$Y$30,T$25,$C$37:$D58)</f>
        <v>14.131133657423732</v>
      </c>
      <c r="U58" s="296">
        <f ca="1">DSUM($B$25:$Y$30,U$25,$C$37:$D58)</f>
        <v>14.292254643513042</v>
      </c>
      <c r="V58" s="296">
        <f ca="1">DSUM($B$25:$Y$30,V$25,$C$37:$D58)</f>
        <v>14.454865915115134</v>
      </c>
      <c r="W58" s="296">
        <f ca="1">DSUM($B$25:$Y$30,W$25,$C$37:$D58)</f>
        <v>14.620457757742805</v>
      </c>
      <c r="X58" s="296">
        <f ca="1">DSUM($B$25:$Y$30,X$25,$C$37:$D58)</f>
        <v>14.789710774228666</v>
      </c>
      <c r="Y58" s="296">
        <f ca="1">DSUM($B$25:$Y$30,Y$25,$C$37:$D58)</f>
        <v>215.42787740369499</v>
      </c>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row>
    <row r="59" spans="2:79">
      <c r="B59" s="251" t="s">
        <v>611</v>
      </c>
      <c r="C59" s="303" t="s">
        <v>612</v>
      </c>
      <c r="D59" s="303" t="s">
        <v>613</v>
      </c>
      <c r="E59" s="296">
        <f ca="1">DSUM($B$25:$Y$30,E$25,$C$37:$D59)</f>
        <v>2.0605505005514519</v>
      </c>
      <c r="F59" s="296">
        <f ca="1">DSUM($B$25:$Y$30,F$25,$C$37:$D59)</f>
        <v>3.3162631178717445</v>
      </c>
      <c r="G59" s="296">
        <f ca="1">DSUM($B$25:$Y$30,G$25,$C$37:$D59)</f>
        <v>4.6059992272547348</v>
      </c>
      <c r="H59" s="296">
        <f ca="1">DSUM($B$25:$Y$30,H$25,$C$37:$D59)</f>
        <v>6.3223984072587909</v>
      </c>
      <c r="I59" s="296">
        <f ca="1">DSUM($B$25:$Y$30,I$25,$C$37:$D59)</f>
        <v>7.4200122671025213</v>
      </c>
      <c r="J59" s="296">
        <f ca="1">DSUM($B$25:$Y$30,J$25,$C$37:$D59)</f>
        <v>8.537959136570537</v>
      </c>
      <c r="K59" s="296">
        <f ca="1">DSUM($B$25:$Y$30,K$25,$C$37:$D59)</f>
        <v>9.6770193620140219</v>
      </c>
      <c r="L59" s="296">
        <f ca="1">DSUM($B$25:$Y$30,L$25,$C$37:$D59)</f>
        <v>10.405356508981955</v>
      </c>
      <c r="M59" s="296">
        <f ca="1">DSUM($B$25:$Y$30,M$25,$C$37:$D59)</f>
        <v>11.152198132188104</v>
      </c>
      <c r="N59" s="296">
        <f ca="1">DSUM($B$25:$Y$30,N$25,$C$37:$D59)</f>
        <v>11.92108659335825</v>
      </c>
      <c r="O59" s="296">
        <f ca="1">DSUM($B$25:$Y$30,O$25,$C$37:$D59)</f>
        <v>12.708464275875539</v>
      </c>
      <c r="P59" s="296">
        <f ca="1">DSUM($B$25:$Y$30,P$25,$C$37:$D59)</f>
        <v>13.520785465481477</v>
      </c>
      <c r="Q59" s="296">
        <f ca="1">DSUM($B$25:$Y$30,Q$25,$C$37:$D59)</f>
        <v>13.674038448135159</v>
      </c>
      <c r="R59" s="296">
        <f ca="1">DSUM($B$25:$Y$30,R$25,$C$37:$D59)</f>
        <v>13.827467448762789</v>
      </c>
      <c r="S59" s="296">
        <f ca="1">DSUM($B$25:$Y$30,S$25,$C$37:$D59)</f>
        <v>13.989855764264545</v>
      </c>
      <c r="T59" s="296">
        <f ca="1">DSUM($B$25:$Y$30,T$25,$C$37:$D59)</f>
        <v>14.131133657423732</v>
      </c>
      <c r="U59" s="296">
        <f ca="1">DSUM($B$25:$Y$30,U$25,$C$37:$D59)</f>
        <v>14.292254643513042</v>
      </c>
      <c r="V59" s="296">
        <f ca="1">DSUM($B$25:$Y$30,V$25,$C$37:$D59)</f>
        <v>14.454865915115134</v>
      </c>
      <c r="W59" s="296">
        <f ca="1">DSUM($B$25:$Y$30,W$25,$C$37:$D59)</f>
        <v>14.620457757742805</v>
      </c>
      <c r="X59" s="296">
        <f ca="1">DSUM($B$25:$Y$30,X$25,$C$37:$D59)</f>
        <v>14.789710774228666</v>
      </c>
      <c r="Y59" s="296">
        <f ca="1">DSUM($B$25:$Y$30,Y$25,$C$37:$D59)</f>
        <v>215.42787740369499</v>
      </c>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row>
    <row r="60" spans="2:79">
      <c r="B60" s="251" t="s">
        <v>614</v>
      </c>
      <c r="C60" s="303" t="s">
        <v>615</v>
      </c>
      <c r="D60" s="303" t="s">
        <v>616</v>
      </c>
      <c r="E60" s="296">
        <f ca="1">DSUM($B$25:$Y$30,E$25,$C$37:$D60)</f>
        <v>2.0605505005514519</v>
      </c>
      <c r="F60" s="296">
        <f ca="1">DSUM($B$25:$Y$30,F$25,$C$37:$D60)</f>
        <v>3.3162631178717445</v>
      </c>
      <c r="G60" s="296">
        <f ca="1">DSUM($B$25:$Y$30,G$25,$C$37:$D60)</f>
        <v>4.6059992272547348</v>
      </c>
      <c r="H60" s="296">
        <f ca="1">DSUM($B$25:$Y$30,H$25,$C$37:$D60)</f>
        <v>6.3223984072587909</v>
      </c>
      <c r="I60" s="296">
        <f ca="1">DSUM($B$25:$Y$30,I$25,$C$37:$D60)</f>
        <v>7.4200122671025213</v>
      </c>
      <c r="J60" s="296">
        <f ca="1">DSUM($B$25:$Y$30,J$25,$C$37:$D60)</f>
        <v>8.537959136570537</v>
      </c>
      <c r="K60" s="296">
        <f ca="1">DSUM($B$25:$Y$30,K$25,$C$37:$D60)</f>
        <v>9.6770193620140219</v>
      </c>
      <c r="L60" s="296">
        <f ca="1">DSUM($B$25:$Y$30,L$25,$C$37:$D60)</f>
        <v>10.405356508981955</v>
      </c>
      <c r="M60" s="296">
        <f ca="1">DSUM($B$25:$Y$30,M$25,$C$37:$D60)</f>
        <v>11.152198132188104</v>
      </c>
      <c r="N60" s="296">
        <f ca="1">DSUM($B$25:$Y$30,N$25,$C$37:$D60)</f>
        <v>11.92108659335825</v>
      </c>
      <c r="O60" s="296">
        <f ca="1">DSUM($B$25:$Y$30,O$25,$C$37:$D60)</f>
        <v>12.708464275875539</v>
      </c>
      <c r="P60" s="296">
        <f ca="1">DSUM($B$25:$Y$30,P$25,$C$37:$D60)</f>
        <v>13.520785465481477</v>
      </c>
      <c r="Q60" s="296">
        <f ca="1">DSUM($B$25:$Y$30,Q$25,$C$37:$D60)</f>
        <v>13.674038448135159</v>
      </c>
      <c r="R60" s="296">
        <f ca="1">DSUM($B$25:$Y$30,R$25,$C$37:$D60)</f>
        <v>13.827467448762789</v>
      </c>
      <c r="S60" s="296">
        <f ca="1">DSUM($B$25:$Y$30,S$25,$C$37:$D60)</f>
        <v>13.989855764264545</v>
      </c>
      <c r="T60" s="296">
        <f ca="1">DSUM($B$25:$Y$30,T$25,$C$37:$D60)</f>
        <v>14.131133657423732</v>
      </c>
      <c r="U60" s="296">
        <f ca="1">DSUM($B$25:$Y$30,U$25,$C$37:$D60)</f>
        <v>14.292254643513042</v>
      </c>
      <c r="V60" s="296">
        <f ca="1">DSUM($B$25:$Y$30,V$25,$C$37:$D60)</f>
        <v>14.454865915115134</v>
      </c>
      <c r="W60" s="296">
        <f ca="1">DSUM($B$25:$Y$30,W$25,$C$37:$D60)</f>
        <v>14.620457757742805</v>
      </c>
      <c r="X60" s="296">
        <f ca="1">DSUM($B$25:$Y$30,X$25,$C$37:$D60)</f>
        <v>14.789710774228666</v>
      </c>
      <c r="Y60" s="296">
        <f ca="1">DSUM($B$25:$Y$30,Y$25,$C$37:$D60)</f>
        <v>215.42787740369499</v>
      </c>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row>
    <row r="61" spans="2:79">
      <c r="B61" s="251" t="s">
        <v>617</v>
      </c>
      <c r="C61" s="303" t="s">
        <v>618</v>
      </c>
      <c r="D61" s="303" t="s">
        <v>619</v>
      </c>
      <c r="E61" s="296">
        <f ca="1">DSUM($B$25:$Y$30,E$25,$C$37:$D61)</f>
        <v>2.0605505005514519</v>
      </c>
      <c r="F61" s="296">
        <f ca="1">DSUM($B$25:$Y$30,F$25,$C$37:$D61)</f>
        <v>3.3162631178717445</v>
      </c>
      <c r="G61" s="296">
        <f ca="1">DSUM($B$25:$Y$30,G$25,$C$37:$D61)</f>
        <v>4.6059992272547348</v>
      </c>
      <c r="H61" s="296">
        <f ca="1">DSUM($B$25:$Y$30,H$25,$C$37:$D61)</f>
        <v>6.3223984072587909</v>
      </c>
      <c r="I61" s="296">
        <f ca="1">DSUM($B$25:$Y$30,I$25,$C$37:$D61)</f>
        <v>7.4200122671025213</v>
      </c>
      <c r="J61" s="296">
        <f ca="1">DSUM($B$25:$Y$30,J$25,$C$37:$D61)</f>
        <v>8.537959136570537</v>
      </c>
      <c r="K61" s="296">
        <f ca="1">DSUM($B$25:$Y$30,K$25,$C$37:$D61)</f>
        <v>9.6770193620140219</v>
      </c>
      <c r="L61" s="296">
        <f ca="1">DSUM($B$25:$Y$30,L$25,$C$37:$D61)</f>
        <v>10.405356508981955</v>
      </c>
      <c r="M61" s="296">
        <f ca="1">DSUM($B$25:$Y$30,M$25,$C$37:$D61)</f>
        <v>11.152198132188104</v>
      </c>
      <c r="N61" s="296">
        <f ca="1">DSUM($B$25:$Y$30,N$25,$C$37:$D61)</f>
        <v>11.92108659335825</v>
      </c>
      <c r="O61" s="296">
        <f ca="1">DSUM($B$25:$Y$30,O$25,$C$37:$D61)</f>
        <v>12.708464275875539</v>
      </c>
      <c r="P61" s="296">
        <f ca="1">DSUM($B$25:$Y$30,P$25,$C$37:$D61)</f>
        <v>13.520785465481477</v>
      </c>
      <c r="Q61" s="296">
        <f ca="1">DSUM($B$25:$Y$30,Q$25,$C$37:$D61)</f>
        <v>13.674038448135159</v>
      </c>
      <c r="R61" s="296">
        <f ca="1">DSUM($B$25:$Y$30,R$25,$C$37:$D61)</f>
        <v>13.827467448762789</v>
      </c>
      <c r="S61" s="296">
        <f ca="1">DSUM($B$25:$Y$30,S$25,$C$37:$D61)</f>
        <v>13.989855764264545</v>
      </c>
      <c r="T61" s="296">
        <f ca="1">DSUM($B$25:$Y$30,T$25,$C$37:$D61)</f>
        <v>14.131133657423732</v>
      </c>
      <c r="U61" s="296">
        <f ca="1">DSUM($B$25:$Y$30,U$25,$C$37:$D61)</f>
        <v>14.292254643513042</v>
      </c>
      <c r="V61" s="296">
        <f ca="1">DSUM($B$25:$Y$30,V$25,$C$37:$D61)</f>
        <v>14.454865915115134</v>
      </c>
      <c r="W61" s="296">
        <f ca="1">DSUM($B$25:$Y$30,W$25,$C$37:$D61)</f>
        <v>14.620457757742805</v>
      </c>
      <c r="X61" s="296">
        <f ca="1">DSUM($B$25:$Y$30,X$25,$C$37:$D61)</f>
        <v>14.789710774228666</v>
      </c>
      <c r="Y61" s="296">
        <f ca="1">DSUM($B$25:$Y$30,Y$25,$C$37:$D61)</f>
        <v>215.42787740369499</v>
      </c>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row>
    <row r="62" spans="2:79">
      <c r="B62" s="251" t="s">
        <v>620</v>
      </c>
      <c r="C62" s="303" t="s">
        <v>621</v>
      </c>
      <c r="D62" s="303" t="s">
        <v>622</v>
      </c>
      <c r="E62" s="296">
        <f ca="1">DSUM($B$25:$Y$30,E$25,$C$37:$D62)</f>
        <v>2.0605505005514519</v>
      </c>
      <c r="F62" s="296">
        <f ca="1">DSUM($B$25:$Y$30,F$25,$C$37:$D62)</f>
        <v>3.3162631178717445</v>
      </c>
      <c r="G62" s="296">
        <f ca="1">DSUM($B$25:$Y$30,G$25,$C$37:$D62)</f>
        <v>4.6059992272547348</v>
      </c>
      <c r="H62" s="296">
        <f ca="1">DSUM($B$25:$Y$30,H$25,$C$37:$D62)</f>
        <v>6.3223984072587909</v>
      </c>
      <c r="I62" s="296">
        <f ca="1">DSUM($B$25:$Y$30,I$25,$C$37:$D62)</f>
        <v>7.4200122671025213</v>
      </c>
      <c r="J62" s="296">
        <f ca="1">DSUM($B$25:$Y$30,J$25,$C$37:$D62)</f>
        <v>8.537959136570537</v>
      </c>
      <c r="K62" s="296">
        <f ca="1">DSUM($B$25:$Y$30,K$25,$C$37:$D62)</f>
        <v>9.6770193620140219</v>
      </c>
      <c r="L62" s="296">
        <f ca="1">DSUM($B$25:$Y$30,L$25,$C$37:$D62)</f>
        <v>10.405356508981955</v>
      </c>
      <c r="M62" s="296">
        <f ca="1">DSUM($B$25:$Y$30,M$25,$C$37:$D62)</f>
        <v>11.152198132188104</v>
      </c>
      <c r="N62" s="296">
        <f ca="1">DSUM($B$25:$Y$30,N$25,$C$37:$D62)</f>
        <v>11.92108659335825</v>
      </c>
      <c r="O62" s="296">
        <f ca="1">DSUM($B$25:$Y$30,O$25,$C$37:$D62)</f>
        <v>12.708464275875539</v>
      </c>
      <c r="P62" s="296">
        <f ca="1">DSUM($B$25:$Y$30,P$25,$C$37:$D62)</f>
        <v>13.520785465481477</v>
      </c>
      <c r="Q62" s="296">
        <f ca="1">DSUM($B$25:$Y$30,Q$25,$C$37:$D62)</f>
        <v>13.674038448135159</v>
      </c>
      <c r="R62" s="296">
        <f ca="1">DSUM($B$25:$Y$30,R$25,$C$37:$D62)</f>
        <v>13.827467448762789</v>
      </c>
      <c r="S62" s="296">
        <f ca="1">DSUM($B$25:$Y$30,S$25,$C$37:$D62)</f>
        <v>13.989855764264545</v>
      </c>
      <c r="T62" s="296">
        <f ca="1">DSUM($B$25:$Y$30,T$25,$C$37:$D62)</f>
        <v>14.131133657423732</v>
      </c>
      <c r="U62" s="296">
        <f ca="1">DSUM($B$25:$Y$30,U$25,$C$37:$D62)</f>
        <v>14.292254643513042</v>
      </c>
      <c r="V62" s="296">
        <f ca="1">DSUM($B$25:$Y$30,V$25,$C$37:$D62)</f>
        <v>14.454865915115134</v>
      </c>
      <c r="W62" s="296">
        <f ca="1">DSUM($B$25:$Y$30,W$25,$C$37:$D62)</f>
        <v>14.620457757742805</v>
      </c>
      <c r="X62" s="296">
        <f ca="1">DSUM($B$25:$Y$30,X$25,$C$37:$D62)</f>
        <v>14.789710774228666</v>
      </c>
      <c r="Y62" s="296">
        <f ca="1">DSUM($B$25:$Y$30,Y$25,$C$37:$D62)</f>
        <v>215.42787740369499</v>
      </c>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row>
    <row r="63" spans="2:79">
      <c r="B63" s="251" t="s">
        <v>623</v>
      </c>
      <c r="C63" s="303" t="s">
        <v>624</v>
      </c>
      <c r="D63" s="303" t="s">
        <v>625</v>
      </c>
      <c r="E63" s="296">
        <f ca="1">DSUM($B$25:$Y$30,E$25,$C$37:$D63)</f>
        <v>2.0605505005514519</v>
      </c>
      <c r="F63" s="296">
        <f ca="1">DSUM($B$25:$Y$30,F$25,$C$37:$D63)</f>
        <v>3.3162631178717445</v>
      </c>
      <c r="G63" s="296">
        <f ca="1">DSUM($B$25:$Y$30,G$25,$C$37:$D63)</f>
        <v>4.6059992272547348</v>
      </c>
      <c r="H63" s="296">
        <f ca="1">DSUM($B$25:$Y$30,H$25,$C$37:$D63)</f>
        <v>6.3223984072587909</v>
      </c>
      <c r="I63" s="296">
        <f ca="1">DSUM($B$25:$Y$30,I$25,$C$37:$D63)</f>
        <v>7.4200122671025213</v>
      </c>
      <c r="J63" s="296">
        <f ca="1">DSUM($B$25:$Y$30,J$25,$C$37:$D63)</f>
        <v>8.537959136570537</v>
      </c>
      <c r="K63" s="296">
        <f ca="1">DSUM($B$25:$Y$30,K$25,$C$37:$D63)</f>
        <v>9.6770193620140219</v>
      </c>
      <c r="L63" s="296">
        <f ca="1">DSUM($B$25:$Y$30,L$25,$C$37:$D63)</f>
        <v>10.405356508981955</v>
      </c>
      <c r="M63" s="296">
        <f ca="1">DSUM($B$25:$Y$30,M$25,$C$37:$D63)</f>
        <v>11.152198132188104</v>
      </c>
      <c r="N63" s="296">
        <f ca="1">DSUM($B$25:$Y$30,N$25,$C$37:$D63)</f>
        <v>11.92108659335825</v>
      </c>
      <c r="O63" s="296">
        <f ca="1">DSUM($B$25:$Y$30,O$25,$C$37:$D63)</f>
        <v>12.708464275875539</v>
      </c>
      <c r="P63" s="296">
        <f ca="1">DSUM($B$25:$Y$30,P$25,$C$37:$D63)</f>
        <v>13.520785465481477</v>
      </c>
      <c r="Q63" s="296">
        <f ca="1">DSUM($B$25:$Y$30,Q$25,$C$37:$D63)</f>
        <v>13.674038448135159</v>
      </c>
      <c r="R63" s="296">
        <f ca="1">DSUM($B$25:$Y$30,R$25,$C$37:$D63)</f>
        <v>13.827467448762789</v>
      </c>
      <c r="S63" s="296">
        <f ca="1">DSUM($B$25:$Y$30,S$25,$C$37:$D63)</f>
        <v>13.989855764264545</v>
      </c>
      <c r="T63" s="296">
        <f ca="1">DSUM($B$25:$Y$30,T$25,$C$37:$D63)</f>
        <v>14.131133657423732</v>
      </c>
      <c r="U63" s="296">
        <f ca="1">DSUM($B$25:$Y$30,U$25,$C$37:$D63)</f>
        <v>14.292254643513042</v>
      </c>
      <c r="V63" s="296">
        <f ca="1">DSUM($B$25:$Y$30,V$25,$C$37:$D63)</f>
        <v>14.454865915115134</v>
      </c>
      <c r="W63" s="296">
        <f ca="1">DSUM($B$25:$Y$30,W$25,$C$37:$D63)</f>
        <v>14.620457757742805</v>
      </c>
      <c r="X63" s="296">
        <f ca="1">DSUM($B$25:$Y$30,X$25,$C$37:$D63)</f>
        <v>14.789710774228666</v>
      </c>
      <c r="Y63" s="296">
        <f ca="1">DSUM($B$25:$Y$30,Y$25,$C$37:$D63)</f>
        <v>215.42787740369499</v>
      </c>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row>
    <row r="64" spans="2:79">
      <c r="B64" s="251" t="s">
        <v>626</v>
      </c>
      <c r="C64" s="303" t="s">
        <v>627</v>
      </c>
      <c r="D64" s="303" t="s">
        <v>628</v>
      </c>
      <c r="E64" s="296">
        <f ca="1">DSUM($B$25:$Y$30,E$25,$C$37:$D64)</f>
        <v>2.0605505005514519</v>
      </c>
      <c r="F64" s="296">
        <f ca="1">DSUM($B$25:$Y$30,F$25,$C$37:$D64)</f>
        <v>3.3162631178717445</v>
      </c>
      <c r="G64" s="296">
        <f ca="1">DSUM($B$25:$Y$30,G$25,$C$37:$D64)</f>
        <v>4.6059992272547348</v>
      </c>
      <c r="H64" s="296">
        <f ca="1">DSUM($B$25:$Y$30,H$25,$C$37:$D64)</f>
        <v>6.3223984072587909</v>
      </c>
      <c r="I64" s="296">
        <f ca="1">DSUM($B$25:$Y$30,I$25,$C$37:$D64)</f>
        <v>7.4200122671025213</v>
      </c>
      <c r="J64" s="296">
        <f ca="1">DSUM($B$25:$Y$30,J$25,$C$37:$D64)</f>
        <v>8.537959136570537</v>
      </c>
      <c r="K64" s="296">
        <f ca="1">DSUM($B$25:$Y$30,K$25,$C$37:$D64)</f>
        <v>9.6770193620140219</v>
      </c>
      <c r="L64" s="296">
        <f ca="1">DSUM($B$25:$Y$30,L$25,$C$37:$D64)</f>
        <v>10.405356508981955</v>
      </c>
      <c r="M64" s="296">
        <f ca="1">DSUM($B$25:$Y$30,M$25,$C$37:$D64)</f>
        <v>11.152198132188104</v>
      </c>
      <c r="N64" s="296">
        <f ca="1">DSUM($B$25:$Y$30,N$25,$C$37:$D64)</f>
        <v>11.92108659335825</v>
      </c>
      <c r="O64" s="296">
        <f ca="1">DSUM($B$25:$Y$30,O$25,$C$37:$D64)</f>
        <v>12.708464275875539</v>
      </c>
      <c r="P64" s="296">
        <f ca="1">DSUM($B$25:$Y$30,P$25,$C$37:$D64)</f>
        <v>13.520785465481477</v>
      </c>
      <c r="Q64" s="296">
        <f ca="1">DSUM($B$25:$Y$30,Q$25,$C$37:$D64)</f>
        <v>13.674038448135159</v>
      </c>
      <c r="R64" s="296">
        <f ca="1">DSUM($B$25:$Y$30,R$25,$C$37:$D64)</f>
        <v>13.827467448762789</v>
      </c>
      <c r="S64" s="296">
        <f ca="1">DSUM($B$25:$Y$30,S$25,$C$37:$D64)</f>
        <v>13.989855764264545</v>
      </c>
      <c r="T64" s="296">
        <f ca="1">DSUM($B$25:$Y$30,T$25,$C$37:$D64)</f>
        <v>14.131133657423732</v>
      </c>
      <c r="U64" s="296">
        <f ca="1">DSUM($B$25:$Y$30,U$25,$C$37:$D64)</f>
        <v>14.292254643513042</v>
      </c>
      <c r="V64" s="296">
        <f ca="1">DSUM($B$25:$Y$30,V$25,$C$37:$D64)</f>
        <v>14.454865915115134</v>
      </c>
      <c r="W64" s="296">
        <f ca="1">DSUM($B$25:$Y$30,W$25,$C$37:$D64)</f>
        <v>14.620457757742805</v>
      </c>
      <c r="X64" s="296">
        <f ca="1">DSUM($B$25:$Y$30,X$25,$C$37:$D64)</f>
        <v>14.789710774228666</v>
      </c>
      <c r="Y64" s="296">
        <f ca="1">DSUM($B$25:$Y$30,Y$25,$C$37:$D64)</f>
        <v>215.42787740369499</v>
      </c>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row>
    <row r="65" spans="1:79">
      <c r="B65" s="251" t="s">
        <v>629</v>
      </c>
      <c r="C65" s="303" t="s">
        <v>630</v>
      </c>
      <c r="D65" s="303" t="s">
        <v>631</v>
      </c>
      <c r="E65" s="296">
        <f ca="1">DSUM($B$25:$Y$30,E$25,$C$37:$D65)</f>
        <v>2.0605505005514519</v>
      </c>
      <c r="F65" s="296">
        <f ca="1">DSUM($B$25:$Y$30,F$25,$C$37:$D65)</f>
        <v>3.3162631178717445</v>
      </c>
      <c r="G65" s="296">
        <f ca="1">DSUM($B$25:$Y$30,G$25,$C$37:$D65)</f>
        <v>4.6059992272547348</v>
      </c>
      <c r="H65" s="296">
        <f ca="1">DSUM($B$25:$Y$30,H$25,$C$37:$D65)</f>
        <v>6.3223984072587909</v>
      </c>
      <c r="I65" s="296">
        <f ca="1">DSUM($B$25:$Y$30,I$25,$C$37:$D65)</f>
        <v>7.4200122671025213</v>
      </c>
      <c r="J65" s="296">
        <f ca="1">DSUM($B$25:$Y$30,J$25,$C$37:$D65)</f>
        <v>8.537959136570537</v>
      </c>
      <c r="K65" s="296">
        <f ca="1">DSUM($B$25:$Y$30,K$25,$C$37:$D65)</f>
        <v>9.6770193620140219</v>
      </c>
      <c r="L65" s="296">
        <f ca="1">DSUM($B$25:$Y$30,L$25,$C$37:$D65)</f>
        <v>10.405356508981955</v>
      </c>
      <c r="M65" s="296">
        <f ca="1">DSUM($B$25:$Y$30,M$25,$C$37:$D65)</f>
        <v>11.152198132188104</v>
      </c>
      <c r="N65" s="296">
        <f ca="1">DSUM($B$25:$Y$30,N$25,$C$37:$D65)</f>
        <v>11.92108659335825</v>
      </c>
      <c r="O65" s="296">
        <f ca="1">DSUM($B$25:$Y$30,O$25,$C$37:$D65)</f>
        <v>12.708464275875539</v>
      </c>
      <c r="P65" s="296">
        <f ca="1">DSUM($B$25:$Y$30,P$25,$C$37:$D65)</f>
        <v>13.520785465481477</v>
      </c>
      <c r="Q65" s="296">
        <f ca="1">DSUM($B$25:$Y$30,Q$25,$C$37:$D65)</f>
        <v>13.674038448135159</v>
      </c>
      <c r="R65" s="296">
        <f ca="1">DSUM($B$25:$Y$30,R$25,$C$37:$D65)</f>
        <v>13.827467448762789</v>
      </c>
      <c r="S65" s="296">
        <f ca="1">DSUM($B$25:$Y$30,S$25,$C$37:$D65)</f>
        <v>13.989855764264545</v>
      </c>
      <c r="T65" s="296">
        <f ca="1">DSUM($B$25:$Y$30,T$25,$C$37:$D65)</f>
        <v>14.131133657423732</v>
      </c>
      <c r="U65" s="296">
        <f ca="1">DSUM($B$25:$Y$30,U$25,$C$37:$D65)</f>
        <v>14.292254643513042</v>
      </c>
      <c r="V65" s="296">
        <f ca="1">DSUM($B$25:$Y$30,V$25,$C$37:$D65)</f>
        <v>14.454865915115134</v>
      </c>
      <c r="W65" s="296">
        <f ca="1">DSUM($B$25:$Y$30,W$25,$C$37:$D65)</f>
        <v>14.620457757742805</v>
      </c>
      <c r="X65" s="296">
        <f ca="1">DSUM($B$25:$Y$30,X$25,$C$37:$D65)</f>
        <v>14.789710774228666</v>
      </c>
      <c r="Y65" s="296">
        <f ca="1">DSUM($B$25:$Y$30,Y$25,$C$37:$D65)</f>
        <v>215.42787740369499</v>
      </c>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row>
    <row r="66" spans="1:79">
      <c r="B66" s="251" t="s">
        <v>632</v>
      </c>
      <c r="C66" s="303" t="s">
        <v>633</v>
      </c>
      <c r="D66" s="303" t="s">
        <v>634</v>
      </c>
      <c r="E66" s="296">
        <f ca="1">DSUM($B$25:$Y$30,E$25,$C$37:$D66)</f>
        <v>2.0605505005514519</v>
      </c>
      <c r="F66" s="296">
        <f ca="1">DSUM($B$25:$Y$30,F$25,$C$37:$D66)</f>
        <v>3.3162631178717445</v>
      </c>
      <c r="G66" s="296">
        <f ca="1">DSUM($B$25:$Y$30,G$25,$C$37:$D66)</f>
        <v>4.6059992272547348</v>
      </c>
      <c r="H66" s="296">
        <f ca="1">DSUM($B$25:$Y$30,H$25,$C$37:$D66)</f>
        <v>6.3223984072587909</v>
      </c>
      <c r="I66" s="296">
        <f ca="1">DSUM($B$25:$Y$30,I$25,$C$37:$D66)</f>
        <v>7.4200122671025213</v>
      </c>
      <c r="J66" s="296">
        <f ca="1">DSUM($B$25:$Y$30,J$25,$C$37:$D66)</f>
        <v>8.537959136570537</v>
      </c>
      <c r="K66" s="296">
        <f ca="1">DSUM($B$25:$Y$30,K$25,$C$37:$D66)</f>
        <v>9.6770193620140219</v>
      </c>
      <c r="L66" s="296">
        <f ca="1">DSUM($B$25:$Y$30,L$25,$C$37:$D66)</f>
        <v>10.405356508981955</v>
      </c>
      <c r="M66" s="296">
        <f ca="1">DSUM($B$25:$Y$30,M$25,$C$37:$D66)</f>
        <v>11.152198132188104</v>
      </c>
      <c r="N66" s="296">
        <f ca="1">DSUM($B$25:$Y$30,N$25,$C$37:$D66)</f>
        <v>11.92108659335825</v>
      </c>
      <c r="O66" s="296">
        <f ca="1">DSUM($B$25:$Y$30,O$25,$C$37:$D66)</f>
        <v>12.708464275875539</v>
      </c>
      <c r="P66" s="296">
        <f ca="1">DSUM($B$25:$Y$30,P$25,$C$37:$D66)</f>
        <v>13.520785465481477</v>
      </c>
      <c r="Q66" s="296">
        <f ca="1">DSUM($B$25:$Y$30,Q$25,$C$37:$D66)</f>
        <v>13.674038448135159</v>
      </c>
      <c r="R66" s="296">
        <f ca="1">DSUM($B$25:$Y$30,R$25,$C$37:$D66)</f>
        <v>13.827467448762789</v>
      </c>
      <c r="S66" s="296">
        <f ca="1">DSUM($B$25:$Y$30,S$25,$C$37:$D66)</f>
        <v>13.989855764264545</v>
      </c>
      <c r="T66" s="296">
        <f ca="1">DSUM($B$25:$Y$30,T$25,$C$37:$D66)</f>
        <v>14.131133657423732</v>
      </c>
      <c r="U66" s="296">
        <f ca="1">DSUM($B$25:$Y$30,U$25,$C$37:$D66)</f>
        <v>14.292254643513042</v>
      </c>
      <c r="V66" s="296">
        <f ca="1">DSUM($B$25:$Y$30,V$25,$C$37:$D66)</f>
        <v>14.454865915115134</v>
      </c>
      <c r="W66" s="296">
        <f ca="1">DSUM($B$25:$Y$30,W$25,$C$37:$D66)</f>
        <v>14.620457757742805</v>
      </c>
      <c r="X66" s="296">
        <f ca="1">DSUM($B$25:$Y$30,X$25,$C$37:$D66)</f>
        <v>14.789710774228666</v>
      </c>
      <c r="Y66" s="296">
        <f ca="1">DSUM($B$25:$Y$30,Y$25,$C$37:$D66)</f>
        <v>215.42787740369499</v>
      </c>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row>
    <row r="67" spans="1:79">
      <c r="B67" s="251" t="s">
        <v>635</v>
      </c>
      <c r="C67" s="303" t="s">
        <v>636</v>
      </c>
      <c r="D67" s="303" t="s">
        <v>637</v>
      </c>
      <c r="E67" s="296">
        <f ca="1">DSUM($B$25:$Y$30,E$25,$C$37:$D67)</f>
        <v>2.0605505005514519</v>
      </c>
      <c r="F67" s="296">
        <f ca="1">DSUM($B$25:$Y$30,F$25,$C$37:$D67)</f>
        <v>3.3162631178717445</v>
      </c>
      <c r="G67" s="296">
        <f ca="1">DSUM($B$25:$Y$30,G$25,$C$37:$D67)</f>
        <v>4.6059992272547348</v>
      </c>
      <c r="H67" s="296">
        <f ca="1">DSUM($B$25:$Y$30,H$25,$C$37:$D67)</f>
        <v>6.3223984072587909</v>
      </c>
      <c r="I67" s="296">
        <f ca="1">DSUM($B$25:$Y$30,I$25,$C$37:$D67)</f>
        <v>7.4200122671025213</v>
      </c>
      <c r="J67" s="296">
        <f ca="1">DSUM($B$25:$Y$30,J$25,$C$37:$D67)</f>
        <v>8.537959136570537</v>
      </c>
      <c r="K67" s="296">
        <f ca="1">DSUM($B$25:$Y$30,K$25,$C$37:$D67)</f>
        <v>9.6770193620140219</v>
      </c>
      <c r="L67" s="296">
        <f ca="1">DSUM($B$25:$Y$30,L$25,$C$37:$D67)</f>
        <v>10.405356508981955</v>
      </c>
      <c r="M67" s="296">
        <f ca="1">DSUM($B$25:$Y$30,M$25,$C$37:$D67)</f>
        <v>11.152198132188104</v>
      </c>
      <c r="N67" s="296">
        <f ca="1">DSUM($B$25:$Y$30,N$25,$C$37:$D67)</f>
        <v>11.92108659335825</v>
      </c>
      <c r="O67" s="296">
        <f ca="1">DSUM($B$25:$Y$30,O$25,$C$37:$D67)</f>
        <v>12.708464275875539</v>
      </c>
      <c r="P67" s="296">
        <f ca="1">DSUM($B$25:$Y$30,P$25,$C$37:$D67)</f>
        <v>13.520785465481477</v>
      </c>
      <c r="Q67" s="296">
        <f ca="1">DSUM($B$25:$Y$30,Q$25,$C$37:$D67)</f>
        <v>13.674038448135159</v>
      </c>
      <c r="R67" s="296">
        <f ca="1">DSUM($B$25:$Y$30,R$25,$C$37:$D67)</f>
        <v>13.827467448762789</v>
      </c>
      <c r="S67" s="296">
        <f ca="1">DSUM($B$25:$Y$30,S$25,$C$37:$D67)</f>
        <v>13.989855764264545</v>
      </c>
      <c r="T67" s="296">
        <f ca="1">DSUM($B$25:$Y$30,T$25,$C$37:$D67)</f>
        <v>14.131133657423732</v>
      </c>
      <c r="U67" s="296">
        <f ca="1">DSUM($B$25:$Y$30,U$25,$C$37:$D67)</f>
        <v>14.292254643513042</v>
      </c>
      <c r="V67" s="296">
        <f ca="1">DSUM($B$25:$Y$30,V$25,$C$37:$D67)</f>
        <v>14.454865915115134</v>
      </c>
      <c r="W67" s="296">
        <f ca="1">DSUM($B$25:$Y$30,W$25,$C$37:$D67)</f>
        <v>14.620457757742805</v>
      </c>
      <c r="X67" s="296">
        <f ca="1">DSUM($B$25:$Y$30,X$25,$C$37:$D67)</f>
        <v>14.789710774228666</v>
      </c>
      <c r="Y67" s="296">
        <f ca="1">DSUM($B$25:$Y$30,Y$25,$C$37:$D67)</f>
        <v>215.42787740369499</v>
      </c>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row>
    <row r="68" spans="1:79">
      <c r="B68" s="251" t="s">
        <v>638</v>
      </c>
      <c r="C68" s="303" t="s">
        <v>639</v>
      </c>
      <c r="D68" s="303" t="s">
        <v>640</v>
      </c>
      <c r="E68" s="296">
        <f ca="1">DSUM($B$25:$Y$30,E$25,$C$37:$D68)</f>
        <v>2.0605505005514519</v>
      </c>
      <c r="F68" s="296">
        <f ca="1">DSUM($B$25:$Y$30,F$25,$C$37:$D68)</f>
        <v>3.3162631178717445</v>
      </c>
      <c r="G68" s="296">
        <f ca="1">DSUM($B$25:$Y$30,G$25,$C$37:$D68)</f>
        <v>4.6059992272547348</v>
      </c>
      <c r="H68" s="296">
        <f ca="1">DSUM($B$25:$Y$30,H$25,$C$37:$D68)</f>
        <v>6.3223984072587909</v>
      </c>
      <c r="I68" s="296">
        <f ca="1">DSUM($B$25:$Y$30,I$25,$C$37:$D68)</f>
        <v>7.4200122671025213</v>
      </c>
      <c r="J68" s="296">
        <f ca="1">DSUM($B$25:$Y$30,J$25,$C$37:$D68)</f>
        <v>8.537959136570537</v>
      </c>
      <c r="K68" s="296">
        <f ca="1">DSUM($B$25:$Y$30,K$25,$C$37:$D68)</f>
        <v>9.6770193620140219</v>
      </c>
      <c r="L68" s="296">
        <f ca="1">DSUM($B$25:$Y$30,L$25,$C$37:$D68)</f>
        <v>10.405356508981955</v>
      </c>
      <c r="M68" s="296">
        <f ca="1">DSUM($B$25:$Y$30,M$25,$C$37:$D68)</f>
        <v>11.152198132188104</v>
      </c>
      <c r="N68" s="296">
        <f ca="1">DSUM($B$25:$Y$30,N$25,$C$37:$D68)</f>
        <v>11.92108659335825</v>
      </c>
      <c r="O68" s="296">
        <f ca="1">DSUM($B$25:$Y$30,O$25,$C$37:$D68)</f>
        <v>12.708464275875539</v>
      </c>
      <c r="P68" s="296">
        <f ca="1">DSUM($B$25:$Y$30,P$25,$C$37:$D68)</f>
        <v>13.520785465481477</v>
      </c>
      <c r="Q68" s="296">
        <f ca="1">DSUM($B$25:$Y$30,Q$25,$C$37:$D68)</f>
        <v>13.674038448135159</v>
      </c>
      <c r="R68" s="296">
        <f ca="1">DSUM($B$25:$Y$30,R$25,$C$37:$D68)</f>
        <v>13.827467448762789</v>
      </c>
      <c r="S68" s="296">
        <f ca="1">DSUM($B$25:$Y$30,S$25,$C$37:$D68)</f>
        <v>13.989855764264545</v>
      </c>
      <c r="T68" s="296">
        <f ca="1">DSUM($B$25:$Y$30,T$25,$C$37:$D68)</f>
        <v>14.131133657423732</v>
      </c>
      <c r="U68" s="296">
        <f ca="1">DSUM($B$25:$Y$30,U$25,$C$37:$D68)</f>
        <v>14.292254643513042</v>
      </c>
      <c r="V68" s="296">
        <f ca="1">DSUM($B$25:$Y$30,V$25,$C$37:$D68)</f>
        <v>14.454865915115134</v>
      </c>
      <c r="W68" s="296">
        <f ca="1">DSUM($B$25:$Y$30,W$25,$C$37:$D68)</f>
        <v>14.620457757742805</v>
      </c>
      <c r="X68" s="296">
        <f ca="1">DSUM($B$25:$Y$30,X$25,$C$37:$D68)</f>
        <v>14.789710774228666</v>
      </c>
      <c r="Y68" s="296">
        <f ca="1">DSUM($B$25:$Y$30,Y$25,$C$37:$D68)</f>
        <v>215.42787740369499</v>
      </c>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row>
    <row r="69" spans="1:79">
      <c r="B69" s="251" t="s">
        <v>641</v>
      </c>
      <c r="C69" s="303" t="s">
        <v>642</v>
      </c>
      <c r="D69" s="303" t="s">
        <v>643</v>
      </c>
      <c r="E69" s="296">
        <f ca="1">DSUM($B$25:$Y$30,E$25,$C$37:$D69)</f>
        <v>2.0812958793083616</v>
      </c>
      <c r="F69" s="296">
        <f ca="1">DSUM($B$25:$Y$30,F$25,$C$37:$D69)</f>
        <v>3.3496508627580783</v>
      </c>
      <c r="G69" s="296">
        <f ca="1">DSUM($B$25:$Y$30,G$25,$C$37:$D69)</f>
        <v>4.6523718827649292</v>
      </c>
      <c r="H69" s="296">
        <f ca="1">DSUM($B$25:$Y$30,H$25,$C$37:$D69)</f>
        <v>6.3860515667302833</v>
      </c>
      <c r="I69" s="296">
        <f ca="1">DSUM($B$25:$Y$30,I$25,$C$37:$D69)</f>
        <v>7.4947160731100713</v>
      </c>
      <c r="J69" s="296">
        <f ca="1">DSUM($B$25:$Y$30,J$25,$C$37:$D69)</f>
        <v>8.6239182994504411</v>
      </c>
      <c r="K69" s="296">
        <f ca="1">DSUM($B$25:$Y$30,K$25,$C$37:$D69)</f>
        <v>9.7744464485373577</v>
      </c>
      <c r="L69" s="296">
        <f ca="1">DSUM($B$25:$Y$30,L$25,$C$37:$D69)</f>
        <v>10.510116407767125</v>
      </c>
      <c r="M69" s="296">
        <f ca="1">DSUM($B$25:$Y$30,M$25,$C$37:$D69)</f>
        <v>11.264477144113521</v>
      </c>
      <c r="N69" s="296">
        <f ca="1">DSUM($B$25:$Y$30,N$25,$C$37:$D69)</f>
        <v>12.041106683381255</v>
      </c>
      <c r="O69" s="296">
        <f ca="1">DSUM($B$25:$Y$30,O$25,$C$37:$D69)</f>
        <v>12.836411591290101</v>
      </c>
      <c r="P69" s="296">
        <f ca="1">DSUM($B$25:$Y$30,P$25,$C$37:$D69)</f>
        <v>13.656911134567125</v>
      </c>
      <c r="Q69" s="296">
        <f ca="1">DSUM($B$25:$Y$30,Q$25,$C$37:$D69)</f>
        <v>13.811707050126319</v>
      </c>
      <c r="R69" s="296">
        <f ca="1">DSUM($B$25:$Y$30,R$25,$C$37:$D69)</f>
        <v>13.966680755787612</v>
      </c>
      <c r="S69" s="296">
        <f ca="1">DSUM($B$25:$Y$30,S$25,$C$37:$D69)</f>
        <v>14.130703977645645</v>
      </c>
      <c r="T69" s="296">
        <f ca="1">DSUM($B$25:$Y$30,T$25,$C$37:$D69)</f>
        <v>14.273404239925501</v>
      </c>
      <c r="U69" s="296">
        <f ca="1">DSUM($B$25:$Y$30,U$25,$C$37:$D69)</f>
        <v>14.436147373048438</v>
      </c>
      <c r="V69" s="296">
        <f ca="1">DSUM($B$25:$Y$30,V$25,$C$37:$D69)</f>
        <v>14.600395795702457</v>
      </c>
      <c r="W69" s="296">
        <f ca="1">DSUM($B$25:$Y$30,W$25,$C$37:$D69)</f>
        <v>14.767654797418658</v>
      </c>
      <c r="X69" s="296">
        <f ca="1">DSUM($B$25:$Y$30,X$25,$C$37:$D69)</f>
        <v>14.938611833258477</v>
      </c>
      <c r="Y69" s="296">
        <f ca="1">DSUM($B$25:$Y$30,Y$25,$C$37:$D69)</f>
        <v>217.59677979669175</v>
      </c>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row>
    <row r="70" spans="1:79">
      <c r="C70" s="304"/>
      <c r="D70" s="304"/>
      <c r="E70" s="296"/>
      <c r="F70" s="296"/>
      <c r="G70" s="296"/>
      <c r="H70" s="296"/>
      <c r="I70" s="296"/>
      <c r="J70" s="296"/>
      <c r="K70" s="296"/>
      <c r="L70" s="296"/>
      <c r="M70" s="296"/>
      <c r="N70" s="296"/>
      <c r="O70" s="296"/>
      <c r="P70" s="296"/>
      <c r="Q70" s="296"/>
      <c r="R70" s="296"/>
      <c r="S70" s="296"/>
      <c r="T70" s="296"/>
      <c r="U70" s="296"/>
      <c r="V70" s="296"/>
      <c r="W70" s="296"/>
      <c r="X70" s="296"/>
      <c r="Y70" s="296"/>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row>
    <row r="71" spans="1:79">
      <c r="E71" s="305">
        <f ca="1">E69</f>
        <v>2.0812958793083616</v>
      </c>
      <c r="F71" s="305">
        <f t="shared" ref="F71:Y71" ca="1" si="14">F69</f>
        <v>3.3496508627580783</v>
      </c>
      <c r="G71" s="305">
        <f t="shared" ca="1" si="14"/>
        <v>4.6523718827649292</v>
      </c>
      <c r="H71" s="305">
        <f t="shared" ca="1" si="14"/>
        <v>6.3860515667302833</v>
      </c>
      <c r="I71" s="305">
        <f t="shared" ca="1" si="14"/>
        <v>7.4947160731100713</v>
      </c>
      <c r="J71" s="305">
        <f t="shared" ca="1" si="14"/>
        <v>8.6239182994504411</v>
      </c>
      <c r="K71" s="305">
        <f t="shared" ca="1" si="14"/>
        <v>9.7744464485373577</v>
      </c>
      <c r="L71" s="305">
        <f t="shared" ca="1" si="14"/>
        <v>10.510116407767125</v>
      </c>
      <c r="M71" s="305">
        <f t="shared" ca="1" si="14"/>
        <v>11.264477144113521</v>
      </c>
      <c r="N71" s="305">
        <f t="shared" ca="1" si="14"/>
        <v>12.041106683381255</v>
      </c>
      <c r="O71" s="305">
        <f t="shared" ca="1" si="14"/>
        <v>12.836411591290101</v>
      </c>
      <c r="P71" s="305">
        <f t="shared" ca="1" si="14"/>
        <v>13.656911134567125</v>
      </c>
      <c r="Q71" s="305">
        <f t="shared" ca="1" si="14"/>
        <v>13.811707050126319</v>
      </c>
      <c r="R71" s="305">
        <f t="shared" ca="1" si="14"/>
        <v>13.966680755787612</v>
      </c>
      <c r="S71" s="305">
        <f t="shared" ca="1" si="14"/>
        <v>14.130703977645645</v>
      </c>
      <c r="T71" s="305">
        <f t="shared" ca="1" si="14"/>
        <v>14.273404239925501</v>
      </c>
      <c r="U71" s="305">
        <f t="shared" ca="1" si="14"/>
        <v>14.436147373048438</v>
      </c>
      <c r="V71" s="305">
        <f t="shared" ca="1" si="14"/>
        <v>14.600395795702457</v>
      </c>
      <c r="W71" s="305">
        <f t="shared" ca="1" si="14"/>
        <v>14.767654797418658</v>
      </c>
      <c r="X71" s="305">
        <f t="shared" ca="1" si="14"/>
        <v>14.938611833258477</v>
      </c>
      <c r="Y71" s="305">
        <f t="shared" ca="1" si="14"/>
        <v>217.59677979669175</v>
      </c>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row>
    <row r="72" spans="1:79" ht="15">
      <c r="A72" s="248" t="s">
        <v>644</v>
      </c>
      <c r="B72" s="306"/>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row>
    <row r="73" spans="1:79" ht="15">
      <c r="D73" s="234" t="str">
        <f>C8</f>
        <v>Distribution System Efficiency</v>
      </c>
      <c r="E73" s="235">
        <f>E36</f>
        <v>2016</v>
      </c>
      <c r="F73" s="235">
        <f t="shared" ref="F73:Y73" si="15">F36</f>
        <v>2017</v>
      </c>
      <c r="G73" s="235">
        <f t="shared" si="15"/>
        <v>2018</v>
      </c>
      <c r="H73" s="235">
        <f t="shared" si="15"/>
        <v>2019</v>
      </c>
      <c r="I73" s="235">
        <f t="shared" si="15"/>
        <v>2020</v>
      </c>
      <c r="J73" s="235">
        <f t="shared" si="15"/>
        <v>2021</v>
      </c>
      <c r="K73" s="235">
        <f t="shared" si="15"/>
        <v>2022</v>
      </c>
      <c r="L73" s="235">
        <f t="shared" si="15"/>
        <v>2023</v>
      </c>
      <c r="M73" s="235">
        <f t="shared" si="15"/>
        <v>2024</v>
      </c>
      <c r="N73" s="235">
        <f t="shared" si="15"/>
        <v>2025</v>
      </c>
      <c r="O73" s="235">
        <f t="shared" si="15"/>
        <v>2026</v>
      </c>
      <c r="P73" s="235">
        <f t="shared" si="15"/>
        <v>2027</v>
      </c>
      <c r="Q73" s="235">
        <f t="shared" si="15"/>
        <v>2028</v>
      </c>
      <c r="R73" s="235">
        <f t="shared" si="15"/>
        <v>2029</v>
      </c>
      <c r="S73" s="235">
        <f t="shared" si="15"/>
        <v>2030</v>
      </c>
      <c r="T73" s="235">
        <f t="shared" si="15"/>
        <v>2031</v>
      </c>
      <c r="U73" s="235">
        <f t="shared" si="15"/>
        <v>2032</v>
      </c>
      <c r="V73" s="235">
        <f t="shared" si="15"/>
        <v>2033</v>
      </c>
      <c r="W73" s="235">
        <f t="shared" si="15"/>
        <v>2034</v>
      </c>
      <c r="X73" s="235">
        <f t="shared" si="15"/>
        <v>2035</v>
      </c>
      <c r="Y73" s="235" t="str">
        <f t="shared" si="15"/>
        <v>Max</v>
      </c>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row>
    <row r="74" spans="1:79" ht="15">
      <c r="E74" s="242" t="str">
        <f>CONCATENATE("aMW_",E$11)</f>
        <v>aMW_2016</v>
      </c>
      <c r="F74" s="242" t="str">
        <f t="shared" ref="F74:Y74" si="16">CONCATENATE("aMW_",F$11)</f>
        <v>aMW_2017</v>
      </c>
      <c r="G74" s="242" t="str">
        <f t="shared" si="16"/>
        <v>aMW_2018</v>
      </c>
      <c r="H74" s="242" t="str">
        <f t="shared" si="16"/>
        <v>aMW_2019</v>
      </c>
      <c r="I74" s="242" t="str">
        <f t="shared" si="16"/>
        <v>aMW_2020</v>
      </c>
      <c r="J74" s="242" t="str">
        <f t="shared" si="16"/>
        <v>aMW_2021</v>
      </c>
      <c r="K74" s="242" t="str">
        <f t="shared" si="16"/>
        <v>aMW_2022</v>
      </c>
      <c r="L74" s="242" t="str">
        <f t="shared" si="16"/>
        <v>aMW_2023</v>
      </c>
      <c r="M74" s="242" t="str">
        <f t="shared" si="16"/>
        <v>aMW_2024</v>
      </c>
      <c r="N74" s="242" t="str">
        <f t="shared" si="16"/>
        <v>aMW_2025</v>
      </c>
      <c r="O74" s="242" t="str">
        <f t="shared" si="16"/>
        <v>aMW_2026</v>
      </c>
      <c r="P74" s="242" t="str">
        <f t="shared" si="16"/>
        <v>aMW_2027</v>
      </c>
      <c r="Q74" s="242" t="str">
        <f t="shared" si="16"/>
        <v>aMW_2028</v>
      </c>
      <c r="R74" s="242" t="str">
        <f t="shared" si="16"/>
        <v>aMW_2029</v>
      </c>
      <c r="S74" s="242" t="str">
        <f t="shared" si="16"/>
        <v>aMW_2030</v>
      </c>
      <c r="T74" s="242" t="str">
        <f t="shared" si="16"/>
        <v>aMW_2031</v>
      </c>
      <c r="U74" s="242" t="str">
        <f t="shared" si="16"/>
        <v>aMW_2032</v>
      </c>
      <c r="V74" s="242" t="str">
        <f t="shared" si="16"/>
        <v>aMW_2033</v>
      </c>
      <c r="W74" s="242" t="str">
        <f t="shared" si="16"/>
        <v>aMW_2034</v>
      </c>
      <c r="X74" s="242" t="str">
        <f t="shared" si="16"/>
        <v>aMW_2035</v>
      </c>
      <c r="Y74" s="242" t="str">
        <f t="shared" si="16"/>
        <v>aMW_</v>
      </c>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row>
    <row r="75" spans="1:79">
      <c r="C75" s="251" t="s">
        <v>548</v>
      </c>
      <c r="E75" s="307">
        <f t="shared" ref="E75:Y75" ca="1" si="17">E38</f>
        <v>0.79429706145703194</v>
      </c>
      <c r="F75" s="307">
        <f t="shared" ca="1" si="17"/>
        <v>1.2783467567715106</v>
      </c>
      <c r="G75" s="307">
        <f t="shared" ca="1" si="17"/>
        <v>1.7755117626589036</v>
      </c>
      <c r="H75" s="307">
        <f t="shared" ca="1" si="17"/>
        <v>2.4371460320444984</v>
      </c>
      <c r="I75" s="307">
        <f t="shared" ca="1" si="17"/>
        <v>2.8602521210508409</v>
      </c>
      <c r="J75" s="307">
        <f t="shared" ca="1" si="17"/>
        <v>3.2911961396739651</v>
      </c>
      <c r="K75" s="307">
        <f t="shared" ca="1" si="17"/>
        <v>3.730278894331136</v>
      </c>
      <c r="L75" s="307">
        <f t="shared" ca="1" si="17"/>
        <v>4.0110369031408224</v>
      </c>
      <c r="M75" s="307">
        <f t="shared" ca="1" si="17"/>
        <v>4.2989279820188626</v>
      </c>
      <c r="N75" s="307">
        <f t="shared" ca="1" si="17"/>
        <v>4.5953176337804766</v>
      </c>
      <c r="O75" s="307">
        <f t="shared" ca="1" si="17"/>
        <v>4.8988344751842456</v>
      </c>
      <c r="P75" s="307">
        <f t="shared" ca="1" si="17"/>
        <v>5.2119664919392825</v>
      </c>
      <c r="Q75" s="307">
        <f t="shared" ca="1" si="17"/>
        <v>5.2710421582472753</v>
      </c>
      <c r="R75" s="307">
        <f t="shared" ca="1" si="17"/>
        <v>5.3301856756268311</v>
      </c>
      <c r="S75" s="307">
        <f t="shared" ca="1" si="17"/>
        <v>5.3927828125489699</v>
      </c>
      <c r="T75" s="307">
        <f t="shared" ca="1" si="17"/>
        <v>5.4472423442882558</v>
      </c>
      <c r="U75" s="307">
        <f t="shared" ca="1" si="17"/>
        <v>5.5093509534951384</v>
      </c>
      <c r="V75" s="307">
        <f t="shared" ca="1" si="17"/>
        <v>5.5720340351079249</v>
      </c>
      <c r="W75" s="307">
        <f t="shared" ca="1" si="17"/>
        <v>5.6358660615325205</v>
      </c>
      <c r="X75" s="307">
        <f t="shared" ca="1" si="17"/>
        <v>5.7011093902456391</v>
      </c>
      <c r="Y75" s="307">
        <f t="shared" ca="1" si="17"/>
        <v>83.042725685144134</v>
      </c>
      <c r="Z75" s="308"/>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row>
    <row r="76" spans="1:79">
      <c r="C76" s="251" t="s">
        <v>551</v>
      </c>
      <c r="E76" s="307">
        <f t="shared" ref="E76:Y88" ca="1" si="18">E39-E38</f>
        <v>0.47579063625843321</v>
      </c>
      <c r="F76" s="307">
        <f t="shared" ca="1" si="18"/>
        <v>0.76574048460850785</v>
      </c>
      <c r="G76" s="307">
        <f t="shared" ca="1" si="18"/>
        <v>1.063546514562437</v>
      </c>
      <c r="H76" s="307">
        <f t="shared" ca="1" si="18"/>
        <v>1.459871019935651</v>
      </c>
      <c r="I76" s="307">
        <f t="shared" ca="1" si="18"/>
        <v>1.7133151343125426</v>
      </c>
      <c r="J76" s="307">
        <f t="shared" ca="1" si="18"/>
        <v>1.9714542346087782</v>
      </c>
      <c r="K76" s="307">
        <f t="shared" ca="1" si="18"/>
        <v>2.2344685064042964</v>
      </c>
      <c r="L76" s="307">
        <f t="shared" ca="1" si="18"/>
        <v>2.402644920655626</v>
      </c>
      <c r="M76" s="307">
        <f t="shared" ca="1" si="18"/>
        <v>2.5750941040143625</v>
      </c>
      <c r="N76" s="307">
        <f t="shared" ca="1" si="18"/>
        <v>2.7526340041789092</v>
      </c>
      <c r="O76" s="307">
        <f t="shared" ca="1" si="18"/>
        <v>2.9344431510259934</v>
      </c>
      <c r="P76" s="307">
        <f t="shared" ca="1" si="18"/>
        <v>3.1220118689707288</v>
      </c>
      <c r="Q76" s="307">
        <f t="shared" ca="1" si="18"/>
        <v>3.1573986911358647</v>
      </c>
      <c r="R76" s="307">
        <f t="shared" ca="1" si="18"/>
        <v>3.1928261566648963</v>
      </c>
      <c r="S76" s="307">
        <f t="shared" ca="1" si="18"/>
        <v>3.2303223694162169</v>
      </c>
      <c r="T76" s="307">
        <f t="shared" ca="1" si="18"/>
        <v>3.2629440880576528</v>
      </c>
      <c r="U76" s="307">
        <f t="shared" ca="1" si="18"/>
        <v>3.3001476685889255</v>
      </c>
      <c r="V76" s="307">
        <f t="shared" ca="1" si="18"/>
        <v>3.3376953629345119</v>
      </c>
      <c r="W76" s="307">
        <f t="shared" ca="1" si="18"/>
        <v>3.3759312849087317</v>
      </c>
      <c r="X76" s="307">
        <f t="shared" ca="1" si="18"/>
        <v>3.4150125888519813</v>
      </c>
      <c r="Y76" s="307">
        <f t="shared" ca="1" si="18"/>
        <v>49.743292790095055</v>
      </c>
      <c r="Z76" s="308"/>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row>
    <row r="77" spans="1:79">
      <c r="C77" s="251" t="s">
        <v>554</v>
      </c>
      <c r="E77" s="307">
        <f t="shared" ca="1" si="18"/>
        <v>0</v>
      </c>
      <c r="F77" s="307">
        <f t="shared" ca="1" si="18"/>
        <v>0</v>
      </c>
      <c r="G77" s="307">
        <f t="shared" ca="1" si="18"/>
        <v>0</v>
      </c>
      <c r="H77" s="307">
        <f t="shared" ca="1" si="18"/>
        <v>0</v>
      </c>
      <c r="I77" s="307">
        <f t="shared" ca="1" si="18"/>
        <v>0</v>
      </c>
      <c r="J77" s="307">
        <f t="shared" ca="1" si="18"/>
        <v>0</v>
      </c>
      <c r="K77" s="307">
        <f t="shared" ca="1" si="18"/>
        <v>0</v>
      </c>
      <c r="L77" s="307">
        <f t="shared" ca="1" si="18"/>
        <v>0</v>
      </c>
      <c r="M77" s="307">
        <f t="shared" ca="1" si="18"/>
        <v>0</v>
      </c>
      <c r="N77" s="307">
        <f t="shared" ca="1" si="18"/>
        <v>0</v>
      </c>
      <c r="O77" s="307">
        <f t="shared" ca="1" si="18"/>
        <v>0</v>
      </c>
      <c r="P77" s="307">
        <f t="shared" ca="1" si="18"/>
        <v>0</v>
      </c>
      <c r="Q77" s="307">
        <f t="shared" ca="1" si="18"/>
        <v>0</v>
      </c>
      <c r="R77" s="307">
        <f t="shared" ca="1" si="18"/>
        <v>0</v>
      </c>
      <c r="S77" s="307">
        <f t="shared" ca="1" si="18"/>
        <v>0</v>
      </c>
      <c r="T77" s="307">
        <f t="shared" ca="1" si="18"/>
        <v>0</v>
      </c>
      <c r="U77" s="307">
        <f t="shared" ca="1" si="18"/>
        <v>0</v>
      </c>
      <c r="V77" s="307">
        <f t="shared" ca="1" si="18"/>
        <v>0</v>
      </c>
      <c r="W77" s="307">
        <f t="shared" ca="1" si="18"/>
        <v>0</v>
      </c>
      <c r="X77" s="307">
        <f t="shared" ca="1" si="18"/>
        <v>0</v>
      </c>
      <c r="Y77" s="307">
        <f t="shared" ca="1" si="18"/>
        <v>0</v>
      </c>
      <c r="Z77" s="308"/>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row>
    <row r="78" spans="1:79">
      <c r="C78" s="251" t="s">
        <v>557</v>
      </c>
      <c r="E78" s="307">
        <f t="shared" ca="1" si="18"/>
        <v>0</v>
      </c>
      <c r="F78" s="307">
        <f t="shared" ca="1" si="18"/>
        <v>0</v>
      </c>
      <c r="G78" s="307">
        <f t="shared" ca="1" si="18"/>
        <v>0</v>
      </c>
      <c r="H78" s="307">
        <f t="shared" ca="1" si="18"/>
        <v>0</v>
      </c>
      <c r="I78" s="307">
        <f t="shared" ca="1" si="18"/>
        <v>0</v>
      </c>
      <c r="J78" s="307">
        <f t="shared" ca="1" si="18"/>
        <v>0</v>
      </c>
      <c r="K78" s="307">
        <f t="shared" ca="1" si="18"/>
        <v>0</v>
      </c>
      <c r="L78" s="307">
        <f t="shared" ca="1" si="18"/>
        <v>0</v>
      </c>
      <c r="M78" s="307">
        <f t="shared" ca="1" si="18"/>
        <v>0</v>
      </c>
      <c r="N78" s="307">
        <f t="shared" ca="1" si="18"/>
        <v>0</v>
      </c>
      <c r="O78" s="307">
        <f t="shared" ca="1" si="18"/>
        <v>0</v>
      </c>
      <c r="P78" s="307">
        <f t="shared" ca="1" si="18"/>
        <v>0</v>
      </c>
      <c r="Q78" s="307">
        <f t="shared" ca="1" si="18"/>
        <v>0</v>
      </c>
      <c r="R78" s="307">
        <f t="shared" ca="1" si="18"/>
        <v>0</v>
      </c>
      <c r="S78" s="307">
        <f t="shared" ca="1" si="18"/>
        <v>0</v>
      </c>
      <c r="T78" s="307">
        <f t="shared" ca="1" si="18"/>
        <v>0</v>
      </c>
      <c r="U78" s="307">
        <f t="shared" ca="1" si="18"/>
        <v>0</v>
      </c>
      <c r="V78" s="307">
        <f t="shared" ca="1" si="18"/>
        <v>0</v>
      </c>
      <c r="W78" s="307">
        <f t="shared" ca="1" si="18"/>
        <v>0</v>
      </c>
      <c r="X78" s="307">
        <f t="shared" ca="1" si="18"/>
        <v>0</v>
      </c>
      <c r="Y78" s="307">
        <f t="shared" ca="1" si="18"/>
        <v>0</v>
      </c>
      <c r="Z78" s="30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row>
    <row r="79" spans="1:79">
      <c r="C79" s="251" t="s">
        <v>560</v>
      </c>
      <c r="E79" s="307">
        <f t="shared" ca="1" si="18"/>
        <v>0</v>
      </c>
      <c r="F79" s="307">
        <f t="shared" ca="1" si="18"/>
        <v>0</v>
      </c>
      <c r="G79" s="307">
        <f t="shared" ca="1" si="18"/>
        <v>0</v>
      </c>
      <c r="H79" s="307">
        <f t="shared" ca="1" si="18"/>
        <v>0</v>
      </c>
      <c r="I79" s="307">
        <f t="shared" ca="1" si="18"/>
        <v>0</v>
      </c>
      <c r="J79" s="307">
        <f t="shared" ca="1" si="18"/>
        <v>0</v>
      </c>
      <c r="K79" s="307">
        <f t="shared" ca="1" si="18"/>
        <v>0</v>
      </c>
      <c r="L79" s="307">
        <f t="shared" ca="1" si="18"/>
        <v>0</v>
      </c>
      <c r="M79" s="307">
        <f t="shared" ca="1" si="18"/>
        <v>0</v>
      </c>
      <c r="N79" s="307">
        <f t="shared" ca="1" si="18"/>
        <v>0</v>
      </c>
      <c r="O79" s="307">
        <f t="shared" ca="1" si="18"/>
        <v>0</v>
      </c>
      <c r="P79" s="307">
        <f t="shared" ca="1" si="18"/>
        <v>0</v>
      </c>
      <c r="Q79" s="307">
        <f t="shared" ca="1" si="18"/>
        <v>0</v>
      </c>
      <c r="R79" s="307">
        <f t="shared" ca="1" si="18"/>
        <v>0</v>
      </c>
      <c r="S79" s="307">
        <f t="shared" ca="1" si="18"/>
        <v>0</v>
      </c>
      <c r="T79" s="307">
        <f t="shared" ca="1" si="18"/>
        <v>0</v>
      </c>
      <c r="U79" s="307">
        <f t="shared" ca="1" si="18"/>
        <v>0</v>
      </c>
      <c r="V79" s="307">
        <f t="shared" ca="1" si="18"/>
        <v>0</v>
      </c>
      <c r="W79" s="307">
        <f t="shared" ca="1" si="18"/>
        <v>0</v>
      </c>
      <c r="X79" s="307">
        <f t="shared" ca="1" si="18"/>
        <v>0</v>
      </c>
      <c r="Y79" s="307">
        <f t="shared" ca="1" si="18"/>
        <v>0</v>
      </c>
      <c r="Z79" s="308"/>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row>
    <row r="80" spans="1:79">
      <c r="C80" s="251" t="s">
        <v>563</v>
      </c>
      <c r="E80" s="307">
        <f t="shared" ca="1" si="18"/>
        <v>0</v>
      </c>
      <c r="F80" s="307">
        <f t="shared" ca="1" si="18"/>
        <v>0</v>
      </c>
      <c r="G80" s="307">
        <f t="shared" ca="1" si="18"/>
        <v>0</v>
      </c>
      <c r="H80" s="307">
        <f t="shared" ca="1" si="18"/>
        <v>0</v>
      </c>
      <c r="I80" s="307">
        <f t="shared" ca="1" si="18"/>
        <v>0</v>
      </c>
      <c r="J80" s="307">
        <f t="shared" ca="1" si="18"/>
        <v>0</v>
      </c>
      <c r="K80" s="307">
        <f t="shared" ca="1" si="18"/>
        <v>0</v>
      </c>
      <c r="L80" s="307">
        <f t="shared" ca="1" si="18"/>
        <v>0</v>
      </c>
      <c r="M80" s="307">
        <f t="shared" ca="1" si="18"/>
        <v>0</v>
      </c>
      <c r="N80" s="307">
        <f t="shared" ca="1" si="18"/>
        <v>0</v>
      </c>
      <c r="O80" s="307">
        <f t="shared" ca="1" si="18"/>
        <v>0</v>
      </c>
      <c r="P80" s="307">
        <f t="shared" ca="1" si="18"/>
        <v>0</v>
      </c>
      <c r="Q80" s="307">
        <f t="shared" ca="1" si="18"/>
        <v>0</v>
      </c>
      <c r="R80" s="307">
        <f t="shared" ca="1" si="18"/>
        <v>0</v>
      </c>
      <c r="S80" s="307">
        <f t="shared" ca="1" si="18"/>
        <v>0</v>
      </c>
      <c r="T80" s="307">
        <f t="shared" ca="1" si="18"/>
        <v>0</v>
      </c>
      <c r="U80" s="307">
        <f t="shared" ca="1" si="18"/>
        <v>0</v>
      </c>
      <c r="V80" s="307">
        <f t="shared" ca="1" si="18"/>
        <v>0</v>
      </c>
      <c r="W80" s="307">
        <f t="shared" ca="1" si="18"/>
        <v>0</v>
      </c>
      <c r="X80" s="307">
        <f t="shared" ca="1" si="18"/>
        <v>0</v>
      </c>
      <c r="Y80" s="307">
        <f t="shared" ca="1" si="18"/>
        <v>0</v>
      </c>
      <c r="Z80" s="308"/>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row>
    <row r="81" spans="3:79">
      <c r="C81" s="251" t="s">
        <v>566</v>
      </c>
      <c r="E81" s="307">
        <f t="shared" ca="1" si="18"/>
        <v>0.52262049822135515</v>
      </c>
      <c r="F81" s="307">
        <f t="shared" ca="1" si="18"/>
        <v>0.84110876313461125</v>
      </c>
      <c r="G81" s="307">
        <f t="shared" ca="1" si="18"/>
        <v>1.1682264571097996</v>
      </c>
      <c r="H81" s="307">
        <f t="shared" ca="1" si="18"/>
        <v>1.6035593423559411</v>
      </c>
      <c r="I81" s="307">
        <f t="shared" ca="1" si="18"/>
        <v>1.8819487834944502</v>
      </c>
      <c r="J81" s="307">
        <f t="shared" ca="1" si="18"/>
        <v>2.1654953162050132</v>
      </c>
      <c r="K81" s="307">
        <f t="shared" ca="1" si="18"/>
        <v>2.4543968608971172</v>
      </c>
      <c r="L81" s="307">
        <f t="shared" ca="1" si="18"/>
        <v>2.6391260983118912</v>
      </c>
      <c r="M81" s="307">
        <f t="shared" ca="1" si="18"/>
        <v>2.8285486536474629</v>
      </c>
      <c r="N81" s="307">
        <f t="shared" ca="1" si="18"/>
        <v>3.0235629813942717</v>
      </c>
      <c r="O81" s="307">
        <f t="shared" ca="1" si="18"/>
        <v>3.2232667579410892</v>
      </c>
      <c r="P81" s="307">
        <f t="shared" ca="1" si="18"/>
        <v>3.4292969934116595</v>
      </c>
      <c r="Q81" s="307">
        <f t="shared" ca="1" si="18"/>
        <v>3.4681667760871839</v>
      </c>
      <c r="R81" s="307">
        <f t="shared" ca="1" si="18"/>
        <v>3.5070812024640947</v>
      </c>
      <c r="S81" s="307">
        <f t="shared" ca="1" si="18"/>
        <v>3.5482679932416765</v>
      </c>
      <c r="T81" s="307">
        <f t="shared" ca="1" si="18"/>
        <v>3.5841005160994062</v>
      </c>
      <c r="U81" s="307">
        <f t="shared" ca="1" si="18"/>
        <v>3.6249658722269942</v>
      </c>
      <c r="V81" s="307">
        <f t="shared" ca="1" si="18"/>
        <v>3.6662092116929994</v>
      </c>
      <c r="W81" s="307">
        <f t="shared" ca="1" si="18"/>
        <v>3.7082085178358515</v>
      </c>
      <c r="X81" s="307">
        <f t="shared" ca="1" si="18"/>
        <v>3.7511364129675826</v>
      </c>
      <c r="Y81" s="307">
        <f t="shared" ca="1" si="18"/>
        <v>54.63929400874045</v>
      </c>
      <c r="Z81" s="308"/>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row>
    <row r="82" spans="3:79">
      <c r="C82" s="251" t="s">
        <v>569</v>
      </c>
      <c r="E82" s="307">
        <f t="shared" ca="1" si="18"/>
        <v>0</v>
      </c>
      <c r="F82" s="307">
        <f t="shared" ca="1" si="18"/>
        <v>0</v>
      </c>
      <c r="G82" s="307">
        <f t="shared" ca="1" si="18"/>
        <v>0</v>
      </c>
      <c r="H82" s="307">
        <f t="shared" ca="1" si="18"/>
        <v>0</v>
      </c>
      <c r="I82" s="307">
        <f t="shared" ca="1" si="18"/>
        <v>0</v>
      </c>
      <c r="J82" s="307">
        <f t="shared" ca="1" si="18"/>
        <v>0</v>
      </c>
      <c r="K82" s="307">
        <f t="shared" ca="1" si="18"/>
        <v>0</v>
      </c>
      <c r="L82" s="307">
        <f t="shared" ca="1" si="18"/>
        <v>0</v>
      </c>
      <c r="M82" s="307">
        <f t="shared" ca="1" si="18"/>
        <v>0</v>
      </c>
      <c r="N82" s="307">
        <f t="shared" ca="1" si="18"/>
        <v>0</v>
      </c>
      <c r="O82" s="307">
        <f t="shared" ca="1" si="18"/>
        <v>0</v>
      </c>
      <c r="P82" s="307">
        <f t="shared" ca="1" si="18"/>
        <v>0</v>
      </c>
      <c r="Q82" s="307">
        <f t="shared" ca="1" si="18"/>
        <v>0</v>
      </c>
      <c r="R82" s="307">
        <f t="shared" ca="1" si="18"/>
        <v>0</v>
      </c>
      <c r="S82" s="307">
        <f t="shared" ca="1" si="18"/>
        <v>0</v>
      </c>
      <c r="T82" s="307">
        <f t="shared" ca="1" si="18"/>
        <v>0</v>
      </c>
      <c r="U82" s="307">
        <f t="shared" ca="1" si="18"/>
        <v>0</v>
      </c>
      <c r="V82" s="307">
        <f t="shared" ca="1" si="18"/>
        <v>0</v>
      </c>
      <c r="W82" s="307">
        <f t="shared" ca="1" si="18"/>
        <v>0</v>
      </c>
      <c r="X82" s="307">
        <f t="shared" ca="1" si="18"/>
        <v>0</v>
      </c>
      <c r="Y82" s="307">
        <f t="shared" ca="1" si="18"/>
        <v>0</v>
      </c>
      <c r="Z82" s="308"/>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row>
    <row r="83" spans="3:79">
      <c r="C83" s="251" t="s">
        <v>572</v>
      </c>
      <c r="E83" s="307">
        <f t="shared" ca="1" si="18"/>
        <v>0</v>
      </c>
      <c r="F83" s="307">
        <f t="shared" ca="1" si="18"/>
        <v>0</v>
      </c>
      <c r="G83" s="307">
        <f t="shared" ca="1" si="18"/>
        <v>0</v>
      </c>
      <c r="H83" s="307">
        <f t="shared" ca="1" si="18"/>
        <v>0</v>
      </c>
      <c r="I83" s="307">
        <f t="shared" ca="1" si="18"/>
        <v>0</v>
      </c>
      <c r="J83" s="307">
        <f t="shared" ca="1" si="18"/>
        <v>0</v>
      </c>
      <c r="K83" s="307">
        <f t="shared" ca="1" si="18"/>
        <v>0</v>
      </c>
      <c r="L83" s="307">
        <f t="shared" ca="1" si="18"/>
        <v>0</v>
      </c>
      <c r="M83" s="307">
        <f t="shared" ca="1" si="18"/>
        <v>0</v>
      </c>
      <c r="N83" s="307">
        <f t="shared" ca="1" si="18"/>
        <v>0</v>
      </c>
      <c r="O83" s="307">
        <f t="shared" ca="1" si="18"/>
        <v>0</v>
      </c>
      <c r="P83" s="307">
        <f t="shared" ca="1" si="18"/>
        <v>0</v>
      </c>
      <c r="Q83" s="307">
        <f t="shared" ca="1" si="18"/>
        <v>0</v>
      </c>
      <c r="R83" s="307">
        <f t="shared" ca="1" si="18"/>
        <v>0</v>
      </c>
      <c r="S83" s="307">
        <f t="shared" ca="1" si="18"/>
        <v>0</v>
      </c>
      <c r="T83" s="307">
        <f t="shared" ca="1" si="18"/>
        <v>0</v>
      </c>
      <c r="U83" s="307">
        <f t="shared" ca="1" si="18"/>
        <v>0</v>
      </c>
      <c r="V83" s="307">
        <f t="shared" ca="1" si="18"/>
        <v>0</v>
      </c>
      <c r="W83" s="307">
        <f t="shared" ca="1" si="18"/>
        <v>0</v>
      </c>
      <c r="X83" s="307">
        <f t="shared" ca="1" si="18"/>
        <v>0</v>
      </c>
      <c r="Y83" s="307">
        <f t="shared" ca="1" si="18"/>
        <v>0</v>
      </c>
      <c r="Z83" s="308"/>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row>
    <row r="84" spans="3:79">
      <c r="C84" s="251" t="s">
        <v>575</v>
      </c>
      <c r="E84" s="307">
        <f t="shared" ca="1" si="18"/>
        <v>0</v>
      </c>
      <c r="F84" s="307">
        <f t="shared" ca="1" si="18"/>
        <v>0</v>
      </c>
      <c r="G84" s="307">
        <f t="shared" ca="1" si="18"/>
        <v>0</v>
      </c>
      <c r="H84" s="307">
        <f t="shared" ca="1" si="18"/>
        <v>0</v>
      </c>
      <c r="I84" s="307">
        <f t="shared" ca="1" si="18"/>
        <v>0</v>
      </c>
      <c r="J84" s="307">
        <f t="shared" ca="1" si="18"/>
        <v>0</v>
      </c>
      <c r="K84" s="307">
        <f t="shared" ca="1" si="18"/>
        <v>0</v>
      </c>
      <c r="L84" s="307">
        <f t="shared" ca="1" si="18"/>
        <v>0</v>
      </c>
      <c r="M84" s="307">
        <f t="shared" ca="1" si="18"/>
        <v>0</v>
      </c>
      <c r="N84" s="307">
        <f t="shared" ca="1" si="18"/>
        <v>0</v>
      </c>
      <c r="O84" s="307">
        <f t="shared" ca="1" si="18"/>
        <v>0</v>
      </c>
      <c r="P84" s="307">
        <f t="shared" ca="1" si="18"/>
        <v>0</v>
      </c>
      <c r="Q84" s="307">
        <f t="shared" ca="1" si="18"/>
        <v>0</v>
      </c>
      <c r="R84" s="307">
        <f t="shared" ca="1" si="18"/>
        <v>0</v>
      </c>
      <c r="S84" s="307">
        <f t="shared" ca="1" si="18"/>
        <v>0</v>
      </c>
      <c r="T84" s="307">
        <f t="shared" ca="1" si="18"/>
        <v>0</v>
      </c>
      <c r="U84" s="307">
        <f t="shared" ca="1" si="18"/>
        <v>0</v>
      </c>
      <c r="V84" s="307">
        <f t="shared" ca="1" si="18"/>
        <v>0</v>
      </c>
      <c r="W84" s="307">
        <f t="shared" ca="1" si="18"/>
        <v>0</v>
      </c>
      <c r="X84" s="307">
        <f t="shared" ca="1" si="18"/>
        <v>0</v>
      </c>
      <c r="Y84" s="307">
        <f t="shared" ca="1" si="18"/>
        <v>0</v>
      </c>
      <c r="Z84" s="308"/>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row>
    <row r="85" spans="3:79">
      <c r="C85" s="251" t="s">
        <v>578</v>
      </c>
      <c r="E85" s="307">
        <f t="shared" ca="1" si="18"/>
        <v>0.26784230461463165</v>
      </c>
      <c r="F85" s="307">
        <f t="shared" ca="1" si="18"/>
        <v>0.43106711335711489</v>
      </c>
      <c r="G85" s="307">
        <f t="shared" ca="1" si="18"/>
        <v>0.59871449292359458</v>
      </c>
      <c r="H85" s="307">
        <f t="shared" ca="1" si="18"/>
        <v>0.8218220129227003</v>
      </c>
      <c r="I85" s="307">
        <f t="shared" ca="1" si="18"/>
        <v>0.96449622824468761</v>
      </c>
      <c r="J85" s="307">
        <f t="shared" ca="1" si="18"/>
        <v>1.1098134460827804</v>
      </c>
      <c r="K85" s="307">
        <f t="shared" ca="1" si="18"/>
        <v>1.2578751003814723</v>
      </c>
      <c r="L85" s="307">
        <f t="shared" ca="1" si="18"/>
        <v>1.3525485868736151</v>
      </c>
      <c r="M85" s="307">
        <f t="shared" ca="1" si="18"/>
        <v>1.4496273925074163</v>
      </c>
      <c r="N85" s="307">
        <f t="shared" ca="1" si="18"/>
        <v>1.5495719740045928</v>
      </c>
      <c r="O85" s="307">
        <f t="shared" ca="1" si="18"/>
        <v>1.6519198917242104</v>
      </c>
      <c r="P85" s="307">
        <f t="shared" ca="1" si="18"/>
        <v>1.7575101111598066</v>
      </c>
      <c r="Q85" s="307">
        <f t="shared" ca="1" si="18"/>
        <v>1.7774308226648348</v>
      </c>
      <c r="R85" s="307">
        <f t="shared" ca="1" si="18"/>
        <v>1.797374414006967</v>
      </c>
      <c r="S85" s="307">
        <f t="shared" ca="1" si="18"/>
        <v>1.8184825890576821</v>
      </c>
      <c r="T85" s="307">
        <f t="shared" ca="1" si="18"/>
        <v>1.8368467089784168</v>
      </c>
      <c r="U85" s="307">
        <f t="shared" ca="1" si="18"/>
        <v>1.8577901492019837</v>
      </c>
      <c r="V85" s="307">
        <f t="shared" ca="1" si="18"/>
        <v>1.8789273053796975</v>
      </c>
      <c r="W85" s="307">
        <f t="shared" ca="1" si="18"/>
        <v>1.9004518934657018</v>
      </c>
      <c r="X85" s="307">
        <f t="shared" ca="1" si="18"/>
        <v>1.9224523821634634</v>
      </c>
      <c r="Y85" s="307">
        <f t="shared" ca="1" si="18"/>
        <v>28.002564919715354</v>
      </c>
      <c r="Z85" s="308"/>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row>
    <row r="86" spans="3:79">
      <c r="C86" s="251" t="s">
        <v>581</v>
      </c>
      <c r="E86" s="307">
        <f t="shared" ca="1" si="18"/>
        <v>0</v>
      </c>
      <c r="F86" s="307">
        <f t="shared" ca="1" si="18"/>
        <v>0</v>
      </c>
      <c r="G86" s="307">
        <f t="shared" ca="1" si="18"/>
        <v>0</v>
      </c>
      <c r="H86" s="307">
        <f t="shared" ca="1" si="18"/>
        <v>0</v>
      </c>
      <c r="I86" s="307">
        <f t="shared" ca="1" si="18"/>
        <v>0</v>
      </c>
      <c r="J86" s="307">
        <f t="shared" ca="1" si="18"/>
        <v>0</v>
      </c>
      <c r="K86" s="307">
        <f t="shared" ca="1" si="18"/>
        <v>0</v>
      </c>
      <c r="L86" s="307">
        <f t="shared" ca="1" si="18"/>
        <v>0</v>
      </c>
      <c r="M86" s="307">
        <f t="shared" ca="1" si="18"/>
        <v>0</v>
      </c>
      <c r="N86" s="307">
        <f t="shared" ca="1" si="18"/>
        <v>0</v>
      </c>
      <c r="O86" s="307">
        <f t="shared" ca="1" si="18"/>
        <v>0</v>
      </c>
      <c r="P86" s="307">
        <f t="shared" ca="1" si="18"/>
        <v>0</v>
      </c>
      <c r="Q86" s="307">
        <f t="shared" ca="1" si="18"/>
        <v>0</v>
      </c>
      <c r="R86" s="307">
        <f t="shared" ca="1" si="18"/>
        <v>0</v>
      </c>
      <c r="S86" s="307">
        <f t="shared" ca="1" si="18"/>
        <v>0</v>
      </c>
      <c r="T86" s="307">
        <f t="shared" ca="1" si="18"/>
        <v>0</v>
      </c>
      <c r="U86" s="307">
        <f t="shared" ca="1" si="18"/>
        <v>0</v>
      </c>
      <c r="V86" s="307">
        <f t="shared" ca="1" si="18"/>
        <v>0</v>
      </c>
      <c r="W86" s="307">
        <f t="shared" ca="1" si="18"/>
        <v>0</v>
      </c>
      <c r="X86" s="307">
        <f t="shared" ca="1" si="18"/>
        <v>0</v>
      </c>
      <c r="Y86" s="307">
        <f t="shared" ca="1" si="18"/>
        <v>0</v>
      </c>
      <c r="Z86" s="308"/>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row>
    <row r="87" spans="3:79">
      <c r="C87" s="251" t="s">
        <v>584</v>
      </c>
      <c r="E87" s="307">
        <f t="shared" ca="1" si="18"/>
        <v>0</v>
      </c>
      <c r="F87" s="307">
        <f t="shared" ca="1" si="18"/>
        <v>0</v>
      </c>
      <c r="G87" s="307">
        <f t="shared" ca="1" si="18"/>
        <v>0</v>
      </c>
      <c r="H87" s="307">
        <f t="shared" ca="1" si="18"/>
        <v>0</v>
      </c>
      <c r="I87" s="307">
        <f t="shared" ca="1" si="18"/>
        <v>0</v>
      </c>
      <c r="J87" s="307">
        <f t="shared" ca="1" si="18"/>
        <v>0</v>
      </c>
      <c r="K87" s="307">
        <f t="shared" ca="1" si="18"/>
        <v>0</v>
      </c>
      <c r="L87" s="307">
        <f t="shared" ca="1" si="18"/>
        <v>0</v>
      </c>
      <c r="M87" s="307">
        <f t="shared" ca="1" si="18"/>
        <v>0</v>
      </c>
      <c r="N87" s="307">
        <f t="shared" ca="1" si="18"/>
        <v>0</v>
      </c>
      <c r="O87" s="307">
        <f t="shared" ca="1" si="18"/>
        <v>0</v>
      </c>
      <c r="P87" s="307">
        <f t="shared" ca="1" si="18"/>
        <v>0</v>
      </c>
      <c r="Q87" s="307">
        <f t="shared" ca="1" si="18"/>
        <v>0</v>
      </c>
      <c r="R87" s="307">
        <f t="shared" ca="1" si="18"/>
        <v>0</v>
      </c>
      <c r="S87" s="307">
        <f t="shared" ca="1" si="18"/>
        <v>0</v>
      </c>
      <c r="T87" s="307">
        <f t="shared" ca="1" si="18"/>
        <v>0</v>
      </c>
      <c r="U87" s="307">
        <f t="shared" ca="1" si="18"/>
        <v>0</v>
      </c>
      <c r="V87" s="307">
        <f t="shared" ca="1" si="18"/>
        <v>0</v>
      </c>
      <c r="W87" s="307">
        <f t="shared" ca="1" si="18"/>
        <v>0</v>
      </c>
      <c r="X87" s="307">
        <f t="shared" ca="1" si="18"/>
        <v>0</v>
      </c>
      <c r="Y87" s="307">
        <f t="shared" ca="1" si="18"/>
        <v>0</v>
      </c>
      <c r="Z87" s="308"/>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row>
    <row r="88" spans="3:79">
      <c r="C88" s="251" t="s">
        <v>587</v>
      </c>
      <c r="E88" s="307">
        <f t="shared" ca="1" si="18"/>
        <v>0</v>
      </c>
      <c r="F88" s="307">
        <f t="shared" ca="1" si="18"/>
        <v>0</v>
      </c>
      <c r="G88" s="307">
        <f t="shared" ca="1" si="18"/>
        <v>0</v>
      </c>
      <c r="H88" s="307">
        <f t="shared" ref="H88:Y88" ca="1" si="19">H51-H50</f>
        <v>0</v>
      </c>
      <c r="I88" s="307">
        <f t="shared" ca="1" si="19"/>
        <v>0</v>
      </c>
      <c r="J88" s="307">
        <f t="shared" ca="1" si="19"/>
        <v>0</v>
      </c>
      <c r="K88" s="307">
        <f t="shared" ca="1" si="19"/>
        <v>0</v>
      </c>
      <c r="L88" s="307">
        <f t="shared" ca="1" si="19"/>
        <v>0</v>
      </c>
      <c r="M88" s="307">
        <f t="shared" ca="1" si="19"/>
        <v>0</v>
      </c>
      <c r="N88" s="307">
        <f t="shared" ca="1" si="19"/>
        <v>0</v>
      </c>
      <c r="O88" s="307">
        <f t="shared" ca="1" si="19"/>
        <v>0</v>
      </c>
      <c r="P88" s="307">
        <f t="shared" ca="1" si="19"/>
        <v>0</v>
      </c>
      <c r="Q88" s="307">
        <f t="shared" ca="1" si="19"/>
        <v>0</v>
      </c>
      <c r="R88" s="307">
        <f t="shared" ca="1" si="19"/>
        <v>0</v>
      </c>
      <c r="S88" s="307">
        <f t="shared" ca="1" si="19"/>
        <v>0</v>
      </c>
      <c r="T88" s="307">
        <f t="shared" ca="1" si="19"/>
        <v>0</v>
      </c>
      <c r="U88" s="307">
        <f t="shared" ca="1" si="19"/>
        <v>0</v>
      </c>
      <c r="V88" s="307">
        <f t="shared" ca="1" si="19"/>
        <v>0</v>
      </c>
      <c r="W88" s="307">
        <f t="shared" ca="1" si="19"/>
        <v>0</v>
      </c>
      <c r="X88" s="307">
        <f t="shared" ca="1" si="19"/>
        <v>0</v>
      </c>
      <c r="Y88" s="307">
        <f t="shared" ca="1" si="19"/>
        <v>0</v>
      </c>
      <c r="Z88" s="30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row>
    <row r="89" spans="3:79">
      <c r="C89" s="251" t="s">
        <v>590</v>
      </c>
      <c r="E89" s="307">
        <f t="shared" ref="E89:Y101" ca="1" si="20">E52-E51</f>
        <v>0</v>
      </c>
      <c r="F89" s="307">
        <f t="shared" ca="1" si="20"/>
        <v>0</v>
      </c>
      <c r="G89" s="307">
        <f t="shared" ca="1" si="20"/>
        <v>0</v>
      </c>
      <c r="H89" s="307">
        <f t="shared" ca="1" si="20"/>
        <v>0</v>
      </c>
      <c r="I89" s="307">
        <f t="shared" ca="1" si="20"/>
        <v>0</v>
      </c>
      <c r="J89" s="307">
        <f t="shared" ca="1" si="20"/>
        <v>0</v>
      </c>
      <c r="K89" s="307">
        <f t="shared" ca="1" si="20"/>
        <v>0</v>
      </c>
      <c r="L89" s="307">
        <f t="shared" ca="1" si="20"/>
        <v>0</v>
      </c>
      <c r="M89" s="307">
        <f t="shared" ca="1" si="20"/>
        <v>0</v>
      </c>
      <c r="N89" s="307">
        <f t="shared" ca="1" si="20"/>
        <v>0</v>
      </c>
      <c r="O89" s="307">
        <f t="shared" ca="1" si="20"/>
        <v>0</v>
      </c>
      <c r="P89" s="307">
        <f t="shared" ca="1" si="20"/>
        <v>0</v>
      </c>
      <c r="Q89" s="307">
        <f t="shared" ca="1" si="20"/>
        <v>0</v>
      </c>
      <c r="R89" s="307">
        <f t="shared" ca="1" si="20"/>
        <v>0</v>
      </c>
      <c r="S89" s="307">
        <f t="shared" ca="1" si="20"/>
        <v>0</v>
      </c>
      <c r="T89" s="307">
        <f t="shared" ca="1" si="20"/>
        <v>0</v>
      </c>
      <c r="U89" s="307">
        <f t="shared" ca="1" si="20"/>
        <v>0</v>
      </c>
      <c r="V89" s="307">
        <f t="shared" ca="1" si="20"/>
        <v>0</v>
      </c>
      <c r="W89" s="307">
        <f t="shared" ca="1" si="20"/>
        <v>0</v>
      </c>
      <c r="X89" s="307">
        <f t="shared" ca="1" si="20"/>
        <v>0</v>
      </c>
      <c r="Y89" s="307">
        <f t="shared" ca="1" si="20"/>
        <v>0</v>
      </c>
      <c r="Z89" s="308"/>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row>
    <row r="90" spans="3:79">
      <c r="C90" s="251" t="s">
        <v>593</v>
      </c>
      <c r="E90" s="307">
        <f t="shared" ca="1" si="20"/>
        <v>0</v>
      </c>
      <c r="F90" s="307">
        <f t="shared" ca="1" si="20"/>
        <v>0</v>
      </c>
      <c r="G90" s="307">
        <f t="shared" ca="1" si="20"/>
        <v>0</v>
      </c>
      <c r="H90" s="307">
        <f t="shared" ca="1" si="20"/>
        <v>0</v>
      </c>
      <c r="I90" s="307">
        <f t="shared" ca="1" si="20"/>
        <v>0</v>
      </c>
      <c r="J90" s="307">
        <f t="shared" ca="1" si="20"/>
        <v>0</v>
      </c>
      <c r="K90" s="307">
        <f t="shared" ca="1" si="20"/>
        <v>0</v>
      </c>
      <c r="L90" s="307">
        <f t="shared" ca="1" si="20"/>
        <v>0</v>
      </c>
      <c r="M90" s="307">
        <f t="shared" ca="1" si="20"/>
        <v>0</v>
      </c>
      <c r="N90" s="307">
        <f t="shared" ca="1" si="20"/>
        <v>0</v>
      </c>
      <c r="O90" s="307">
        <f t="shared" ca="1" si="20"/>
        <v>0</v>
      </c>
      <c r="P90" s="307">
        <f t="shared" ca="1" si="20"/>
        <v>0</v>
      </c>
      <c r="Q90" s="307">
        <f t="shared" ca="1" si="20"/>
        <v>0</v>
      </c>
      <c r="R90" s="307">
        <f t="shared" ca="1" si="20"/>
        <v>0</v>
      </c>
      <c r="S90" s="307">
        <f t="shared" ca="1" si="20"/>
        <v>0</v>
      </c>
      <c r="T90" s="307">
        <f t="shared" ca="1" si="20"/>
        <v>0</v>
      </c>
      <c r="U90" s="307">
        <f t="shared" ca="1" si="20"/>
        <v>0</v>
      </c>
      <c r="V90" s="307">
        <f t="shared" ca="1" si="20"/>
        <v>0</v>
      </c>
      <c r="W90" s="307">
        <f t="shared" ca="1" si="20"/>
        <v>0</v>
      </c>
      <c r="X90" s="307">
        <f t="shared" ca="1" si="20"/>
        <v>0</v>
      </c>
      <c r="Y90" s="307">
        <f t="shared" ca="1" si="20"/>
        <v>0</v>
      </c>
      <c r="Z90" s="308"/>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row>
    <row r="91" spans="3:79">
      <c r="C91" s="251" t="s">
        <v>596</v>
      </c>
      <c r="E91" s="307">
        <f t="shared" ca="1" si="20"/>
        <v>0</v>
      </c>
      <c r="F91" s="307">
        <f t="shared" ca="1" si="20"/>
        <v>0</v>
      </c>
      <c r="G91" s="307">
        <f t="shared" ca="1" si="20"/>
        <v>0</v>
      </c>
      <c r="H91" s="307">
        <f t="shared" ca="1" si="20"/>
        <v>0</v>
      </c>
      <c r="I91" s="307">
        <f t="shared" ca="1" si="20"/>
        <v>0</v>
      </c>
      <c r="J91" s="307">
        <f t="shared" ca="1" si="20"/>
        <v>0</v>
      </c>
      <c r="K91" s="307">
        <f t="shared" ca="1" si="20"/>
        <v>0</v>
      </c>
      <c r="L91" s="307">
        <f t="shared" ca="1" si="20"/>
        <v>0</v>
      </c>
      <c r="M91" s="307">
        <f t="shared" ca="1" si="20"/>
        <v>0</v>
      </c>
      <c r="N91" s="307">
        <f t="shared" ca="1" si="20"/>
        <v>0</v>
      </c>
      <c r="O91" s="307">
        <f t="shared" ca="1" si="20"/>
        <v>0</v>
      </c>
      <c r="P91" s="307">
        <f t="shared" ca="1" si="20"/>
        <v>0</v>
      </c>
      <c r="Q91" s="307">
        <f t="shared" ca="1" si="20"/>
        <v>0</v>
      </c>
      <c r="R91" s="307">
        <f t="shared" ca="1" si="20"/>
        <v>0</v>
      </c>
      <c r="S91" s="307">
        <f t="shared" ca="1" si="20"/>
        <v>0</v>
      </c>
      <c r="T91" s="307">
        <f t="shared" ca="1" si="20"/>
        <v>0</v>
      </c>
      <c r="U91" s="307">
        <f t="shared" ca="1" si="20"/>
        <v>0</v>
      </c>
      <c r="V91" s="307">
        <f t="shared" ca="1" si="20"/>
        <v>0</v>
      </c>
      <c r="W91" s="307">
        <f t="shared" ca="1" si="20"/>
        <v>0</v>
      </c>
      <c r="X91" s="307">
        <f t="shared" ca="1" si="20"/>
        <v>0</v>
      </c>
      <c r="Y91" s="307">
        <f t="shared" ca="1" si="20"/>
        <v>0</v>
      </c>
      <c r="Z91" s="308"/>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row>
    <row r="92" spans="3:79">
      <c r="C92" s="251" t="s">
        <v>599</v>
      </c>
      <c r="E92" s="307">
        <f t="shared" ca="1" si="20"/>
        <v>0</v>
      </c>
      <c r="F92" s="307">
        <f t="shared" ca="1" si="20"/>
        <v>0</v>
      </c>
      <c r="G92" s="307">
        <f t="shared" ca="1" si="20"/>
        <v>0</v>
      </c>
      <c r="H92" s="307">
        <f t="shared" ca="1" si="20"/>
        <v>0</v>
      </c>
      <c r="I92" s="307">
        <f t="shared" ca="1" si="20"/>
        <v>0</v>
      </c>
      <c r="J92" s="307">
        <f t="shared" ca="1" si="20"/>
        <v>0</v>
      </c>
      <c r="K92" s="307">
        <f t="shared" ca="1" si="20"/>
        <v>0</v>
      </c>
      <c r="L92" s="307">
        <f t="shared" ca="1" si="20"/>
        <v>0</v>
      </c>
      <c r="M92" s="307">
        <f t="shared" ca="1" si="20"/>
        <v>0</v>
      </c>
      <c r="N92" s="307">
        <f t="shared" ca="1" si="20"/>
        <v>0</v>
      </c>
      <c r="O92" s="307">
        <f t="shared" ca="1" si="20"/>
        <v>0</v>
      </c>
      <c r="P92" s="307">
        <f t="shared" ca="1" si="20"/>
        <v>0</v>
      </c>
      <c r="Q92" s="307">
        <f t="shared" ca="1" si="20"/>
        <v>0</v>
      </c>
      <c r="R92" s="307">
        <f t="shared" ca="1" si="20"/>
        <v>0</v>
      </c>
      <c r="S92" s="307">
        <f t="shared" ca="1" si="20"/>
        <v>0</v>
      </c>
      <c r="T92" s="307">
        <f t="shared" ca="1" si="20"/>
        <v>0</v>
      </c>
      <c r="U92" s="307">
        <f t="shared" ca="1" si="20"/>
        <v>0</v>
      </c>
      <c r="V92" s="307">
        <f t="shared" ca="1" si="20"/>
        <v>0</v>
      </c>
      <c r="W92" s="307">
        <f t="shared" ca="1" si="20"/>
        <v>0</v>
      </c>
      <c r="X92" s="307">
        <f t="shared" ca="1" si="20"/>
        <v>0</v>
      </c>
      <c r="Y92" s="307">
        <f t="shared" ca="1" si="20"/>
        <v>0</v>
      </c>
      <c r="Z92" s="308"/>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row>
    <row r="93" spans="3:79">
      <c r="C93" s="251" t="s">
        <v>602</v>
      </c>
      <c r="E93" s="307">
        <f t="shared" ca="1" si="20"/>
        <v>0</v>
      </c>
      <c r="F93" s="307">
        <f t="shared" ca="1" si="20"/>
        <v>0</v>
      </c>
      <c r="G93" s="307">
        <f t="shared" ca="1" si="20"/>
        <v>0</v>
      </c>
      <c r="H93" s="307">
        <f t="shared" ca="1" si="20"/>
        <v>0</v>
      </c>
      <c r="I93" s="307">
        <f t="shared" ca="1" si="20"/>
        <v>0</v>
      </c>
      <c r="J93" s="307">
        <f t="shared" ca="1" si="20"/>
        <v>0</v>
      </c>
      <c r="K93" s="307">
        <f t="shared" ca="1" si="20"/>
        <v>0</v>
      </c>
      <c r="L93" s="307">
        <f t="shared" ca="1" si="20"/>
        <v>0</v>
      </c>
      <c r="M93" s="307">
        <f t="shared" ca="1" si="20"/>
        <v>0</v>
      </c>
      <c r="N93" s="307">
        <f t="shared" ca="1" si="20"/>
        <v>0</v>
      </c>
      <c r="O93" s="307">
        <f t="shared" ca="1" si="20"/>
        <v>0</v>
      </c>
      <c r="P93" s="307">
        <f t="shared" ca="1" si="20"/>
        <v>0</v>
      </c>
      <c r="Q93" s="307">
        <f t="shared" ca="1" si="20"/>
        <v>0</v>
      </c>
      <c r="R93" s="307">
        <f t="shared" ca="1" si="20"/>
        <v>0</v>
      </c>
      <c r="S93" s="307">
        <f t="shared" ca="1" si="20"/>
        <v>0</v>
      </c>
      <c r="T93" s="307">
        <f t="shared" ca="1" si="20"/>
        <v>0</v>
      </c>
      <c r="U93" s="307">
        <f t="shared" ca="1" si="20"/>
        <v>0</v>
      </c>
      <c r="V93" s="307">
        <f t="shared" ca="1" si="20"/>
        <v>0</v>
      </c>
      <c r="W93" s="307">
        <f t="shared" ca="1" si="20"/>
        <v>0</v>
      </c>
      <c r="X93" s="307">
        <f t="shared" ca="1" si="20"/>
        <v>0</v>
      </c>
      <c r="Y93" s="307">
        <f t="shared" ca="1" si="20"/>
        <v>0</v>
      </c>
      <c r="Z93" s="308"/>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row>
    <row r="94" spans="3:79">
      <c r="C94" s="251" t="s">
        <v>605</v>
      </c>
      <c r="E94" s="307">
        <f t="shared" ca="1" si="20"/>
        <v>0</v>
      </c>
      <c r="F94" s="307">
        <f t="shared" ca="1" si="20"/>
        <v>0</v>
      </c>
      <c r="G94" s="307">
        <f t="shared" ca="1" si="20"/>
        <v>0</v>
      </c>
      <c r="H94" s="307">
        <f t="shared" ca="1" si="20"/>
        <v>0</v>
      </c>
      <c r="I94" s="307">
        <f t="shared" ca="1" si="20"/>
        <v>0</v>
      </c>
      <c r="J94" s="307">
        <f t="shared" ca="1" si="20"/>
        <v>0</v>
      </c>
      <c r="K94" s="307">
        <f t="shared" ca="1" si="20"/>
        <v>0</v>
      </c>
      <c r="L94" s="307">
        <f t="shared" ca="1" si="20"/>
        <v>0</v>
      </c>
      <c r="M94" s="307">
        <f t="shared" ca="1" si="20"/>
        <v>0</v>
      </c>
      <c r="N94" s="307">
        <f t="shared" ca="1" si="20"/>
        <v>0</v>
      </c>
      <c r="O94" s="307">
        <f t="shared" ca="1" si="20"/>
        <v>0</v>
      </c>
      <c r="P94" s="307">
        <f t="shared" ca="1" si="20"/>
        <v>0</v>
      </c>
      <c r="Q94" s="307">
        <f t="shared" ca="1" si="20"/>
        <v>0</v>
      </c>
      <c r="R94" s="307">
        <f t="shared" ca="1" si="20"/>
        <v>0</v>
      </c>
      <c r="S94" s="307">
        <f t="shared" ca="1" si="20"/>
        <v>0</v>
      </c>
      <c r="T94" s="307">
        <f t="shared" ca="1" si="20"/>
        <v>0</v>
      </c>
      <c r="U94" s="307">
        <f t="shared" ca="1" si="20"/>
        <v>0</v>
      </c>
      <c r="V94" s="307">
        <f t="shared" ca="1" si="20"/>
        <v>0</v>
      </c>
      <c r="W94" s="307">
        <f t="shared" ca="1" si="20"/>
        <v>0</v>
      </c>
      <c r="X94" s="307">
        <f t="shared" ca="1" si="20"/>
        <v>0</v>
      </c>
      <c r="Y94" s="307">
        <f t="shared" ca="1" si="20"/>
        <v>0</v>
      </c>
      <c r="Z94" s="308"/>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row>
    <row r="95" spans="3:79">
      <c r="C95" s="251" t="s">
        <v>608</v>
      </c>
      <c r="E95" s="307">
        <f t="shared" ca="1" si="20"/>
        <v>0</v>
      </c>
      <c r="F95" s="307">
        <f t="shared" ca="1" si="20"/>
        <v>0</v>
      </c>
      <c r="G95" s="307">
        <f t="shared" ca="1" si="20"/>
        <v>0</v>
      </c>
      <c r="H95" s="307">
        <f t="shared" ca="1" si="20"/>
        <v>0</v>
      </c>
      <c r="I95" s="307">
        <f t="shared" ca="1" si="20"/>
        <v>0</v>
      </c>
      <c r="J95" s="307">
        <f t="shared" ca="1" si="20"/>
        <v>0</v>
      </c>
      <c r="K95" s="307">
        <f t="shared" ca="1" si="20"/>
        <v>0</v>
      </c>
      <c r="L95" s="307">
        <f t="shared" ca="1" si="20"/>
        <v>0</v>
      </c>
      <c r="M95" s="307">
        <f t="shared" ca="1" si="20"/>
        <v>0</v>
      </c>
      <c r="N95" s="307">
        <f t="shared" ca="1" si="20"/>
        <v>0</v>
      </c>
      <c r="O95" s="307">
        <f t="shared" ca="1" si="20"/>
        <v>0</v>
      </c>
      <c r="P95" s="307">
        <f t="shared" ca="1" si="20"/>
        <v>0</v>
      </c>
      <c r="Q95" s="307">
        <f t="shared" ca="1" si="20"/>
        <v>0</v>
      </c>
      <c r="R95" s="307">
        <f t="shared" ca="1" si="20"/>
        <v>0</v>
      </c>
      <c r="S95" s="307">
        <f t="shared" ca="1" si="20"/>
        <v>0</v>
      </c>
      <c r="T95" s="307">
        <f t="shared" ca="1" si="20"/>
        <v>0</v>
      </c>
      <c r="U95" s="307">
        <f t="shared" ca="1" si="20"/>
        <v>0</v>
      </c>
      <c r="V95" s="307">
        <f t="shared" ca="1" si="20"/>
        <v>0</v>
      </c>
      <c r="W95" s="307">
        <f t="shared" ca="1" si="20"/>
        <v>0</v>
      </c>
      <c r="X95" s="307">
        <f t="shared" ca="1" si="20"/>
        <v>0</v>
      </c>
      <c r="Y95" s="307">
        <f t="shared" ca="1" si="20"/>
        <v>0</v>
      </c>
      <c r="Z95" s="308"/>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row>
    <row r="96" spans="3:79">
      <c r="C96" s="251" t="s">
        <v>611</v>
      </c>
      <c r="E96" s="307">
        <f t="shared" ca="1" si="20"/>
        <v>0</v>
      </c>
      <c r="F96" s="307">
        <f t="shared" ca="1" si="20"/>
        <v>0</v>
      </c>
      <c r="G96" s="307">
        <f t="shared" ca="1" si="20"/>
        <v>0</v>
      </c>
      <c r="H96" s="307">
        <f t="shared" ca="1" si="20"/>
        <v>0</v>
      </c>
      <c r="I96" s="307">
        <f t="shared" ca="1" si="20"/>
        <v>0</v>
      </c>
      <c r="J96" s="307">
        <f t="shared" ca="1" si="20"/>
        <v>0</v>
      </c>
      <c r="K96" s="307">
        <f t="shared" ca="1" si="20"/>
        <v>0</v>
      </c>
      <c r="L96" s="307">
        <f t="shared" ca="1" si="20"/>
        <v>0</v>
      </c>
      <c r="M96" s="307">
        <f t="shared" ca="1" si="20"/>
        <v>0</v>
      </c>
      <c r="N96" s="307">
        <f t="shared" ca="1" si="20"/>
        <v>0</v>
      </c>
      <c r="O96" s="307">
        <f t="shared" ca="1" si="20"/>
        <v>0</v>
      </c>
      <c r="P96" s="307">
        <f t="shared" ca="1" si="20"/>
        <v>0</v>
      </c>
      <c r="Q96" s="307">
        <f t="shared" ca="1" si="20"/>
        <v>0</v>
      </c>
      <c r="R96" s="307">
        <f t="shared" ca="1" si="20"/>
        <v>0</v>
      </c>
      <c r="S96" s="307">
        <f t="shared" ca="1" si="20"/>
        <v>0</v>
      </c>
      <c r="T96" s="307">
        <f t="shared" ca="1" si="20"/>
        <v>0</v>
      </c>
      <c r="U96" s="307">
        <f t="shared" ca="1" si="20"/>
        <v>0</v>
      </c>
      <c r="V96" s="307">
        <f t="shared" ca="1" si="20"/>
        <v>0</v>
      </c>
      <c r="W96" s="307">
        <f t="shared" ca="1" si="20"/>
        <v>0</v>
      </c>
      <c r="X96" s="307">
        <f t="shared" ca="1" si="20"/>
        <v>0</v>
      </c>
      <c r="Y96" s="307">
        <f t="shared" ca="1" si="20"/>
        <v>0</v>
      </c>
      <c r="Z96" s="308"/>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row>
    <row r="97" spans="3:79">
      <c r="C97" s="251" t="s">
        <v>614</v>
      </c>
      <c r="E97" s="307">
        <f t="shared" ca="1" si="20"/>
        <v>0</v>
      </c>
      <c r="F97" s="307">
        <f t="shared" ca="1" si="20"/>
        <v>0</v>
      </c>
      <c r="G97" s="307">
        <f t="shared" ca="1" si="20"/>
        <v>0</v>
      </c>
      <c r="H97" s="307">
        <f t="shared" ca="1" si="20"/>
        <v>0</v>
      </c>
      <c r="I97" s="307">
        <f t="shared" ca="1" si="20"/>
        <v>0</v>
      </c>
      <c r="J97" s="307">
        <f t="shared" ca="1" si="20"/>
        <v>0</v>
      </c>
      <c r="K97" s="307">
        <f t="shared" ca="1" si="20"/>
        <v>0</v>
      </c>
      <c r="L97" s="307">
        <f t="shared" ca="1" si="20"/>
        <v>0</v>
      </c>
      <c r="M97" s="307">
        <f t="shared" ca="1" si="20"/>
        <v>0</v>
      </c>
      <c r="N97" s="307">
        <f t="shared" ca="1" si="20"/>
        <v>0</v>
      </c>
      <c r="O97" s="307">
        <f t="shared" ca="1" si="20"/>
        <v>0</v>
      </c>
      <c r="P97" s="307">
        <f t="shared" ca="1" si="20"/>
        <v>0</v>
      </c>
      <c r="Q97" s="307">
        <f t="shared" ca="1" si="20"/>
        <v>0</v>
      </c>
      <c r="R97" s="307">
        <f t="shared" ca="1" si="20"/>
        <v>0</v>
      </c>
      <c r="S97" s="307">
        <f t="shared" ca="1" si="20"/>
        <v>0</v>
      </c>
      <c r="T97" s="307">
        <f t="shared" ca="1" si="20"/>
        <v>0</v>
      </c>
      <c r="U97" s="307">
        <f t="shared" ca="1" si="20"/>
        <v>0</v>
      </c>
      <c r="V97" s="307">
        <f t="shared" ca="1" si="20"/>
        <v>0</v>
      </c>
      <c r="W97" s="307">
        <f t="shared" ca="1" si="20"/>
        <v>0</v>
      </c>
      <c r="X97" s="307">
        <f t="shared" ca="1" si="20"/>
        <v>0</v>
      </c>
      <c r="Y97" s="307">
        <f t="shared" ca="1" si="20"/>
        <v>0</v>
      </c>
      <c r="Z97" s="308"/>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row>
    <row r="98" spans="3:79">
      <c r="C98" s="251" t="s">
        <v>617</v>
      </c>
      <c r="E98" s="307">
        <f t="shared" ca="1" si="20"/>
        <v>0</v>
      </c>
      <c r="F98" s="307">
        <f t="shared" ca="1" si="20"/>
        <v>0</v>
      </c>
      <c r="G98" s="307">
        <f t="shared" ca="1" si="20"/>
        <v>0</v>
      </c>
      <c r="H98" s="307">
        <f t="shared" ca="1" si="20"/>
        <v>0</v>
      </c>
      <c r="I98" s="307">
        <f t="shared" ca="1" si="20"/>
        <v>0</v>
      </c>
      <c r="J98" s="307">
        <f t="shared" ca="1" si="20"/>
        <v>0</v>
      </c>
      <c r="K98" s="307">
        <f t="shared" ca="1" si="20"/>
        <v>0</v>
      </c>
      <c r="L98" s="307">
        <f t="shared" ca="1" si="20"/>
        <v>0</v>
      </c>
      <c r="M98" s="307">
        <f t="shared" ca="1" si="20"/>
        <v>0</v>
      </c>
      <c r="N98" s="307">
        <f t="shared" ca="1" si="20"/>
        <v>0</v>
      </c>
      <c r="O98" s="307">
        <f t="shared" ca="1" si="20"/>
        <v>0</v>
      </c>
      <c r="P98" s="307">
        <f t="shared" ca="1" si="20"/>
        <v>0</v>
      </c>
      <c r="Q98" s="307">
        <f t="shared" ca="1" si="20"/>
        <v>0</v>
      </c>
      <c r="R98" s="307">
        <f t="shared" ca="1" si="20"/>
        <v>0</v>
      </c>
      <c r="S98" s="307">
        <f t="shared" ca="1" si="20"/>
        <v>0</v>
      </c>
      <c r="T98" s="307">
        <f t="shared" ca="1" si="20"/>
        <v>0</v>
      </c>
      <c r="U98" s="307">
        <f t="shared" ca="1" si="20"/>
        <v>0</v>
      </c>
      <c r="V98" s="307">
        <f t="shared" ca="1" si="20"/>
        <v>0</v>
      </c>
      <c r="W98" s="307">
        <f t="shared" ca="1" si="20"/>
        <v>0</v>
      </c>
      <c r="X98" s="307">
        <f t="shared" ca="1" si="20"/>
        <v>0</v>
      </c>
      <c r="Y98" s="307">
        <f t="shared" ca="1" si="20"/>
        <v>0</v>
      </c>
      <c r="Z98" s="30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row>
    <row r="99" spans="3:79">
      <c r="C99" s="251" t="s">
        <v>620</v>
      </c>
      <c r="E99" s="307">
        <f t="shared" ca="1" si="20"/>
        <v>0</v>
      </c>
      <c r="F99" s="307">
        <f t="shared" ca="1" si="20"/>
        <v>0</v>
      </c>
      <c r="G99" s="307">
        <f t="shared" ca="1" si="20"/>
        <v>0</v>
      </c>
      <c r="H99" s="307">
        <f t="shared" ca="1" si="20"/>
        <v>0</v>
      </c>
      <c r="I99" s="307">
        <f t="shared" ca="1" si="20"/>
        <v>0</v>
      </c>
      <c r="J99" s="307">
        <f t="shared" ca="1" si="20"/>
        <v>0</v>
      </c>
      <c r="K99" s="307">
        <f t="shared" ca="1" si="20"/>
        <v>0</v>
      </c>
      <c r="L99" s="307">
        <f t="shared" ca="1" si="20"/>
        <v>0</v>
      </c>
      <c r="M99" s="307">
        <f t="shared" ca="1" si="20"/>
        <v>0</v>
      </c>
      <c r="N99" s="307">
        <f t="shared" ca="1" si="20"/>
        <v>0</v>
      </c>
      <c r="O99" s="307">
        <f t="shared" ca="1" si="20"/>
        <v>0</v>
      </c>
      <c r="P99" s="307">
        <f t="shared" ca="1" si="20"/>
        <v>0</v>
      </c>
      <c r="Q99" s="307">
        <f t="shared" ca="1" si="20"/>
        <v>0</v>
      </c>
      <c r="R99" s="307">
        <f t="shared" ca="1" si="20"/>
        <v>0</v>
      </c>
      <c r="S99" s="307">
        <f t="shared" ca="1" si="20"/>
        <v>0</v>
      </c>
      <c r="T99" s="307">
        <f t="shared" ca="1" si="20"/>
        <v>0</v>
      </c>
      <c r="U99" s="307">
        <f t="shared" ca="1" si="20"/>
        <v>0</v>
      </c>
      <c r="V99" s="307">
        <f t="shared" ca="1" si="20"/>
        <v>0</v>
      </c>
      <c r="W99" s="307">
        <f t="shared" ca="1" si="20"/>
        <v>0</v>
      </c>
      <c r="X99" s="307">
        <f t="shared" ca="1" si="20"/>
        <v>0</v>
      </c>
      <c r="Y99" s="307">
        <f t="shared" ca="1" si="20"/>
        <v>0</v>
      </c>
      <c r="Z99" s="308"/>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row>
    <row r="100" spans="3:79">
      <c r="C100" s="251" t="s">
        <v>623</v>
      </c>
      <c r="E100" s="307">
        <f t="shared" ca="1" si="20"/>
        <v>0</v>
      </c>
      <c r="F100" s="307">
        <f t="shared" ca="1" si="20"/>
        <v>0</v>
      </c>
      <c r="G100" s="307">
        <f t="shared" ca="1" si="20"/>
        <v>0</v>
      </c>
      <c r="H100" s="307">
        <f t="shared" ca="1" si="20"/>
        <v>0</v>
      </c>
      <c r="I100" s="307">
        <f t="shared" ca="1" si="20"/>
        <v>0</v>
      </c>
      <c r="J100" s="307">
        <f t="shared" ca="1" si="20"/>
        <v>0</v>
      </c>
      <c r="K100" s="307">
        <f t="shared" ca="1" si="20"/>
        <v>0</v>
      </c>
      <c r="L100" s="307">
        <f t="shared" ca="1" si="20"/>
        <v>0</v>
      </c>
      <c r="M100" s="307">
        <f t="shared" ca="1" si="20"/>
        <v>0</v>
      </c>
      <c r="N100" s="307">
        <f t="shared" ca="1" si="20"/>
        <v>0</v>
      </c>
      <c r="O100" s="307">
        <f t="shared" ca="1" si="20"/>
        <v>0</v>
      </c>
      <c r="P100" s="307">
        <f t="shared" ca="1" si="20"/>
        <v>0</v>
      </c>
      <c r="Q100" s="307">
        <f t="shared" ca="1" si="20"/>
        <v>0</v>
      </c>
      <c r="R100" s="307">
        <f t="shared" ca="1" si="20"/>
        <v>0</v>
      </c>
      <c r="S100" s="307">
        <f t="shared" ca="1" si="20"/>
        <v>0</v>
      </c>
      <c r="T100" s="307">
        <f t="shared" ca="1" si="20"/>
        <v>0</v>
      </c>
      <c r="U100" s="307">
        <f t="shared" ca="1" si="20"/>
        <v>0</v>
      </c>
      <c r="V100" s="307">
        <f t="shared" ca="1" si="20"/>
        <v>0</v>
      </c>
      <c r="W100" s="307">
        <f t="shared" ca="1" si="20"/>
        <v>0</v>
      </c>
      <c r="X100" s="307">
        <f t="shared" ca="1" si="20"/>
        <v>0</v>
      </c>
      <c r="Y100" s="307">
        <f t="shared" ca="1" si="20"/>
        <v>0</v>
      </c>
      <c r="Z100" s="308"/>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row>
    <row r="101" spans="3:79">
      <c r="C101" s="251" t="s">
        <v>626</v>
      </c>
      <c r="E101" s="307">
        <f t="shared" ca="1" si="20"/>
        <v>0</v>
      </c>
      <c r="F101" s="307">
        <f t="shared" ca="1" si="20"/>
        <v>0</v>
      </c>
      <c r="G101" s="307">
        <f t="shared" ca="1" si="20"/>
        <v>0</v>
      </c>
      <c r="H101" s="307">
        <f t="shared" ref="H101:Y101" ca="1" si="21">H64-H63</f>
        <v>0</v>
      </c>
      <c r="I101" s="307">
        <f t="shared" ca="1" si="21"/>
        <v>0</v>
      </c>
      <c r="J101" s="307">
        <f t="shared" ca="1" si="21"/>
        <v>0</v>
      </c>
      <c r="K101" s="307">
        <f t="shared" ca="1" si="21"/>
        <v>0</v>
      </c>
      <c r="L101" s="307">
        <f t="shared" ca="1" si="21"/>
        <v>0</v>
      </c>
      <c r="M101" s="307">
        <f t="shared" ca="1" si="21"/>
        <v>0</v>
      </c>
      <c r="N101" s="307">
        <f t="shared" ca="1" si="21"/>
        <v>0</v>
      </c>
      <c r="O101" s="307">
        <f t="shared" ca="1" si="21"/>
        <v>0</v>
      </c>
      <c r="P101" s="307">
        <f t="shared" ca="1" si="21"/>
        <v>0</v>
      </c>
      <c r="Q101" s="307">
        <f t="shared" ca="1" si="21"/>
        <v>0</v>
      </c>
      <c r="R101" s="307">
        <f t="shared" ca="1" si="21"/>
        <v>0</v>
      </c>
      <c r="S101" s="307">
        <f t="shared" ca="1" si="21"/>
        <v>0</v>
      </c>
      <c r="T101" s="307">
        <f t="shared" ca="1" si="21"/>
        <v>0</v>
      </c>
      <c r="U101" s="307">
        <f t="shared" ca="1" si="21"/>
        <v>0</v>
      </c>
      <c r="V101" s="307">
        <f t="shared" ca="1" si="21"/>
        <v>0</v>
      </c>
      <c r="W101" s="307">
        <f t="shared" ca="1" si="21"/>
        <v>0</v>
      </c>
      <c r="X101" s="307">
        <f t="shared" ca="1" si="21"/>
        <v>0</v>
      </c>
      <c r="Y101" s="307">
        <f t="shared" ca="1" si="21"/>
        <v>0</v>
      </c>
      <c r="Z101" s="308"/>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row>
    <row r="102" spans="3:79">
      <c r="C102" s="251" t="s">
        <v>629</v>
      </c>
      <c r="E102" s="307">
        <f t="shared" ref="E102:Y106" ca="1" si="22">E65-E64</f>
        <v>0</v>
      </c>
      <c r="F102" s="307">
        <f t="shared" ca="1" si="22"/>
        <v>0</v>
      </c>
      <c r="G102" s="307">
        <f t="shared" ca="1" si="22"/>
        <v>0</v>
      </c>
      <c r="H102" s="307">
        <f t="shared" ca="1" si="22"/>
        <v>0</v>
      </c>
      <c r="I102" s="307">
        <f t="shared" ca="1" si="22"/>
        <v>0</v>
      </c>
      <c r="J102" s="307">
        <f t="shared" ca="1" si="22"/>
        <v>0</v>
      </c>
      <c r="K102" s="307">
        <f t="shared" ca="1" si="22"/>
        <v>0</v>
      </c>
      <c r="L102" s="307">
        <f t="shared" ca="1" si="22"/>
        <v>0</v>
      </c>
      <c r="M102" s="307">
        <f t="shared" ca="1" si="22"/>
        <v>0</v>
      </c>
      <c r="N102" s="307">
        <f t="shared" ca="1" si="22"/>
        <v>0</v>
      </c>
      <c r="O102" s="307">
        <f t="shared" ca="1" si="22"/>
        <v>0</v>
      </c>
      <c r="P102" s="307">
        <f t="shared" ca="1" si="22"/>
        <v>0</v>
      </c>
      <c r="Q102" s="307">
        <f t="shared" ca="1" si="22"/>
        <v>0</v>
      </c>
      <c r="R102" s="307">
        <f t="shared" ca="1" si="22"/>
        <v>0</v>
      </c>
      <c r="S102" s="307">
        <f t="shared" ca="1" si="22"/>
        <v>0</v>
      </c>
      <c r="T102" s="307">
        <f t="shared" ca="1" si="22"/>
        <v>0</v>
      </c>
      <c r="U102" s="307">
        <f t="shared" ca="1" si="22"/>
        <v>0</v>
      </c>
      <c r="V102" s="307">
        <f t="shared" ca="1" si="22"/>
        <v>0</v>
      </c>
      <c r="W102" s="307">
        <f t="shared" ca="1" si="22"/>
        <v>0</v>
      </c>
      <c r="X102" s="307">
        <f t="shared" ca="1" si="22"/>
        <v>0</v>
      </c>
      <c r="Y102" s="307">
        <f t="shared" ca="1" si="22"/>
        <v>0</v>
      </c>
      <c r="Z102" s="308"/>
    </row>
    <row r="103" spans="3:79">
      <c r="C103" s="251" t="s">
        <v>632</v>
      </c>
      <c r="E103" s="307">
        <f t="shared" ca="1" si="22"/>
        <v>0</v>
      </c>
      <c r="F103" s="307">
        <f t="shared" ca="1" si="22"/>
        <v>0</v>
      </c>
      <c r="G103" s="307">
        <f t="shared" ca="1" si="22"/>
        <v>0</v>
      </c>
      <c r="H103" s="307">
        <f t="shared" ca="1" si="22"/>
        <v>0</v>
      </c>
      <c r="I103" s="307">
        <f t="shared" ca="1" si="22"/>
        <v>0</v>
      </c>
      <c r="J103" s="307">
        <f t="shared" ca="1" si="22"/>
        <v>0</v>
      </c>
      <c r="K103" s="307">
        <f t="shared" ca="1" si="22"/>
        <v>0</v>
      </c>
      <c r="L103" s="307">
        <f t="shared" ca="1" si="22"/>
        <v>0</v>
      </c>
      <c r="M103" s="307">
        <f t="shared" ca="1" si="22"/>
        <v>0</v>
      </c>
      <c r="N103" s="307">
        <f t="shared" ca="1" si="22"/>
        <v>0</v>
      </c>
      <c r="O103" s="307">
        <f t="shared" ca="1" si="22"/>
        <v>0</v>
      </c>
      <c r="P103" s="307">
        <f t="shared" ca="1" si="22"/>
        <v>0</v>
      </c>
      <c r="Q103" s="307">
        <f t="shared" ca="1" si="22"/>
        <v>0</v>
      </c>
      <c r="R103" s="307">
        <f t="shared" ca="1" si="22"/>
        <v>0</v>
      </c>
      <c r="S103" s="307">
        <f t="shared" ca="1" si="22"/>
        <v>0</v>
      </c>
      <c r="T103" s="307">
        <f t="shared" ca="1" si="22"/>
        <v>0</v>
      </c>
      <c r="U103" s="307">
        <f t="shared" ca="1" si="22"/>
        <v>0</v>
      </c>
      <c r="V103" s="307">
        <f t="shared" ca="1" si="22"/>
        <v>0</v>
      </c>
      <c r="W103" s="307">
        <f t="shared" ca="1" si="22"/>
        <v>0</v>
      </c>
      <c r="X103" s="307">
        <f t="shared" ca="1" si="22"/>
        <v>0</v>
      </c>
      <c r="Y103" s="307">
        <f t="shared" ca="1" si="22"/>
        <v>0</v>
      </c>
      <c r="Z103" s="308"/>
    </row>
    <row r="104" spans="3:79">
      <c r="C104" s="251" t="s">
        <v>635</v>
      </c>
      <c r="E104" s="307">
        <f t="shared" ca="1" si="22"/>
        <v>0</v>
      </c>
      <c r="F104" s="307">
        <f t="shared" ca="1" si="22"/>
        <v>0</v>
      </c>
      <c r="G104" s="307">
        <f t="shared" ca="1" si="22"/>
        <v>0</v>
      </c>
      <c r="H104" s="307">
        <f t="shared" ca="1" si="22"/>
        <v>0</v>
      </c>
      <c r="I104" s="307">
        <f t="shared" ca="1" si="22"/>
        <v>0</v>
      </c>
      <c r="J104" s="307">
        <f t="shared" ca="1" si="22"/>
        <v>0</v>
      </c>
      <c r="K104" s="307">
        <f t="shared" ca="1" si="22"/>
        <v>0</v>
      </c>
      <c r="L104" s="307">
        <f t="shared" ca="1" si="22"/>
        <v>0</v>
      </c>
      <c r="M104" s="307">
        <f t="shared" ca="1" si="22"/>
        <v>0</v>
      </c>
      <c r="N104" s="307">
        <f t="shared" ca="1" si="22"/>
        <v>0</v>
      </c>
      <c r="O104" s="307">
        <f t="shared" ca="1" si="22"/>
        <v>0</v>
      </c>
      <c r="P104" s="307">
        <f t="shared" ca="1" si="22"/>
        <v>0</v>
      </c>
      <c r="Q104" s="307">
        <f t="shared" ca="1" si="22"/>
        <v>0</v>
      </c>
      <c r="R104" s="307">
        <f t="shared" ca="1" si="22"/>
        <v>0</v>
      </c>
      <c r="S104" s="307">
        <f t="shared" ca="1" si="22"/>
        <v>0</v>
      </c>
      <c r="T104" s="307">
        <f t="shared" ca="1" si="22"/>
        <v>0</v>
      </c>
      <c r="U104" s="307">
        <f t="shared" ca="1" si="22"/>
        <v>0</v>
      </c>
      <c r="V104" s="307">
        <f t="shared" ca="1" si="22"/>
        <v>0</v>
      </c>
      <c r="W104" s="307">
        <f t="shared" ca="1" si="22"/>
        <v>0</v>
      </c>
      <c r="X104" s="307">
        <f t="shared" ca="1" si="22"/>
        <v>0</v>
      </c>
      <c r="Y104" s="307">
        <f t="shared" ca="1" si="22"/>
        <v>0</v>
      </c>
      <c r="Z104" s="308"/>
    </row>
    <row r="105" spans="3:79">
      <c r="C105" s="251" t="s">
        <v>638</v>
      </c>
      <c r="E105" s="307">
        <f t="shared" ca="1" si="22"/>
        <v>0</v>
      </c>
      <c r="F105" s="307">
        <f t="shared" ca="1" si="22"/>
        <v>0</v>
      </c>
      <c r="G105" s="307">
        <f t="shared" ca="1" si="22"/>
        <v>0</v>
      </c>
      <c r="H105" s="307">
        <f t="shared" ca="1" si="22"/>
        <v>0</v>
      </c>
      <c r="I105" s="307">
        <f t="shared" ca="1" si="22"/>
        <v>0</v>
      </c>
      <c r="J105" s="307">
        <f t="shared" ca="1" si="22"/>
        <v>0</v>
      </c>
      <c r="K105" s="307">
        <f t="shared" ca="1" si="22"/>
        <v>0</v>
      </c>
      <c r="L105" s="307">
        <f t="shared" ca="1" si="22"/>
        <v>0</v>
      </c>
      <c r="M105" s="307">
        <f t="shared" ca="1" si="22"/>
        <v>0</v>
      </c>
      <c r="N105" s="307">
        <f t="shared" ca="1" si="22"/>
        <v>0</v>
      </c>
      <c r="O105" s="307">
        <f t="shared" ca="1" si="22"/>
        <v>0</v>
      </c>
      <c r="P105" s="307">
        <f t="shared" ca="1" si="22"/>
        <v>0</v>
      </c>
      <c r="Q105" s="307">
        <f t="shared" ca="1" si="22"/>
        <v>0</v>
      </c>
      <c r="R105" s="307">
        <f t="shared" ca="1" si="22"/>
        <v>0</v>
      </c>
      <c r="S105" s="307">
        <f t="shared" ca="1" si="22"/>
        <v>0</v>
      </c>
      <c r="T105" s="307">
        <f t="shared" ca="1" si="22"/>
        <v>0</v>
      </c>
      <c r="U105" s="307">
        <f t="shared" ca="1" si="22"/>
        <v>0</v>
      </c>
      <c r="V105" s="307">
        <f t="shared" ca="1" si="22"/>
        <v>0</v>
      </c>
      <c r="W105" s="307">
        <f t="shared" ca="1" si="22"/>
        <v>0</v>
      </c>
      <c r="X105" s="307">
        <f t="shared" ca="1" si="22"/>
        <v>0</v>
      </c>
      <c r="Y105" s="307">
        <f t="shared" ca="1" si="22"/>
        <v>0</v>
      </c>
      <c r="Z105" s="308"/>
    </row>
    <row r="106" spans="3:79">
      <c r="C106" s="251" t="s">
        <v>641</v>
      </c>
      <c r="E106" s="307">
        <f t="shared" ca="1" si="22"/>
        <v>2.0745378756909627E-2</v>
      </c>
      <c r="F106" s="307">
        <f t="shared" ca="1" si="22"/>
        <v>3.3387744886333781E-2</v>
      </c>
      <c r="G106" s="307">
        <f t="shared" ca="1" si="22"/>
        <v>4.6372655510194427E-2</v>
      </c>
      <c r="H106" s="307">
        <f t="shared" ca="1" si="22"/>
        <v>6.3653159471492415E-2</v>
      </c>
      <c r="I106" s="307">
        <f t="shared" ca="1" si="22"/>
        <v>7.470380600755E-2</v>
      </c>
      <c r="J106" s="307">
        <f t="shared" ca="1" si="22"/>
        <v>8.5959162879904127E-2</v>
      </c>
      <c r="K106" s="307">
        <f t="shared" ca="1" si="22"/>
        <v>9.742708652333576E-2</v>
      </c>
      <c r="L106" s="307">
        <f t="shared" ca="1" si="22"/>
        <v>0.10475989878517034</v>
      </c>
      <c r="M106" s="307">
        <f t="shared" ca="1" si="22"/>
        <v>0.11227901192541623</v>
      </c>
      <c r="N106" s="307">
        <f t="shared" ca="1" si="22"/>
        <v>0.1200200900230044</v>
      </c>
      <c r="O106" s="307">
        <f t="shared" ca="1" si="22"/>
        <v>0.12794731541456272</v>
      </c>
      <c r="P106" s="307">
        <f t="shared" ca="1" si="22"/>
        <v>0.13612566908564716</v>
      </c>
      <c r="Q106" s="307">
        <f t="shared" ca="1" si="22"/>
        <v>0.1376686019911606</v>
      </c>
      <c r="R106" s="307">
        <f t="shared" ca="1" si="22"/>
        <v>0.13921330702482315</v>
      </c>
      <c r="S106" s="307">
        <f t="shared" ca="1" si="22"/>
        <v>0.14084821338109954</v>
      </c>
      <c r="T106" s="307">
        <f t="shared" ca="1" si="22"/>
        <v>0.14227058250176938</v>
      </c>
      <c r="U106" s="307">
        <f t="shared" ca="1" si="22"/>
        <v>0.14389272953539667</v>
      </c>
      <c r="V106" s="307">
        <f t="shared" ca="1" si="22"/>
        <v>0.14552988058732375</v>
      </c>
      <c r="W106" s="307">
        <f t="shared" ca="1" si="22"/>
        <v>0.14719703967585218</v>
      </c>
      <c r="X106" s="307">
        <f t="shared" ca="1" si="22"/>
        <v>0.14890105902981077</v>
      </c>
      <c r="Y106" s="307">
        <f t="shared" ca="1" si="22"/>
        <v>2.1689023929967561</v>
      </c>
      <c r="Z106" s="308"/>
    </row>
    <row r="107" spans="3:79">
      <c r="E107" s="296"/>
      <c r="Z107" s="258"/>
    </row>
    <row r="108" spans="3:79" ht="15">
      <c r="C108" s="309" t="s">
        <v>645</v>
      </c>
      <c r="D108" s="310"/>
      <c r="E108" s="310">
        <f t="shared" ref="E108:X108" ca="1" si="23">SUM(E75:E106)</f>
        <v>2.0812958793083616</v>
      </c>
      <c r="F108" s="310">
        <f t="shared" ca="1" si="23"/>
        <v>3.3496508627580783</v>
      </c>
      <c r="G108" s="310">
        <f t="shared" ca="1" si="23"/>
        <v>4.6523718827649292</v>
      </c>
      <c r="H108" s="310">
        <f t="shared" ca="1" si="23"/>
        <v>6.3860515667302833</v>
      </c>
      <c r="I108" s="310">
        <f t="shared" ca="1" si="23"/>
        <v>7.4947160731100713</v>
      </c>
      <c r="J108" s="310">
        <f t="shared" ca="1" si="23"/>
        <v>8.6239182994504411</v>
      </c>
      <c r="K108" s="310">
        <f t="shared" ca="1" si="23"/>
        <v>9.7744464485373577</v>
      </c>
      <c r="L108" s="310">
        <f t="shared" ca="1" si="23"/>
        <v>10.510116407767125</v>
      </c>
      <c r="M108" s="310">
        <f t="shared" ca="1" si="23"/>
        <v>11.264477144113521</v>
      </c>
      <c r="N108" s="310">
        <f t="shared" ca="1" si="23"/>
        <v>12.041106683381255</v>
      </c>
      <c r="O108" s="310">
        <f t="shared" ca="1" si="23"/>
        <v>12.836411591290101</v>
      </c>
      <c r="P108" s="310">
        <f t="shared" ca="1" si="23"/>
        <v>13.656911134567125</v>
      </c>
      <c r="Q108" s="310">
        <f t="shared" ca="1" si="23"/>
        <v>13.811707050126319</v>
      </c>
      <c r="R108" s="310">
        <f t="shared" ca="1" si="23"/>
        <v>13.966680755787612</v>
      </c>
      <c r="S108" s="310">
        <f t="shared" ca="1" si="23"/>
        <v>14.130703977645645</v>
      </c>
      <c r="T108" s="310">
        <f t="shared" ca="1" si="23"/>
        <v>14.273404239925501</v>
      </c>
      <c r="U108" s="310">
        <f t="shared" ca="1" si="23"/>
        <v>14.436147373048438</v>
      </c>
      <c r="V108" s="310">
        <f t="shared" ca="1" si="23"/>
        <v>14.600395795702457</v>
      </c>
      <c r="W108" s="310">
        <f t="shared" ca="1" si="23"/>
        <v>14.767654797418658</v>
      </c>
      <c r="X108" s="310">
        <f t="shared" ca="1" si="23"/>
        <v>14.938611833258477</v>
      </c>
      <c r="Y108" s="310"/>
      <c r="Z108" s="311"/>
    </row>
    <row r="109" spans="3:79" ht="15">
      <c r="C109" s="309" t="s">
        <v>646</v>
      </c>
      <c r="D109" s="310"/>
      <c r="E109" s="310">
        <f ca="1">IF((D109+E108)&lt;$Y109,(D109+E108),$Y109)</f>
        <v>2.0812958793083616</v>
      </c>
      <c r="F109" s="310">
        <f t="shared" ref="F109:X109" ca="1" si="24">IF((E109+F108)&lt;$Y109,(E109+F108),$Y109)</f>
        <v>5.4309467420664399</v>
      </c>
      <c r="G109" s="310">
        <f t="shared" ca="1" si="24"/>
        <v>10.083318624831369</v>
      </c>
      <c r="H109" s="310">
        <f t="shared" ca="1" si="24"/>
        <v>16.469370191561651</v>
      </c>
      <c r="I109" s="310">
        <f t="shared" ca="1" si="24"/>
        <v>23.964086264671721</v>
      </c>
      <c r="J109" s="310">
        <f t="shared" ca="1" si="24"/>
        <v>32.588004564122159</v>
      </c>
      <c r="K109" s="310">
        <f t="shared" ca="1" si="24"/>
        <v>42.36245101265952</v>
      </c>
      <c r="L109" s="310">
        <f t="shared" ca="1" si="24"/>
        <v>52.872567420426648</v>
      </c>
      <c r="M109" s="310">
        <f t="shared" ca="1" si="24"/>
        <v>64.137044564540162</v>
      </c>
      <c r="N109" s="310">
        <f t="shared" ca="1" si="24"/>
        <v>76.17815124792142</v>
      </c>
      <c r="O109" s="310">
        <f t="shared" ca="1" si="24"/>
        <v>89.014562839211521</v>
      </c>
      <c r="P109" s="310">
        <f t="shared" ca="1" si="24"/>
        <v>102.67147397377865</v>
      </c>
      <c r="Q109" s="310">
        <f t="shared" ca="1" si="24"/>
        <v>116.48318102390496</v>
      </c>
      <c r="R109" s="310">
        <f t="shared" ca="1" si="24"/>
        <v>130.44986177969258</v>
      </c>
      <c r="S109" s="310">
        <f t="shared" ca="1" si="24"/>
        <v>144.58056575733823</v>
      </c>
      <c r="T109" s="310">
        <f t="shared" ca="1" si="24"/>
        <v>158.85396999726373</v>
      </c>
      <c r="U109" s="310">
        <f t="shared" ca="1" si="24"/>
        <v>173.29011737031217</v>
      </c>
      <c r="V109" s="310">
        <f t="shared" ca="1" si="24"/>
        <v>187.89051316601464</v>
      </c>
      <c r="W109" s="310">
        <f t="shared" ca="1" si="24"/>
        <v>202.6581679634333</v>
      </c>
      <c r="X109" s="310">
        <f t="shared" ca="1" si="24"/>
        <v>217.59677979669175</v>
      </c>
      <c r="Y109" s="310">
        <f ca="1">SUM(Y75:Y106)</f>
        <v>217.59677979669175</v>
      </c>
      <c r="Z109" s="311"/>
    </row>
    <row r="111" spans="3:79">
      <c r="C111" s="312" t="s">
        <v>506</v>
      </c>
      <c r="D111" s="313" t="str">
        <f>D19</f>
        <v>DEI</v>
      </c>
      <c r="E111" s="314">
        <f>E19</f>
        <v>0.01</v>
      </c>
      <c r="F111" s="314">
        <f t="shared" ref="F111:X111" si="25">F19</f>
        <v>1.6E-2</v>
      </c>
      <c r="G111" s="314">
        <f t="shared" si="25"/>
        <v>2.1999999999999999E-2</v>
      </c>
      <c r="H111" s="314">
        <f t="shared" si="25"/>
        <v>0.03</v>
      </c>
      <c r="I111" s="314">
        <f t="shared" si="25"/>
        <v>3.5000000000000003E-2</v>
      </c>
      <c r="J111" s="314">
        <f t="shared" si="25"/>
        <v>0.04</v>
      </c>
      <c r="K111" s="314">
        <f t="shared" si="25"/>
        <v>4.4999999999999998E-2</v>
      </c>
      <c r="L111" s="314">
        <f t="shared" si="25"/>
        <v>4.8000000000000001E-2</v>
      </c>
      <c r="M111" s="314">
        <f t="shared" si="25"/>
        <v>5.0999999999999997E-2</v>
      </c>
      <c r="N111" s="314">
        <f t="shared" si="25"/>
        <v>5.3999999999999999E-2</v>
      </c>
      <c r="O111" s="314">
        <f t="shared" si="25"/>
        <v>5.7000000000000002E-2</v>
      </c>
      <c r="P111" s="314">
        <f t="shared" si="25"/>
        <v>0.06</v>
      </c>
      <c r="Q111" s="314">
        <f t="shared" si="25"/>
        <v>0.06</v>
      </c>
      <c r="R111" s="314">
        <f t="shared" si="25"/>
        <v>0.06</v>
      </c>
      <c r="S111" s="314">
        <f t="shared" si="25"/>
        <v>0.06</v>
      </c>
      <c r="T111" s="314">
        <f t="shared" si="25"/>
        <v>0.06</v>
      </c>
      <c r="U111" s="314">
        <f t="shared" si="25"/>
        <v>0.06</v>
      </c>
      <c r="V111" s="314">
        <f t="shared" si="25"/>
        <v>0.06</v>
      </c>
      <c r="W111" s="314">
        <f t="shared" si="25"/>
        <v>0.06</v>
      </c>
      <c r="X111" s="314">
        <f t="shared" si="25"/>
        <v>0.06</v>
      </c>
    </row>
    <row r="112" spans="3:79">
      <c r="C112" s="251" t="s">
        <v>647</v>
      </c>
      <c r="D112" s="251" t="str">
        <f>D111</f>
        <v>DEI</v>
      </c>
      <c r="E112" s="314">
        <f>E111</f>
        <v>0.01</v>
      </c>
      <c r="F112" s="314">
        <f>E112+F111</f>
        <v>2.6000000000000002E-2</v>
      </c>
      <c r="G112" s="314">
        <f t="shared" ref="G112:X112" si="26">F112+G111</f>
        <v>4.8000000000000001E-2</v>
      </c>
      <c r="H112" s="314">
        <f t="shared" si="26"/>
        <v>7.8E-2</v>
      </c>
      <c r="I112" s="314">
        <f t="shared" si="26"/>
        <v>0.113</v>
      </c>
      <c r="J112" s="314">
        <f t="shared" si="26"/>
        <v>0.153</v>
      </c>
      <c r="K112" s="314">
        <f t="shared" si="26"/>
        <v>0.19800000000000001</v>
      </c>
      <c r="L112" s="314">
        <f t="shared" si="26"/>
        <v>0.246</v>
      </c>
      <c r="M112" s="314">
        <f t="shared" si="26"/>
        <v>0.29699999999999999</v>
      </c>
      <c r="N112" s="314">
        <f t="shared" si="26"/>
        <v>0.35099999999999998</v>
      </c>
      <c r="O112" s="314">
        <f t="shared" si="26"/>
        <v>0.40799999999999997</v>
      </c>
      <c r="P112" s="314">
        <f t="shared" si="26"/>
        <v>0.46799999999999997</v>
      </c>
      <c r="Q112" s="314">
        <f t="shared" si="26"/>
        <v>0.52800000000000002</v>
      </c>
      <c r="R112" s="314">
        <f t="shared" si="26"/>
        <v>0.58800000000000008</v>
      </c>
      <c r="S112" s="314">
        <f t="shared" si="26"/>
        <v>0.64800000000000013</v>
      </c>
      <c r="T112" s="314">
        <f t="shared" si="26"/>
        <v>0.70800000000000018</v>
      </c>
      <c r="U112" s="314">
        <f t="shared" si="26"/>
        <v>0.76800000000000024</v>
      </c>
      <c r="V112" s="314">
        <f t="shared" si="26"/>
        <v>0.82800000000000029</v>
      </c>
      <c r="W112" s="314">
        <f t="shared" si="26"/>
        <v>0.88800000000000034</v>
      </c>
      <c r="X112" s="314">
        <f t="shared" si="26"/>
        <v>0.9480000000000004</v>
      </c>
    </row>
    <row r="117" spans="5:9">
      <c r="E117" s="287"/>
      <c r="F117" s="287"/>
      <c r="G117" s="287"/>
      <c r="H117" s="287"/>
      <c r="I117" s="287"/>
    </row>
    <row r="118" spans="5:9">
      <c r="E118" s="287"/>
      <c r="F118" s="287"/>
      <c r="G118" s="287"/>
      <c r="H118" s="287"/>
      <c r="I118" s="287"/>
    </row>
  </sheetData>
  <mergeCells count="1">
    <mergeCell ref="B1:S5"/>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sheetPr codeName="Sheet4"/>
  <dimension ref="C1:F14"/>
  <sheetViews>
    <sheetView zoomScale="85" zoomScaleNormal="85" zoomScaleSheetLayoutView="90" workbookViewId="0">
      <selection activeCell="F12" sqref="F12"/>
    </sheetView>
  </sheetViews>
  <sheetFormatPr defaultRowHeight="15"/>
  <cols>
    <col min="1" max="1" width="4" style="189" customWidth="1"/>
    <col min="2" max="2" width="4.28515625" style="189" customWidth="1"/>
    <col min="3" max="3" width="28.140625" style="189" customWidth="1"/>
    <col min="4" max="4" width="73.42578125" style="189" customWidth="1"/>
    <col min="5" max="5" width="55.140625" style="189" customWidth="1"/>
    <col min="6" max="6" width="61.42578125" style="189" customWidth="1"/>
    <col min="7" max="16384" width="9.140625" style="189"/>
  </cols>
  <sheetData>
    <row r="1" spans="3:6" ht="15.75" thickBot="1"/>
    <row r="2" spans="3:6" ht="19.5" thickBot="1">
      <c r="C2" s="190" t="s">
        <v>447</v>
      </c>
      <c r="D2" s="191" t="s">
        <v>462</v>
      </c>
      <c r="E2" s="192"/>
      <c r="F2" s="193"/>
    </row>
    <row r="3" spans="3:6">
      <c r="C3" s="194" t="s">
        <v>448</v>
      </c>
      <c r="D3" s="194" t="s">
        <v>449</v>
      </c>
      <c r="E3" s="194" t="s">
        <v>450</v>
      </c>
      <c r="F3" s="194" t="s">
        <v>451</v>
      </c>
    </row>
    <row r="4" spans="3:6" ht="199.5" customHeight="1">
      <c r="C4" s="195" t="s">
        <v>452</v>
      </c>
      <c r="D4" s="196" t="s">
        <v>476</v>
      </c>
      <c r="E4" s="197" t="s">
        <v>465</v>
      </c>
      <c r="F4" s="198" t="s">
        <v>464</v>
      </c>
    </row>
    <row r="5" spans="3:6" ht="123" customHeight="1">
      <c r="C5" s="195" t="s">
        <v>453</v>
      </c>
      <c r="D5" s="199" t="s">
        <v>470</v>
      </c>
      <c r="E5" s="200" t="s">
        <v>463</v>
      </c>
      <c r="F5" s="198"/>
    </row>
    <row r="6" spans="3:6">
      <c r="C6" s="195" t="s">
        <v>454</v>
      </c>
      <c r="D6" s="199" t="s">
        <v>466</v>
      </c>
      <c r="E6" s="200"/>
      <c r="F6" s="198"/>
    </row>
    <row r="7" spans="3:6" ht="30">
      <c r="C7" s="195" t="s">
        <v>455</v>
      </c>
      <c r="D7" s="199" t="s">
        <v>467</v>
      </c>
      <c r="E7" s="199"/>
      <c r="F7" s="198"/>
    </row>
    <row r="8" spans="3:6">
      <c r="C8" s="195" t="s">
        <v>456</v>
      </c>
      <c r="D8" s="199" t="s">
        <v>468</v>
      </c>
      <c r="E8" s="199"/>
      <c r="F8" s="198" t="s">
        <v>469</v>
      </c>
    </row>
    <row r="9" spans="3:6">
      <c r="C9" s="195" t="s">
        <v>457</v>
      </c>
      <c r="D9" s="199" t="s">
        <v>89</v>
      </c>
      <c r="E9" s="201"/>
      <c r="F9" s="198"/>
    </row>
    <row r="10" spans="3:6">
      <c r="C10" s="195" t="s">
        <v>458</v>
      </c>
      <c r="D10" s="199" t="s">
        <v>464</v>
      </c>
      <c r="E10" s="201"/>
      <c r="F10" s="198"/>
    </row>
    <row r="11" spans="3:6" ht="75">
      <c r="C11" s="195" t="s">
        <v>459</v>
      </c>
      <c r="D11" s="199" t="s">
        <v>473</v>
      </c>
      <c r="E11" s="199" t="s">
        <v>472</v>
      </c>
      <c r="F11" s="198" t="s">
        <v>898</v>
      </c>
    </row>
    <row r="12" spans="3:6">
      <c r="C12" s="195" t="s">
        <v>375</v>
      </c>
      <c r="D12" s="202" t="s">
        <v>471</v>
      </c>
      <c r="E12" s="201" t="s">
        <v>474</v>
      </c>
      <c r="F12" s="198"/>
    </row>
    <row r="13" spans="3:6">
      <c r="C13" s="195" t="s">
        <v>460</v>
      </c>
      <c r="D13" s="202" t="s">
        <v>475</v>
      </c>
      <c r="E13" t="s">
        <v>488</v>
      </c>
      <c r="F13" s="198"/>
    </row>
    <row r="14" spans="3:6" ht="30">
      <c r="C14" s="195" t="s">
        <v>461</v>
      </c>
      <c r="D14" s="201" t="s">
        <v>490</v>
      </c>
      <c r="E14" s="201" t="s">
        <v>491</v>
      </c>
      <c r="F14" s="198" t="s">
        <v>487</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sheetPr codeName="Sheet13"/>
  <dimension ref="A1:EA9"/>
  <sheetViews>
    <sheetView workbookViewId="0">
      <selection sqref="A1:EA9"/>
    </sheetView>
  </sheetViews>
  <sheetFormatPr defaultRowHeight="12.75"/>
  <cols>
    <col min="1" max="1" width="49.5703125" customWidth="1"/>
    <col min="2" max="2" width="43.5703125" customWidth="1"/>
    <col min="3" max="3" width="15.5703125" customWidth="1"/>
  </cols>
  <sheetData>
    <row r="1" spans="1:131" ht="13.5" thickBot="1">
      <c r="A1" s="366" t="s">
        <v>701</v>
      </c>
      <c r="B1" s="367"/>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1"/>
      <c r="CY1" s="251"/>
      <c r="CZ1" s="251"/>
      <c r="DA1" s="251"/>
      <c r="DB1" s="251"/>
      <c r="DC1" s="251"/>
      <c r="DD1" s="251"/>
      <c r="DE1" s="251"/>
      <c r="DF1" s="251"/>
      <c r="DG1" s="251"/>
      <c r="DH1" s="251"/>
      <c r="DI1" s="251"/>
      <c r="DJ1" s="251"/>
      <c r="DK1" s="251"/>
      <c r="DL1" s="251"/>
      <c r="DM1" s="251"/>
      <c r="DN1" s="251"/>
      <c r="DO1" s="251"/>
      <c r="DP1" s="251"/>
      <c r="DQ1" s="251"/>
      <c r="DR1" s="251"/>
      <c r="DS1" s="251"/>
      <c r="DT1" s="251"/>
      <c r="DU1" s="251"/>
      <c r="DV1" s="251"/>
      <c r="DW1" s="251"/>
      <c r="DX1" s="251"/>
      <c r="DY1" s="251"/>
      <c r="DZ1" s="251"/>
      <c r="EA1" s="251"/>
    </row>
    <row r="2" spans="1:131" ht="13.5" thickBot="1">
      <c r="A2" s="368"/>
      <c r="B2" s="369"/>
      <c r="C2" s="241"/>
      <c r="D2" s="241"/>
      <c r="E2" s="241"/>
      <c r="F2" s="241"/>
      <c r="G2" s="241"/>
      <c r="H2" s="241"/>
      <c r="I2" s="241"/>
      <c r="J2" s="241"/>
      <c r="K2" s="241"/>
      <c r="L2" s="241"/>
      <c r="M2" s="241"/>
      <c r="N2" s="241"/>
      <c r="O2" s="238" t="s">
        <v>516</v>
      </c>
      <c r="P2" s="239"/>
      <c r="Q2" s="239"/>
      <c r="R2" s="239"/>
      <c r="S2" s="239"/>
      <c r="T2" s="239"/>
      <c r="U2" s="239"/>
      <c r="V2" s="239"/>
      <c r="W2" s="239"/>
      <c r="X2" s="239"/>
      <c r="Y2" s="239"/>
      <c r="Z2" s="240"/>
      <c r="AA2" s="241"/>
      <c r="AB2" s="238" t="s">
        <v>517</v>
      </c>
      <c r="AC2" s="239"/>
      <c r="AD2" s="239"/>
      <c r="AE2" s="239"/>
      <c r="AF2" s="239"/>
      <c r="AG2" s="239"/>
      <c r="AH2" s="239"/>
      <c r="AI2" s="239"/>
      <c r="AJ2" s="239"/>
      <c r="AK2" s="239"/>
      <c r="AL2" s="239"/>
      <c r="AM2" s="240"/>
      <c r="AN2" s="253"/>
      <c r="AO2" s="253"/>
      <c r="AP2" s="253"/>
      <c r="AQ2" s="253"/>
      <c r="AR2" s="253"/>
      <c r="AS2" s="253"/>
      <c r="AT2" s="253"/>
      <c r="AU2" s="253"/>
      <c r="AV2" s="253"/>
      <c r="AW2" s="253"/>
      <c r="AX2" s="253"/>
      <c r="AY2" s="253"/>
      <c r="AZ2" s="253"/>
      <c r="BA2" s="253"/>
      <c r="BB2" s="253"/>
      <c r="BC2" s="253"/>
      <c r="BD2" s="253"/>
      <c r="BE2" s="253"/>
      <c r="BF2" s="253"/>
      <c r="BG2" s="253"/>
      <c r="BH2" s="253"/>
      <c r="BI2" s="253"/>
      <c r="BJ2" s="253"/>
      <c r="BK2" s="253"/>
      <c r="BL2" s="253"/>
      <c r="BM2" s="253"/>
      <c r="BN2" s="253"/>
      <c r="BO2" s="253"/>
      <c r="BP2" s="253"/>
      <c r="BQ2" s="253"/>
      <c r="BR2" s="253"/>
      <c r="BS2" s="253"/>
      <c r="BT2" s="253"/>
      <c r="BU2" s="253"/>
      <c r="BV2" s="253"/>
      <c r="BW2" s="253"/>
      <c r="BX2" s="253"/>
      <c r="BY2" s="253"/>
      <c r="BZ2" s="253"/>
      <c r="CA2" s="253"/>
      <c r="CB2" s="253"/>
      <c r="CC2" s="253"/>
      <c r="CD2" s="253"/>
      <c r="CE2" s="253"/>
      <c r="CF2" s="253"/>
      <c r="CG2" s="253"/>
      <c r="CH2" s="253"/>
      <c r="CI2" s="253"/>
      <c r="CJ2" s="253"/>
      <c r="CK2" s="253"/>
      <c r="CL2" s="253"/>
      <c r="CM2" s="253"/>
      <c r="CN2" s="253"/>
      <c r="CO2" s="253"/>
      <c r="CP2" s="253"/>
      <c r="CQ2" s="253"/>
      <c r="CR2" s="253"/>
      <c r="CS2" s="253"/>
      <c r="CT2" s="253"/>
      <c r="CU2" s="253"/>
      <c r="CV2" s="253"/>
      <c r="CW2" s="253"/>
      <c r="CX2" s="251"/>
      <c r="CY2" s="251"/>
      <c r="CZ2" s="251"/>
      <c r="DA2" s="251"/>
      <c r="DB2" s="251"/>
      <c r="DC2" s="251"/>
      <c r="DD2" s="251"/>
      <c r="DE2" s="251"/>
      <c r="DF2" s="251"/>
      <c r="DG2" s="251"/>
      <c r="DH2" s="251"/>
      <c r="DI2" s="251"/>
      <c r="DJ2" s="251"/>
      <c r="DK2" s="251"/>
      <c r="DL2" s="251"/>
      <c r="DM2" s="251"/>
      <c r="DN2" s="251"/>
      <c r="DO2" s="251"/>
      <c r="DP2" s="251"/>
      <c r="DQ2" s="251"/>
      <c r="DR2" s="251"/>
      <c r="DS2" s="251"/>
      <c r="DT2" s="251"/>
      <c r="DU2" s="251"/>
      <c r="DV2" s="251"/>
      <c r="DW2" s="251"/>
      <c r="DX2" s="251"/>
      <c r="DY2" s="251"/>
      <c r="DZ2" s="251"/>
      <c r="EA2" s="251"/>
    </row>
    <row r="3" spans="1:131" ht="204">
      <c r="A3" s="370" t="s">
        <v>702</v>
      </c>
      <c r="B3" s="371" t="s">
        <v>374</v>
      </c>
      <c r="C3" s="247" t="s">
        <v>519</v>
      </c>
      <c r="D3" s="247" t="s">
        <v>703</v>
      </c>
      <c r="E3" s="247" t="s">
        <v>704</v>
      </c>
      <c r="F3" s="247" t="s">
        <v>705</v>
      </c>
      <c r="G3" s="247" t="s">
        <v>706</v>
      </c>
      <c r="H3" s="247" t="s">
        <v>707</v>
      </c>
      <c r="I3" s="247" t="s">
        <v>708</v>
      </c>
      <c r="J3" s="247" t="s">
        <v>709</v>
      </c>
      <c r="K3" s="247" t="s">
        <v>710</v>
      </c>
      <c r="L3" s="247" t="s">
        <v>711</v>
      </c>
      <c r="M3" s="247" t="s">
        <v>712</v>
      </c>
      <c r="N3" s="247" t="s">
        <v>518</v>
      </c>
      <c r="O3" s="247" t="s">
        <v>521</v>
      </c>
      <c r="P3" s="247" t="s">
        <v>522</v>
      </c>
      <c r="Q3" s="247" t="s">
        <v>523</v>
      </c>
      <c r="R3" s="247" t="s">
        <v>524</v>
      </c>
      <c r="S3" s="247" t="s">
        <v>525</v>
      </c>
      <c r="T3" s="247" t="s">
        <v>526</v>
      </c>
      <c r="U3" s="247" t="s">
        <v>527</v>
      </c>
      <c r="V3" s="247" t="s">
        <v>528</v>
      </c>
      <c r="W3" s="247" t="s">
        <v>529</v>
      </c>
      <c r="X3" s="247" t="s">
        <v>530</v>
      </c>
      <c r="Y3" s="247" t="s">
        <v>531</v>
      </c>
      <c r="Z3" s="247" t="s">
        <v>532</v>
      </c>
      <c r="AA3" s="247"/>
      <c r="AB3" s="247" t="s">
        <v>521</v>
      </c>
      <c r="AC3" s="247" t="s">
        <v>522</v>
      </c>
      <c r="AD3" s="247" t="s">
        <v>523</v>
      </c>
      <c r="AE3" s="247" t="s">
        <v>524</v>
      </c>
      <c r="AF3" s="247" t="s">
        <v>525</v>
      </c>
      <c r="AG3" s="247" t="s">
        <v>526</v>
      </c>
      <c r="AH3" s="247" t="s">
        <v>527</v>
      </c>
      <c r="AI3" s="247" t="s">
        <v>528</v>
      </c>
      <c r="AJ3" s="247" t="s">
        <v>529</v>
      </c>
      <c r="AK3" s="247" t="s">
        <v>530</v>
      </c>
      <c r="AL3" s="247" t="s">
        <v>531</v>
      </c>
      <c r="AM3" s="247" t="s">
        <v>532</v>
      </c>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1"/>
      <c r="CY3" s="251"/>
      <c r="CZ3" s="251"/>
      <c r="DA3" s="251"/>
      <c r="DB3" s="251"/>
      <c r="DC3" s="251"/>
      <c r="DD3" s="251"/>
      <c r="DE3" s="251"/>
      <c r="DF3" s="251"/>
      <c r="DG3" s="251"/>
      <c r="DH3" s="251"/>
      <c r="DI3" s="251"/>
      <c r="DJ3" s="251"/>
      <c r="DK3" s="251"/>
      <c r="DL3" s="251"/>
      <c r="DM3" s="251"/>
      <c r="DN3" s="251"/>
      <c r="DO3" s="251"/>
      <c r="DP3" s="251"/>
      <c r="DQ3" s="251"/>
      <c r="DR3" s="251"/>
      <c r="DS3" s="251"/>
      <c r="DT3" s="251"/>
      <c r="DU3" s="251"/>
      <c r="DV3" s="251"/>
      <c r="DW3" s="251"/>
      <c r="DX3" s="251"/>
      <c r="DY3" s="251"/>
      <c r="DZ3" s="251"/>
      <c r="EA3" s="251"/>
    </row>
    <row r="4" spans="1:131">
      <c r="A4" s="251" t="s">
        <v>700</v>
      </c>
      <c r="B4" s="251"/>
      <c r="C4" s="287">
        <v>4.4347105597087273</v>
      </c>
      <c r="D4" s="287">
        <v>0.16609903093306744</v>
      </c>
      <c r="E4" s="287">
        <v>3.3219806186613486E-2</v>
      </c>
      <c r="F4" s="287">
        <v>0.19931883711968093</v>
      </c>
      <c r="G4" s="287">
        <v>0.33964265406429683</v>
      </c>
      <c r="H4" s="287">
        <v>2.7428661705431892</v>
      </c>
      <c r="I4" s="287">
        <v>393.71972300331697</v>
      </c>
      <c r="J4" s="287">
        <v>-3.1103011962147207</v>
      </c>
      <c r="K4" s="287">
        <v>-2.4129262646443115</v>
      </c>
      <c r="L4" s="401">
        <v>8.0757411877482994</v>
      </c>
      <c r="M4" s="287">
        <v>4.2130188397955536E-2</v>
      </c>
      <c r="N4" s="287">
        <v>6.2864537280676771E-4</v>
      </c>
      <c r="O4" s="287">
        <v>0.25037430408192124</v>
      </c>
      <c r="P4" s="287">
        <v>0.22874096499170543</v>
      </c>
      <c r="Q4" s="287">
        <v>0.26635346160543677</v>
      </c>
      <c r="R4" s="287">
        <v>0.18203542930463648</v>
      </c>
      <c r="S4" s="287">
        <v>0.18930166780215291</v>
      </c>
      <c r="T4" s="287">
        <v>0.189427127991179</v>
      </c>
      <c r="U4" s="287">
        <v>0.22227287006362287</v>
      </c>
      <c r="V4" s="287">
        <v>0.23932024449822009</v>
      </c>
      <c r="W4" s="287">
        <v>0.21223510430637763</v>
      </c>
      <c r="X4" s="287">
        <v>0.22450489131090487</v>
      </c>
      <c r="Y4" s="287">
        <v>0.20131992894894754</v>
      </c>
      <c r="Z4" s="287">
        <v>0.2495296038132005</v>
      </c>
      <c r="AA4" s="287"/>
      <c r="AB4" s="287">
        <v>0.1797079577224357</v>
      </c>
      <c r="AC4" s="287">
        <v>0.1576114043619814</v>
      </c>
      <c r="AD4" s="287">
        <v>0.15869735956466033</v>
      </c>
      <c r="AE4" s="287">
        <v>0.12168821438038409</v>
      </c>
      <c r="AF4" s="287">
        <v>0.12451272264166491</v>
      </c>
      <c r="AG4" s="287">
        <v>0.11438252126778228</v>
      </c>
      <c r="AH4" s="287">
        <v>0.1666001957831329</v>
      </c>
      <c r="AI4" s="287">
        <v>0.14917791739287353</v>
      </c>
      <c r="AJ4" s="287">
        <v>0.1622588202106244</v>
      </c>
      <c r="AK4" s="287">
        <v>0.1255084549451812</v>
      </c>
      <c r="AL4" s="287">
        <v>0.1401216482229645</v>
      </c>
      <c r="AM4" s="253">
        <v>0.17902774449673775</v>
      </c>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1"/>
    </row>
    <row r="5" spans="1:131">
      <c r="A5" s="251" t="s">
        <v>698</v>
      </c>
      <c r="B5" s="251"/>
      <c r="C5" s="287">
        <v>2.6564290127868606</v>
      </c>
      <c r="D5" s="287">
        <v>0.2498478167734684</v>
      </c>
      <c r="E5" s="287">
        <v>4.9969563354693686E-2</v>
      </c>
      <c r="F5" s="287">
        <v>0.29981738012816206</v>
      </c>
      <c r="G5" s="287">
        <v>0.41481089369124546</v>
      </c>
      <c r="H5" s="287">
        <v>1.6429999603178349</v>
      </c>
      <c r="I5" s="287">
        <v>988.69581580399256</v>
      </c>
      <c r="J5" s="287">
        <v>1.6904726457408341</v>
      </c>
      <c r="K5" s="287">
        <v>3.4416972773919268</v>
      </c>
      <c r="L5" s="401">
        <v>3.9608409164412217</v>
      </c>
      <c r="M5" s="287">
        <v>2.5236338035521354E-2</v>
      </c>
      <c r="N5" s="287">
        <v>3.7656387820444201E-4</v>
      </c>
      <c r="O5" s="287">
        <v>0.14997631896482086</v>
      </c>
      <c r="P5" s="287">
        <v>0.13701776646653113</v>
      </c>
      <c r="Q5" s="287">
        <v>0.15954796903619464</v>
      </c>
      <c r="R5" s="287">
        <v>0.10904075683164957</v>
      </c>
      <c r="S5" s="287">
        <v>0.11339329495082259</v>
      </c>
      <c r="T5" s="287">
        <v>0.11346844666176099</v>
      </c>
      <c r="U5" s="287">
        <v>0.13314332307432322</v>
      </c>
      <c r="V5" s="287">
        <v>0.14335484408120477</v>
      </c>
      <c r="W5" s="287">
        <v>0.12713061676077836</v>
      </c>
      <c r="X5" s="287">
        <v>0.13448032261884954</v>
      </c>
      <c r="Y5" s="287">
        <v>0.12059233469958384</v>
      </c>
      <c r="Z5" s="287">
        <v>0.14947033638247934</v>
      </c>
      <c r="AA5" s="287"/>
      <c r="AB5" s="287">
        <v>0.10764658173179791</v>
      </c>
      <c r="AC5" s="287">
        <v>9.4410559980434933E-2</v>
      </c>
      <c r="AD5" s="287">
        <v>9.5061056302154889E-2</v>
      </c>
      <c r="AE5" s="287">
        <v>7.289226632538362E-2</v>
      </c>
      <c r="AF5" s="287">
        <v>7.458417058634971E-2</v>
      </c>
      <c r="AG5" s="287">
        <v>6.8516094559146132E-2</v>
      </c>
      <c r="AH5" s="287">
        <v>9.9794921823117347E-2</v>
      </c>
      <c r="AI5" s="287">
        <v>8.9358830186107727E-2</v>
      </c>
      <c r="AJ5" s="287">
        <v>9.7194401254538654E-2</v>
      </c>
      <c r="AK5" s="287">
        <v>7.5180622630832972E-2</v>
      </c>
      <c r="AL5" s="287">
        <v>8.3934048603037825E-2</v>
      </c>
      <c r="AM5" s="253">
        <v>0.10723912827496081</v>
      </c>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1"/>
      <c r="CY5" s="251"/>
      <c r="CZ5" s="251"/>
      <c r="DA5" s="251"/>
      <c r="DB5" s="251"/>
      <c r="DC5" s="251"/>
      <c r="DD5" s="251"/>
      <c r="DE5" s="251"/>
      <c r="DF5" s="251"/>
      <c r="DG5" s="251"/>
      <c r="DH5" s="251"/>
      <c r="DI5" s="251"/>
      <c r="DJ5" s="251"/>
      <c r="DK5" s="251"/>
      <c r="DL5" s="251"/>
      <c r="DM5" s="251"/>
      <c r="DN5" s="251"/>
      <c r="DO5" s="251"/>
      <c r="DP5" s="251"/>
      <c r="DQ5" s="251"/>
      <c r="DR5" s="251"/>
      <c r="DS5" s="251"/>
      <c r="DT5" s="251"/>
      <c r="DU5" s="251"/>
      <c r="DV5" s="251"/>
      <c r="DW5" s="251"/>
      <c r="DX5" s="251"/>
      <c r="DY5" s="251"/>
      <c r="DZ5" s="251"/>
      <c r="EA5" s="251"/>
    </row>
    <row r="6" spans="1:131">
      <c r="A6" s="251" t="s">
        <v>699</v>
      </c>
      <c r="B6" s="251"/>
      <c r="C6" s="287">
        <v>2.9178889796356824</v>
      </c>
      <c r="D6" s="287">
        <v>1.8020164191833796</v>
      </c>
      <c r="E6" s="287">
        <v>0.36040328383667597</v>
      </c>
      <c r="F6" s="287">
        <v>2.1624197030200554</v>
      </c>
      <c r="G6" s="287">
        <v>2.6946009773235344</v>
      </c>
      <c r="H6" s="287">
        <v>1.8047128135841988</v>
      </c>
      <c r="I6" s="287">
        <v>6491.9524802553724</v>
      </c>
      <c r="J6" s="287">
        <v>48.403785422801711</v>
      </c>
      <c r="K6" s="287">
        <v>59.902637657436337</v>
      </c>
      <c r="L6" s="372">
        <v>0.66975141357543977</v>
      </c>
      <c r="M6" s="287">
        <v>2.7720233548780653E-2</v>
      </c>
      <c r="N6" s="287">
        <v>4.1362731134640516E-4</v>
      </c>
      <c r="O6" s="287">
        <v>0.1647377913007641</v>
      </c>
      <c r="P6" s="287">
        <v>0.15050378868116396</v>
      </c>
      <c r="Q6" s="287">
        <v>0.17525153442198169</v>
      </c>
      <c r="R6" s="287">
        <v>0.11977313195974075</v>
      </c>
      <c r="S6" s="287">
        <v>0.12455407018554915</v>
      </c>
      <c r="T6" s="287">
        <v>0.12463661873026553</v>
      </c>
      <c r="U6" s="287">
        <v>0.14624800182522782</v>
      </c>
      <c r="V6" s="287">
        <v>0.15746459540550906</v>
      </c>
      <c r="W6" s="287">
        <v>0.13964349276226115</v>
      </c>
      <c r="X6" s="287">
        <v>0.14771659602366963</v>
      </c>
      <c r="Y6" s="287">
        <v>0.13246167797245262</v>
      </c>
      <c r="Z6" s="287">
        <v>0.1641820072034684</v>
      </c>
      <c r="AA6" s="287"/>
      <c r="AB6" s="287">
        <v>0.11824173468168141</v>
      </c>
      <c r="AC6" s="287">
        <v>0.10370295279945727</v>
      </c>
      <c r="AD6" s="287">
        <v>0.10441747445213599</v>
      </c>
      <c r="AE6" s="287">
        <v>8.0066713466726974E-2</v>
      </c>
      <c r="AF6" s="287">
        <v>8.1925144004079242E-2</v>
      </c>
      <c r="AG6" s="287">
        <v>7.5259815443767558E-2</v>
      </c>
      <c r="AH6" s="287">
        <v>0.10961727236437253</v>
      </c>
      <c r="AI6" s="287">
        <v>9.8154004710119674E-2</v>
      </c>
      <c r="AJ6" s="287">
        <v>0.1067607946373765</v>
      </c>
      <c r="AK6" s="287">
        <v>8.2580302052384494E-2</v>
      </c>
      <c r="AL6" s="287">
        <v>9.219528707754715E-2</v>
      </c>
      <c r="AM6" s="253">
        <v>0.11779417747398017</v>
      </c>
      <c r="AN6" s="253"/>
      <c r="AO6" s="253"/>
      <c r="AP6" s="253"/>
      <c r="AQ6" s="253"/>
      <c r="AR6" s="253"/>
      <c r="AS6" s="253"/>
      <c r="AT6" s="253"/>
      <c r="AU6" s="253"/>
      <c r="AV6" s="253"/>
      <c r="AW6" s="253"/>
      <c r="AX6" s="253"/>
      <c r="AY6" s="253"/>
      <c r="AZ6" s="253"/>
      <c r="BA6" s="253"/>
      <c r="BB6" s="253"/>
      <c r="BC6" s="253"/>
      <c r="BD6" s="253"/>
      <c r="BE6" s="253"/>
      <c r="BF6" s="253"/>
      <c r="BG6" s="253"/>
      <c r="BH6" s="253"/>
      <c r="BI6" s="253"/>
      <c r="BJ6" s="253"/>
      <c r="BK6" s="253"/>
      <c r="BL6" s="253"/>
      <c r="BM6" s="253"/>
      <c r="BN6" s="253"/>
      <c r="BO6" s="253"/>
      <c r="BP6" s="253"/>
      <c r="BQ6" s="253"/>
      <c r="BR6" s="253"/>
      <c r="BS6" s="253"/>
      <c r="BT6" s="253"/>
      <c r="BU6" s="253"/>
      <c r="BV6" s="253"/>
      <c r="BW6" s="253"/>
      <c r="BX6" s="253"/>
      <c r="BY6" s="253"/>
      <c r="BZ6" s="253"/>
      <c r="CA6" s="253"/>
      <c r="CB6" s="253"/>
      <c r="CC6" s="253"/>
      <c r="CD6" s="253"/>
      <c r="CE6" s="253"/>
      <c r="CF6" s="253"/>
      <c r="CG6" s="253"/>
      <c r="CH6" s="253"/>
      <c r="CI6" s="253"/>
      <c r="CJ6" s="253"/>
      <c r="CK6" s="253"/>
      <c r="CL6" s="253"/>
      <c r="CM6" s="253"/>
      <c r="CN6" s="253"/>
      <c r="CO6" s="253"/>
      <c r="CP6" s="253"/>
      <c r="CQ6" s="253"/>
      <c r="CR6" s="253"/>
      <c r="CS6" s="253"/>
      <c r="CT6" s="253"/>
      <c r="CU6" s="253"/>
      <c r="CV6" s="253"/>
      <c r="CW6" s="253"/>
      <c r="CX6" s="251"/>
      <c r="CY6" s="251"/>
      <c r="CZ6" s="251"/>
      <c r="DA6" s="251"/>
      <c r="DB6" s="251"/>
      <c r="DC6" s="251"/>
      <c r="DD6" s="251"/>
      <c r="DE6" s="251"/>
      <c r="DF6" s="251"/>
      <c r="DG6" s="251"/>
      <c r="DH6" s="251"/>
      <c r="DI6" s="251"/>
      <c r="DJ6" s="251"/>
      <c r="DK6" s="251"/>
      <c r="DL6" s="251"/>
      <c r="DM6" s="251"/>
      <c r="DN6" s="251"/>
      <c r="DO6" s="251"/>
      <c r="DP6" s="251"/>
      <c r="DQ6" s="251"/>
      <c r="DR6" s="251"/>
      <c r="DS6" s="251"/>
      <c r="DT6" s="251"/>
      <c r="DU6" s="251"/>
      <c r="DV6" s="251"/>
      <c r="DW6" s="251"/>
      <c r="DX6" s="251"/>
      <c r="DY6" s="251"/>
      <c r="DZ6" s="251"/>
      <c r="EA6" s="251"/>
    </row>
    <row r="7" spans="1:131">
      <c r="A7" s="251" t="s">
        <v>380</v>
      </c>
      <c r="B7" s="251"/>
      <c r="C7" s="287">
        <v>1.4954141897898539</v>
      </c>
      <c r="D7" s="287">
        <v>1.3898288793186622</v>
      </c>
      <c r="E7" s="287">
        <v>0.27796577586373244</v>
      </c>
      <c r="F7" s="287">
        <v>1.6677946551823946</v>
      </c>
      <c r="G7" s="287">
        <v>2.1292227914288273</v>
      </c>
      <c r="H7" s="287">
        <v>0.92491289722282211</v>
      </c>
      <c r="I7" s="287">
        <v>9769.7890518551649</v>
      </c>
      <c r="J7" s="287">
        <v>79.415190973379694</v>
      </c>
      <c r="K7" s="287">
        <v>96.719901846188563</v>
      </c>
      <c r="L7" s="372">
        <v>0.43438991022736234</v>
      </c>
      <c r="M7" s="287">
        <v>1.4206582526766003E-2</v>
      </c>
      <c r="N7" s="287">
        <v>2.1198344247808546E-4</v>
      </c>
      <c r="O7" s="287">
        <v>8.4427897163023929E-2</v>
      </c>
      <c r="P7" s="287">
        <v>7.7132989905272925E-2</v>
      </c>
      <c r="Q7" s="287">
        <v>8.9816176415936866E-2</v>
      </c>
      <c r="R7" s="287">
        <v>6.1383569538869878E-2</v>
      </c>
      <c r="S7" s="287">
        <v>6.3833793969367322E-2</v>
      </c>
      <c r="T7" s="287">
        <v>6.387609998785429E-2</v>
      </c>
      <c r="U7" s="287">
        <v>7.495190484771784E-2</v>
      </c>
      <c r="V7" s="287">
        <v>8.0700394018526744E-2</v>
      </c>
      <c r="W7" s="287">
        <v>7.1567102808200486E-2</v>
      </c>
      <c r="X7" s="287">
        <v>7.5704557405344319E-2</v>
      </c>
      <c r="Y7" s="287">
        <v>6.7886432357721849E-2</v>
      </c>
      <c r="Z7" s="287">
        <v>8.4143058558349082E-2</v>
      </c>
      <c r="AA7" s="287"/>
      <c r="AB7" s="287">
        <v>6.0598730487145085E-2</v>
      </c>
      <c r="AC7" s="287">
        <v>5.3147624265943959E-2</v>
      </c>
      <c r="AD7" s="287">
        <v>5.3513815654919035E-2</v>
      </c>
      <c r="AE7" s="287">
        <v>4.1034083299129276E-2</v>
      </c>
      <c r="AF7" s="287">
        <v>4.1986526457759098E-2</v>
      </c>
      <c r="AG7" s="287">
        <v>3.8570554507398547E-2</v>
      </c>
      <c r="AH7" s="287">
        <v>5.6178705113108449E-2</v>
      </c>
      <c r="AI7" s="287">
        <v>5.0303795810126978E-2</v>
      </c>
      <c r="AJ7" s="287">
        <v>5.4714764107956886E-2</v>
      </c>
      <c r="AK7" s="287">
        <v>4.2322294079086838E-2</v>
      </c>
      <c r="AL7" s="287">
        <v>4.7249961012816588E-2</v>
      </c>
      <c r="AM7" s="253">
        <v>6.0369358018277981E-2</v>
      </c>
      <c r="AN7" s="253"/>
      <c r="AO7" s="253"/>
      <c r="AP7" s="253"/>
      <c r="AQ7" s="253"/>
      <c r="AR7" s="253"/>
      <c r="AS7" s="253"/>
      <c r="AT7" s="253"/>
      <c r="AU7" s="253"/>
      <c r="AV7" s="253"/>
      <c r="AW7" s="253"/>
      <c r="AX7" s="253"/>
      <c r="AY7" s="253"/>
      <c r="AZ7" s="253"/>
      <c r="BA7" s="253"/>
      <c r="BB7" s="253"/>
      <c r="BC7" s="253"/>
      <c r="BD7" s="253"/>
      <c r="BE7" s="253"/>
      <c r="BF7" s="253"/>
      <c r="BG7" s="253"/>
      <c r="BH7" s="253"/>
      <c r="BI7" s="253"/>
      <c r="BJ7" s="253"/>
      <c r="BK7" s="253"/>
      <c r="BL7" s="253"/>
      <c r="BM7" s="253"/>
      <c r="BN7" s="253"/>
      <c r="BO7" s="253"/>
      <c r="BP7" s="253"/>
      <c r="BQ7" s="253"/>
      <c r="BR7" s="253"/>
      <c r="BS7" s="253"/>
      <c r="BT7" s="253"/>
      <c r="BU7" s="253"/>
      <c r="BV7" s="253"/>
      <c r="BW7" s="253"/>
      <c r="BX7" s="253"/>
      <c r="BY7" s="253"/>
      <c r="BZ7" s="253"/>
      <c r="CA7" s="253"/>
      <c r="CB7" s="253"/>
      <c r="CC7" s="253"/>
      <c r="CD7" s="253"/>
      <c r="CE7" s="253"/>
      <c r="CF7" s="253"/>
      <c r="CG7" s="253"/>
      <c r="CH7" s="253"/>
      <c r="CI7" s="253"/>
      <c r="CJ7" s="253"/>
      <c r="CK7" s="253"/>
      <c r="CL7" s="253"/>
      <c r="CM7" s="253"/>
      <c r="CN7" s="253"/>
      <c r="CO7" s="253"/>
      <c r="CP7" s="253"/>
      <c r="CQ7" s="253"/>
      <c r="CR7" s="253"/>
      <c r="CS7" s="253"/>
      <c r="CT7" s="253"/>
      <c r="CU7" s="253"/>
      <c r="CV7" s="253"/>
      <c r="CW7" s="253"/>
      <c r="CX7" s="251"/>
      <c r="CY7" s="251"/>
      <c r="CZ7" s="251"/>
      <c r="DA7" s="251"/>
      <c r="DB7" s="251"/>
      <c r="DC7" s="251"/>
      <c r="DD7" s="251"/>
      <c r="DE7" s="251"/>
      <c r="DF7" s="251"/>
      <c r="DG7" s="251"/>
      <c r="DH7" s="251"/>
      <c r="DI7" s="251"/>
      <c r="DJ7" s="251"/>
      <c r="DK7" s="251"/>
      <c r="DL7" s="251"/>
      <c r="DM7" s="251"/>
      <c r="DN7" s="251"/>
      <c r="DO7" s="251"/>
      <c r="DP7" s="251"/>
      <c r="DQ7" s="251"/>
      <c r="DR7" s="251"/>
      <c r="DS7" s="251"/>
      <c r="DT7" s="251"/>
      <c r="DU7" s="251"/>
      <c r="DV7" s="251"/>
      <c r="DW7" s="251"/>
      <c r="DX7" s="251"/>
      <c r="DY7" s="251"/>
      <c r="DZ7" s="251"/>
      <c r="EA7" s="251"/>
    </row>
    <row r="8" spans="1:131">
      <c r="A8" s="251" t="s">
        <v>381</v>
      </c>
      <c r="B8" s="251"/>
      <c r="C8" s="287">
        <v>0.11582536899942986</v>
      </c>
      <c r="D8" s="287">
        <v>0.35145964490321813</v>
      </c>
      <c r="E8" s="287">
        <v>7.0291928980643625E-2</v>
      </c>
      <c r="F8" s="287">
        <v>0.42175157388386175</v>
      </c>
      <c r="G8" s="287">
        <v>0.51893243037872083</v>
      </c>
      <c r="H8" s="287">
        <v>7.163793037714826E-2</v>
      </c>
      <c r="I8" s="287">
        <v>31897.535221673374</v>
      </c>
      <c r="J8" s="287">
        <v>265.12156066774412</v>
      </c>
      <c r="K8" s="287">
        <v>321.6199785595287</v>
      </c>
      <c r="L8" s="372">
        <v>0.13804866719327283</v>
      </c>
      <c r="M8" s="287">
        <v>1.1003524472472449E-3</v>
      </c>
      <c r="N8" s="287">
        <v>1.6418902946376368E-5</v>
      </c>
      <c r="O8" s="287">
        <v>6.539253411877389E-3</v>
      </c>
      <c r="P8" s="287">
        <v>5.9742358196179729E-3</v>
      </c>
      <c r="Q8" s="287">
        <v>6.9565956017547739E-3</v>
      </c>
      <c r="R8" s="287">
        <v>4.7543848660021619E-3</v>
      </c>
      <c r="S8" s="287">
        <v>4.9441638253911093E-3</v>
      </c>
      <c r="T8" s="287">
        <v>4.9474405832523128E-3</v>
      </c>
      <c r="U8" s="287">
        <v>5.8053027017331135E-3</v>
      </c>
      <c r="V8" s="287">
        <v>6.2505444842065917E-3</v>
      </c>
      <c r="W8" s="287">
        <v>5.5431372442338684E-3</v>
      </c>
      <c r="X8" s="287">
        <v>5.8635984306426425E-3</v>
      </c>
      <c r="Y8" s="287">
        <v>5.2580556822139878E-3</v>
      </c>
      <c r="Z8" s="287">
        <v>6.5171916067153128E-3</v>
      </c>
      <c r="AA8" s="287"/>
      <c r="AB8" s="287">
        <v>4.6935961738847213E-3</v>
      </c>
      <c r="AC8" s="287">
        <v>4.1164803932421381E-3</v>
      </c>
      <c r="AD8" s="287">
        <v>4.1448432729326223E-3</v>
      </c>
      <c r="AE8" s="287">
        <v>3.1782417688191694E-3</v>
      </c>
      <c r="AF8" s="287">
        <v>3.2520120199325308E-3</v>
      </c>
      <c r="AG8" s="287">
        <v>2.9874323373645772E-3</v>
      </c>
      <c r="AH8" s="287">
        <v>4.3512488339771211E-3</v>
      </c>
      <c r="AI8" s="287">
        <v>3.8962153439233479E-3</v>
      </c>
      <c r="AJ8" s="287">
        <v>4.2378611797253551E-3</v>
      </c>
      <c r="AK8" s="287">
        <v>3.2780184661090322E-3</v>
      </c>
      <c r="AL8" s="287">
        <v>3.6596845254539302E-3</v>
      </c>
      <c r="AM8" s="253">
        <v>4.6758304264240954E-3</v>
      </c>
      <c r="AN8" s="253"/>
      <c r="AO8" s="253"/>
      <c r="AP8" s="253"/>
      <c r="AQ8" s="253"/>
      <c r="AR8" s="253"/>
      <c r="AS8" s="253"/>
      <c r="AT8" s="253"/>
      <c r="AU8" s="253"/>
      <c r="AV8" s="253"/>
      <c r="AW8" s="253"/>
      <c r="AX8" s="253"/>
      <c r="AY8" s="253"/>
      <c r="AZ8" s="253"/>
      <c r="BA8" s="253"/>
      <c r="BB8" s="253"/>
      <c r="BC8" s="253"/>
      <c r="BD8" s="253"/>
      <c r="BE8" s="253"/>
      <c r="BF8" s="253"/>
      <c r="BG8" s="253"/>
      <c r="BH8" s="253"/>
      <c r="BI8" s="253"/>
      <c r="BJ8" s="253"/>
      <c r="BK8" s="253"/>
      <c r="BL8" s="253"/>
      <c r="BM8" s="253"/>
      <c r="BN8" s="253"/>
      <c r="BO8" s="253"/>
      <c r="BP8" s="253"/>
      <c r="BQ8" s="253"/>
      <c r="BR8" s="253"/>
      <c r="BS8" s="253"/>
      <c r="BT8" s="253"/>
      <c r="BU8" s="253"/>
      <c r="BV8" s="253"/>
      <c r="BW8" s="253"/>
      <c r="BX8" s="253"/>
      <c r="BY8" s="253"/>
      <c r="BZ8" s="253"/>
      <c r="CA8" s="253"/>
      <c r="CB8" s="253"/>
      <c r="CC8" s="253"/>
      <c r="CD8" s="253"/>
      <c r="CE8" s="253"/>
      <c r="CF8" s="253"/>
      <c r="CG8" s="253"/>
      <c r="CH8" s="253"/>
      <c r="CI8" s="253"/>
      <c r="CJ8" s="253"/>
      <c r="CK8" s="253"/>
      <c r="CL8" s="253"/>
      <c r="CM8" s="253"/>
      <c r="CN8" s="253"/>
      <c r="CO8" s="253"/>
      <c r="CP8" s="253"/>
      <c r="CQ8" s="253"/>
      <c r="CR8" s="253"/>
      <c r="CS8" s="253"/>
      <c r="CT8" s="253"/>
      <c r="CU8" s="253"/>
      <c r="CV8" s="253"/>
      <c r="CW8" s="253"/>
      <c r="CX8" s="251"/>
      <c r="CY8" s="251"/>
      <c r="CZ8" s="251"/>
      <c r="DA8" s="251"/>
      <c r="DB8" s="251"/>
      <c r="DC8" s="251"/>
      <c r="DD8" s="251"/>
      <c r="DE8" s="251"/>
      <c r="DF8" s="251"/>
      <c r="DG8" s="251"/>
      <c r="DH8" s="251"/>
      <c r="DI8" s="251"/>
      <c r="DJ8" s="251"/>
      <c r="DK8" s="251"/>
      <c r="DL8" s="251"/>
      <c r="DM8" s="251"/>
      <c r="DN8" s="251"/>
      <c r="DO8" s="251"/>
      <c r="DP8" s="251"/>
      <c r="DQ8" s="251"/>
      <c r="DR8" s="251"/>
      <c r="DS8" s="251"/>
      <c r="DT8" s="251"/>
      <c r="DU8" s="251"/>
      <c r="DV8" s="251"/>
      <c r="DW8" s="251"/>
      <c r="DX8" s="251"/>
      <c r="DY8" s="251"/>
      <c r="DZ8" s="251"/>
      <c r="EA8" s="251"/>
    </row>
    <row r="9" spans="1:131">
      <c r="A9" s="251"/>
      <c r="B9" s="251"/>
      <c r="C9" s="253"/>
      <c r="D9" s="253"/>
      <c r="E9" s="253"/>
      <c r="F9" s="253"/>
      <c r="G9" s="253"/>
      <c r="H9" s="253"/>
      <c r="I9" s="253"/>
      <c r="J9" s="253"/>
      <c r="K9" s="253"/>
      <c r="L9" s="253"/>
      <c r="M9" s="253"/>
      <c r="N9" s="253"/>
      <c r="O9" s="253"/>
      <c r="P9" s="253"/>
      <c r="Q9" s="253"/>
      <c r="R9" s="253"/>
      <c r="S9" s="253"/>
      <c r="T9" s="253"/>
      <c r="U9" s="253"/>
      <c r="V9" s="253"/>
      <c r="W9" s="253"/>
      <c r="X9" s="253"/>
      <c r="Y9" s="253"/>
      <c r="Z9" s="253"/>
      <c r="AA9" s="253"/>
      <c r="AB9" s="253"/>
      <c r="AC9" s="253"/>
      <c r="AD9" s="253"/>
      <c r="AE9" s="253"/>
      <c r="AF9" s="253"/>
      <c r="AG9" s="253"/>
      <c r="AH9" s="253"/>
      <c r="AI9" s="253"/>
      <c r="AJ9" s="253"/>
      <c r="AK9" s="253"/>
      <c r="AL9" s="253"/>
      <c r="AM9" s="253"/>
      <c r="AN9" s="253"/>
      <c r="AO9" s="253"/>
      <c r="AP9" s="253"/>
      <c r="AQ9" s="253"/>
      <c r="AR9" s="253"/>
      <c r="AS9" s="253"/>
      <c r="AT9" s="253"/>
      <c r="AU9" s="253"/>
      <c r="AV9" s="253"/>
      <c r="AW9" s="253"/>
      <c r="AX9" s="253"/>
      <c r="AY9" s="253"/>
      <c r="AZ9" s="253"/>
      <c r="BA9" s="253"/>
      <c r="BB9" s="253"/>
      <c r="BC9" s="253"/>
      <c r="BD9" s="253"/>
      <c r="BE9" s="253"/>
      <c r="BF9" s="253"/>
      <c r="BG9" s="253"/>
      <c r="BH9" s="253"/>
      <c r="BI9" s="253"/>
      <c r="BJ9" s="253"/>
      <c r="BK9" s="253"/>
      <c r="BL9" s="253"/>
      <c r="BM9" s="253"/>
      <c r="BN9" s="253"/>
      <c r="BO9" s="253"/>
      <c r="BP9" s="253"/>
      <c r="BQ9" s="253"/>
      <c r="BR9" s="253"/>
      <c r="BS9" s="253"/>
      <c r="BT9" s="253"/>
      <c r="BU9" s="253"/>
      <c r="BV9" s="253"/>
      <c r="BW9" s="253"/>
      <c r="BX9" s="253"/>
      <c r="BY9" s="253"/>
      <c r="BZ9" s="253"/>
      <c r="CA9" s="253"/>
      <c r="CB9" s="253"/>
      <c r="CC9" s="253"/>
      <c r="CD9" s="253"/>
      <c r="CE9" s="253"/>
      <c r="CF9" s="253"/>
      <c r="CG9" s="253"/>
      <c r="CH9" s="253"/>
      <c r="CI9" s="253"/>
      <c r="CJ9" s="253"/>
      <c r="CK9" s="253"/>
      <c r="CL9" s="253"/>
      <c r="CM9" s="253"/>
      <c r="CN9" s="253"/>
      <c r="CO9" s="253"/>
      <c r="CP9" s="253"/>
      <c r="CQ9" s="253"/>
      <c r="CR9" s="253"/>
      <c r="CS9" s="253"/>
      <c r="CT9" s="253"/>
      <c r="CU9" s="253"/>
      <c r="CV9" s="253"/>
      <c r="CW9" s="253"/>
      <c r="CX9" s="251"/>
      <c r="CY9" s="251"/>
      <c r="CZ9" s="251"/>
      <c r="DA9" s="251"/>
      <c r="DB9" s="251"/>
      <c r="DC9" s="251"/>
      <c r="DD9" s="251"/>
      <c r="DE9" s="251"/>
      <c r="DF9" s="251"/>
      <c r="DG9" s="251"/>
      <c r="DH9" s="251"/>
      <c r="DI9" s="251"/>
      <c r="DJ9" s="251"/>
      <c r="DK9" s="251"/>
      <c r="DL9" s="251"/>
      <c r="DM9" s="251"/>
      <c r="DN9" s="251"/>
      <c r="DO9" s="251"/>
      <c r="DP9" s="251"/>
      <c r="DQ9" s="251"/>
      <c r="DR9" s="251"/>
      <c r="DS9" s="251"/>
      <c r="DT9" s="251"/>
      <c r="DU9" s="251"/>
      <c r="DV9" s="251"/>
      <c r="DW9" s="251"/>
      <c r="DX9" s="251"/>
      <c r="DY9" s="251"/>
      <c r="DZ9" s="251"/>
      <c r="EA9" s="251"/>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sheetPr codeName="Sheet5"/>
  <dimension ref="A1:EA96"/>
  <sheetViews>
    <sheetView topLeftCell="A19" workbookViewId="0">
      <selection activeCell="A15" sqref="A15:EA96"/>
    </sheetView>
  </sheetViews>
  <sheetFormatPr defaultRowHeight="12.75"/>
  <cols>
    <col min="1" max="1" width="53.85546875" customWidth="1"/>
    <col min="2" max="2" width="53.28515625" customWidth="1"/>
    <col min="3" max="3" width="17.42578125" bestFit="1" customWidth="1"/>
    <col min="4" max="4" width="12.140625" bestFit="1" customWidth="1"/>
    <col min="5" max="5" width="14.28515625" customWidth="1"/>
    <col min="6" max="6" width="13.7109375" customWidth="1"/>
    <col min="7" max="7" width="25.42578125" customWidth="1"/>
    <col min="8" max="8" width="15.7109375" bestFit="1" customWidth="1"/>
    <col min="9" max="9" width="15.42578125" bestFit="1" customWidth="1"/>
    <col min="10" max="10" width="14.42578125" bestFit="1" customWidth="1"/>
    <col min="11" max="11" width="14.28515625" customWidth="1"/>
    <col min="12" max="12" width="12.5703125" customWidth="1"/>
    <col min="13" max="13" width="13.28515625" bestFit="1" customWidth="1"/>
    <col min="14" max="14" width="12.140625" bestFit="1" customWidth="1"/>
    <col min="15" max="15" width="13.28515625" bestFit="1" customWidth="1"/>
    <col min="16" max="16" width="27.7109375" customWidth="1"/>
    <col min="17" max="18" width="13.28515625" bestFit="1" customWidth="1"/>
    <col min="19" max="19" width="14.42578125" bestFit="1" customWidth="1"/>
    <col min="20" max="20" width="10.7109375" customWidth="1"/>
    <col min="21" max="21" width="14" bestFit="1" customWidth="1"/>
    <col min="22" max="22" width="12.140625" bestFit="1" customWidth="1"/>
    <col min="23" max="23" width="15.42578125" bestFit="1" customWidth="1"/>
    <col min="81" max="81" width="14.85546875" customWidth="1"/>
    <col min="83" max="83" width="11.28515625" customWidth="1"/>
  </cols>
  <sheetData>
    <row r="1" spans="1:131">
      <c r="A1" s="338" t="s">
        <v>671</v>
      </c>
      <c r="B1" s="339"/>
      <c r="C1" s="339"/>
      <c r="D1" s="339"/>
      <c r="E1" s="339"/>
      <c r="F1" s="339"/>
      <c r="G1" s="339"/>
      <c r="H1" s="340"/>
      <c r="I1" s="341"/>
      <c r="J1" s="341"/>
      <c r="K1" s="341"/>
      <c r="L1" s="341"/>
      <c r="M1" s="341"/>
      <c r="N1" s="342"/>
      <c r="O1" s="343" t="e">
        <v>#REF!</v>
      </c>
      <c r="P1" s="342"/>
      <c r="Q1" s="342"/>
      <c r="R1" s="342"/>
      <c r="S1" s="340"/>
      <c r="T1" s="340"/>
      <c r="U1" s="340"/>
      <c r="V1" s="342"/>
      <c r="W1" s="340"/>
    </row>
    <row r="2" spans="1:131">
      <c r="A2" s="344" t="s">
        <v>672</v>
      </c>
      <c r="B2" s="340" t="str">
        <f>[3]MLIST!$A$2</f>
        <v>Distribution System Efficiency</v>
      </c>
      <c r="C2" s="340"/>
      <c r="D2" s="340"/>
      <c r="E2" s="340"/>
      <c r="F2" s="340"/>
      <c r="G2" s="340"/>
      <c r="H2" s="340"/>
      <c r="I2" s="341"/>
      <c r="J2" s="341"/>
      <c r="K2" s="341"/>
      <c r="L2" s="341"/>
      <c r="M2" s="341"/>
      <c r="N2" s="342"/>
      <c r="O2" s="342"/>
      <c r="P2" s="342"/>
      <c r="Q2" s="342"/>
      <c r="R2" s="342"/>
      <c r="S2" s="340"/>
      <c r="T2" s="340"/>
      <c r="U2" s="340"/>
      <c r="V2" s="342"/>
      <c r="W2" s="340"/>
    </row>
    <row r="3" spans="1:131">
      <c r="A3" s="344" t="s">
        <v>673</v>
      </c>
      <c r="B3" s="251"/>
      <c r="C3" s="344">
        <v>2012</v>
      </c>
      <c r="D3" s="251"/>
      <c r="E3" s="251"/>
      <c r="F3" s="251"/>
      <c r="G3" s="251"/>
      <c r="H3" s="251"/>
      <c r="I3" s="251"/>
      <c r="J3" s="345"/>
      <c r="K3" s="346"/>
      <c r="L3" s="251"/>
      <c r="M3" s="251"/>
      <c r="N3" s="251"/>
      <c r="O3" s="251"/>
      <c r="P3" s="251"/>
      <c r="Q3" s="251"/>
      <c r="R3" s="251"/>
      <c r="S3" s="251"/>
      <c r="T3" s="251"/>
      <c r="U3" s="251"/>
      <c r="V3" s="251"/>
      <c r="W3" s="251"/>
    </row>
    <row r="4" spans="1:131">
      <c r="A4" s="251"/>
      <c r="B4" s="409" t="s">
        <v>904</v>
      </c>
      <c r="C4" s="397" t="s">
        <v>903</v>
      </c>
      <c r="D4" s="397"/>
      <c r="E4" s="251"/>
      <c r="F4" s="251"/>
      <c r="G4" s="251"/>
      <c r="H4" s="251"/>
      <c r="I4" s="251"/>
      <c r="J4" s="251"/>
      <c r="K4" s="251"/>
      <c r="L4" s="251"/>
      <c r="M4" s="251"/>
      <c r="N4" s="251"/>
      <c r="O4" s="251"/>
      <c r="P4" s="251"/>
      <c r="Q4" s="251"/>
      <c r="R4" s="251"/>
      <c r="S4" s="251"/>
      <c r="T4" s="251"/>
      <c r="U4" s="251"/>
      <c r="V4" s="251"/>
      <c r="W4" s="251"/>
    </row>
    <row r="5" spans="1:131">
      <c r="A5" s="347">
        <v>1</v>
      </c>
      <c r="B5" s="347">
        <v>2</v>
      </c>
      <c r="C5" s="347">
        <v>3</v>
      </c>
      <c r="D5" s="347">
        <v>4</v>
      </c>
      <c r="E5" s="347">
        <v>5</v>
      </c>
      <c r="F5" s="347">
        <v>6</v>
      </c>
      <c r="G5" s="347">
        <v>7</v>
      </c>
      <c r="H5" s="347">
        <v>8</v>
      </c>
      <c r="I5" s="347">
        <v>9</v>
      </c>
      <c r="J5" s="347">
        <v>10</v>
      </c>
      <c r="K5" s="347">
        <v>11</v>
      </c>
      <c r="L5" s="347">
        <v>12</v>
      </c>
      <c r="M5" s="347">
        <v>13</v>
      </c>
      <c r="N5" s="347">
        <v>14</v>
      </c>
      <c r="O5" s="347">
        <v>15</v>
      </c>
      <c r="P5" s="347">
        <v>16</v>
      </c>
      <c r="Q5" s="347">
        <v>17</v>
      </c>
      <c r="R5" s="347">
        <v>18</v>
      </c>
      <c r="S5" s="347">
        <v>19</v>
      </c>
      <c r="T5" s="347">
        <v>20</v>
      </c>
      <c r="U5" s="347">
        <v>21</v>
      </c>
      <c r="V5" s="347">
        <v>22</v>
      </c>
      <c r="W5" s="347">
        <v>23</v>
      </c>
    </row>
    <row r="6" spans="1:131">
      <c r="A6" s="348" t="s">
        <v>674</v>
      </c>
      <c r="B6" s="349"/>
      <c r="C6" s="349"/>
      <c r="D6" s="349"/>
      <c r="E6" s="349"/>
      <c r="F6" s="349"/>
      <c r="G6" s="350"/>
      <c r="H6" s="351"/>
      <c r="I6" s="439" t="s">
        <v>675</v>
      </c>
      <c r="J6" s="440"/>
      <c r="K6" s="440"/>
      <c r="L6" s="440"/>
      <c r="M6" s="440"/>
      <c r="N6" s="441"/>
      <c r="O6" s="442" t="s">
        <v>676</v>
      </c>
      <c r="P6" s="443"/>
      <c r="Q6" s="352" t="s">
        <v>677</v>
      </c>
      <c r="R6" s="444" t="s">
        <v>678</v>
      </c>
      <c r="S6" s="444"/>
      <c r="T6" s="444"/>
      <c r="U6" s="353"/>
      <c r="V6" s="353"/>
      <c r="W6" s="353"/>
    </row>
    <row r="7" spans="1:131" ht="25.5">
      <c r="A7" s="354" t="s">
        <v>679</v>
      </c>
      <c r="B7" s="354" t="s">
        <v>680</v>
      </c>
      <c r="C7" s="354" t="s">
        <v>681</v>
      </c>
      <c r="D7" s="354" t="s">
        <v>682</v>
      </c>
      <c r="E7" s="354" t="s">
        <v>683</v>
      </c>
      <c r="F7" s="355" t="s">
        <v>684</v>
      </c>
      <c r="G7" s="354" t="s">
        <v>685</v>
      </c>
      <c r="H7" s="356" t="s">
        <v>686</v>
      </c>
      <c r="I7" s="356" t="s">
        <v>687</v>
      </c>
      <c r="J7" s="356" t="s">
        <v>688</v>
      </c>
      <c r="K7" s="356" t="s">
        <v>689</v>
      </c>
      <c r="L7" s="356" t="s">
        <v>690</v>
      </c>
      <c r="M7" s="356" t="s">
        <v>691</v>
      </c>
      <c r="N7" s="356" t="s">
        <v>692</v>
      </c>
      <c r="O7" s="357" t="s">
        <v>693</v>
      </c>
      <c r="P7" s="356" t="s">
        <v>685</v>
      </c>
      <c r="Q7" s="358" t="s">
        <v>694</v>
      </c>
      <c r="R7" s="359" t="s">
        <v>695</v>
      </c>
      <c r="S7" s="359" t="s">
        <v>696</v>
      </c>
      <c r="T7" s="359" t="s">
        <v>697</v>
      </c>
      <c r="U7" s="360"/>
      <c r="V7" s="360"/>
      <c r="W7" s="360"/>
    </row>
    <row r="8" spans="1:131">
      <c r="A8" t="str">
        <f>B8</f>
        <v>1 - LDC voltage control method</v>
      </c>
      <c r="B8" s="337" t="s">
        <v>700</v>
      </c>
      <c r="C8" s="408">
        <f>VLOOKUP($B8,Rollup!$B$4:$L$8,7,FALSE)*1000</f>
        <v>4.1286456896631503</v>
      </c>
      <c r="D8" s="3">
        <f>VLOOKUP($B8,Rollup!$B$4:$L$8,10,FALSE)</f>
        <v>15</v>
      </c>
      <c r="E8" s="410">
        <f>VLOOKUP($B8,Rollup!$B$4:$L$8,8,FALSE)</f>
        <v>0.16609903093306744</v>
      </c>
      <c r="F8" s="408">
        <f>VLOOKUP($B8,Rollup!$B$4:$L$8,9,FALSE)</f>
        <v>7.0403136364678882E-3</v>
      </c>
      <c r="G8" t="s">
        <v>488</v>
      </c>
    </row>
    <row r="9" spans="1:131">
      <c r="A9" t="str">
        <f t="shared" ref="A9:A12" si="0">B9</f>
        <v>2 - Light system improvements</v>
      </c>
      <c r="B9" s="337" t="s">
        <v>698</v>
      </c>
      <c r="C9" s="408">
        <f>VLOOKUP($B9,Rollup!$B$4:$L$8,7,FALSE)*1000</f>
        <v>2.4730935753017791</v>
      </c>
      <c r="D9" s="3">
        <f>VLOOKUP($B9,Rollup!$B$4:$L$8,10,FALSE)</f>
        <v>15</v>
      </c>
      <c r="E9" s="410">
        <f>VLOOKUP($B9,Rollup!$B$4:$L$8,8,FALSE)</f>
        <v>0.2498478167734684</v>
      </c>
      <c r="F9" s="408">
        <f>VLOOKUP($B9,Rollup!$B$4:$L$8,9,FALSE)</f>
        <v>3.5201568182339441E-3</v>
      </c>
      <c r="G9" t="s">
        <v>488</v>
      </c>
    </row>
    <row r="10" spans="1:131">
      <c r="A10" t="str">
        <f t="shared" si="0"/>
        <v>3 - Major system improvements</v>
      </c>
      <c r="B10" s="337" t="s">
        <v>699</v>
      </c>
      <c r="C10" s="408">
        <f>VLOOKUP($B10,Rollup!$B$4:$L$8,7,FALSE)*1000</f>
        <v>2.7165086867540036</v>
      </c>
      <c r="D10" s="3">
        <f>VLOOKUP($B10,Rollup!$B$4:$L$8,10,FALSE)</f>
        <v>15</v>
      </c>
      <c r="E10" s="410">
        <f>VLOOKUP($B10,Rollup!$B$4:$L$8,8,FALSE)</f>
        <v>1.8020164191833796</v>
      </c>
      <c r="F10" s="408">
        <f>VLOOKUP($B10,Rollup!$B$4:$L$8,9,FALSE)</f>
        <v>3.5201568182339441E-3</v>
      </c>
      <c r="G10" t="s">
        <v>488</v>
      </c>
    </row>
    <row r="11" spans="1:131">
      <c r="A11" t="str">
        <f t="shared" si="0"/>
        <v>4 - EOL voltage control method</v>
      </c>
      <c r="B11" s="337" t="s">
        <v>380</v>
      </c>
      <c r="C11" s="408">
        <f>VLOOKUP($B11,Rollup!$B$4:$L$8,7,FALSE)*1000</f>
        <v>1.3922070596964742</v>
      </c>
      <c r="D11" s="3">
        <f>VLOOKUP($B11,Rollup!$B$4:$L$8,10,FALSE)</f>
        <v>15</v>
      </c>
      <c r="E11" s="410">
        <f>VLOOKUP($B11,Rollup!$B$4:$L$8,8,FALSE)</f>
        <v>1.3898288793186622</v>
      </c>
      <c r="F11" s="408">
        <f>VLOOKUP($B11,Rollup!$B$4:$L$8,9,FALSE)</f>
        <v>6.465894455897187E-3</v>
      </c>
      <c r="G11" t="s">
        <v>488</v>
      </c>
    </row>
    <row r="12" spans="1:131">
      <c r="A12" t="str">
        <f t="shared" si="0"/>
        <v>A - SCL implement EOL w/ major system improvements</v>
      </c>
      <c r="B12" s="337" t="s">
        <v>381</v>
      </c>
      <c r="C12" s="408">
        <f>VLOOKUP($B12,Rollup!$B$4:$L$8,7,FALSE)*1000</f>
        <v>0.10783159442643497</v>
      </c>
      <c r="D12" s="3">
        <f>VLOOKUP($B12,Rollup!$B$4:$L$8,10,FALSE)</f>
        <v>15</v>
      </c>
      <c r="E12" s="410">
        <f>VLOOKUP($B12,Rollup!$B$4:$L$8,8,FALSE)</f>
        <v>0.35145964490321813</v>
      </c>
      <c r="F12" s="408">
        <f>VLOOKUP($B12,Rollup!$B$4:$L$8,9,FALSE)</f>
        <v>1.9988226250419985E-4</v>
      </c>
      <c r="G12" t="s">
        <v>488</v>
      </c>
    </row>
    <row r="15" spans="1:131">
      <c r="A15" s="251"/>
      <c r="B15" s="251"/>
      <c r="C15" s="251"/>
      <c r="D15" s="251"/>
      <c r="E15" s="251"/>
      <c r="F15" s="251"/>
      <c r="G15" s="251"/>
      <c r="H15" s="251"/>
      <c r="I15" s="251"/>
      <c r="J15" s="251"/>
      <c r="K15" s="251"/>
      <c r="L15" s="251"/>
      <c r="M15" s="251"/>
      <c r="N15" s="251"/>
      <c r="O15" s="251"/>
      <c r="P15" s="251"/>
      <c r="Q15" s="251"/>
      <c r="R15" s="251"/>
      <c r="S15" s="251"/>
      <c r="T15" s="251"/>
      <c r="U15" s="251"/>
      <c r="V15" s="251"/>
      <c r="W15" s="251"/>
      <c r="X15" s="251"/>
      <c r="Y15" s="251"/>
      <c r="Z15" s="251"/>
      <c r="AA15" s="251"/>
      <c r="AB15" s="251"/>
      <c r="AC15" s="251"/>
      <c r="AD15" s="251"/>
      <c r="AE15" s="251"/>
      <c r="AF15" s="251"/>
      <c r="AG15" s="251"/>
      <c r="AH15" s="251"/>
      <c r="AI15" s="251"/>
      <c r="AJ15" s="251"/>
      <c r="AK15" s="251"/>
      <c r="AL15" s="251"/>
      <c r="AM15" s="251"/>
      <c r="AN15" s="251"/>
      <c r="AO15" s="251"/>
      <c r="AP15" s="251"/>
      <c r="AQ15" s="251"/>
      <c r="AR15" s="251"/>
      <c r="AS15" s="251"/>
      <c r="AT15" s="251"/>
      <c r="AU15" s="251"/>
      <c r="AV15" s="251"/>
      <c r="AW15" s="251"/>
      <c r="AX15" s="251"/>
      <c r="AY15" s="251"/>
      <c r="AZ15" s="251"/>
      <c r="BA15" s="251"/>
      <c r="BB15" s="251"/>
      <c r="BC15" s="251"/>
      <c r="BD15" s="251"/>
      <c r="BE15" s="251"/>
      <c r="BF15" s="251"/>
      <c r="BG15" s="251"/>
      <c r="BH15" s="251"/>
      <c r="BI15" s="251"/>
      <c r="BJ15" s="251"/>
      <c r="BK15" s="251"/>
      <c r="BL15" s="251"/>
      <c r="BM15" s="251"/>
      <c r="BN15" s="251"/>
      <c r="BO15" s="251"/>
      <c r="BP15" s="251"/>
      <c r="BQ15" s="251"/>
      <c r="BR15" s="251"/>
      <c r="BS15" s="251"/>
      <c r="BT15" s="251"/>
      <c r="BU15" s="251"/>
      <c r="BV15" s="251"/>
      <c r="BW15" s="251"/>
      <c r="BX15" s="251"/>
      <c r="BY15" s="251"/>
      <c r="BZ15" s="251"/>
      <c r="CA15" s="251"/>
      <c r="CB15" s="251"/>
      <c r="CC15" s="251"/>
      <c r="CD15" s="251"/>
      <c r="CE15" s="251"/>
      <c r="CF15" s="251"/>
      <c r="CG15" s="251"/>
      <c r="CH15" s="251"/>
      <c r="CI15" s="251"/>
      <c r="CJ15" s="251"/>
      <c r="CK15" s="251"/>
      <c r="CL15" s="251"/>
      <c r="CM15" s="251"/>
      <c r="CN15" s="251"/>
      <c r="CO15" s="251"/>
      <c r="CP15" s="251"/>
      <c r="CQ15" s="251"/>
      <c r="CR15" s="251"/>
      <c r="CS15" s="251"/>
      <c r="CT15" s="251"/>
      <c r="CU15" s="251"/>
      <c r="CV15" s="251"/>
      <c r="CW15" s="251"/>
      <c r="CX15" s="251"/>
      <c r="CY15" s="251"/>
      <c r="CZ15" s="251"/>
      <c r="DA15" s="251"/>
      <c r="DB15" s="251"/>
      <c r="DC15" s="251"/>
      <c r="DD15" s="251"/>
      <c r="DE15" s="251"/>
      <c r="DF15" s="251"/>
      <c r="DG15" s="251"/>
      <c r="DH15" s="251"/>
      <c r="DI15" s="251"/>
      <c r="DJ15" s="251"/>
      <c r="DK15" s="251"/>
      <c r="DL15" s="251"/>
      <c r="DM15" s="251"/>
      <c r="DN15" s="251"/>
      <c r="DO15" s="251"/>
      <c r="DP15" s="251"/>
      <c r="DQ15" s="251"/>
      <c r="DR15" s="251"/>
      <c r="DS15" s="251"/>
      <c r="DT15" s="251"/>
      <c r="DU15" s="251"/>
      <c r="DV15" s="251"/>
      <c r="DW15" s="251"/>
      <c r="DX15" s="251"/>
      <c r="DY15" s="251"/>
      <c r="DZ15" s="251"/>
      <c r="EA15" s="251"/>
    </row>
    <row r="16" spans="1:131">
      <c r="A16" s="373" t="s">
        <v>713</v>
      </c>
      <c r="B16" s="374"/>
      <c r="C16" s="251"/>
      <c r="D16" s="251"/>
      <c r="E16" s="251"/>
      <c r="F16" s="251"/>
      <c r="G16" s="251"/>
      <c r="H16" s="251"/>
      <c r="I16" s="251"/>
      <c r="J16" s="251"/>
      <c r="K16" s="251"/>
      <c r="L16" s="251"/>
      <c r="M16" s="251"/>
      <c r="N16" s="251"/>
      <c r="O16" s="251"/>
      <c r="P16" s="251"/>
      <c r="Q16" s="251"/>
      <c r="R16" s="251"/>
      <c r="S16" s="251"/>
      <c r="T16" s="251"/>
      <c r="U16" s="251"/>
      <c r="V16" s="251"/>
      <c r="W16" s="251"/>
      <c r="X16" s="251"/>
      <c r="Y16" s="251"/>
      <c r="Z16" s="251"/>
      <c r="AA16" s="251"/>
      <c r="AB16" s="251"/>
      <c r="AC16" s="251"/>
      <c r="AD16" s="251"/>
      <c r="AE16" s="251"/>
      <c r="AF16" s="251"/>
      <c r="AG16" s="251"/>
      <c r="AH16" s="251"/>
      <c r="AI16" s="251"/>
      <c r="AJ16" s="251"/>
      <c r="AK16" s="251"/>
      <c r="AL16" s="251"/>
      <c r="AM16" s="251"/>
      <c r="AN16" s="251"/>
      <c r="AO16" s="251"/>
      <c r="AP16" s="251"/>
      <c r="AQ16" s="251"/>
      <c r="AR16" s="251"/>
      <c r="AS16" s="251"/>
      <c r="AT16" s="251"/>
      <c r="AU16" s="251"/>
      <c r="AV16" s="251"/>
      <c r="AW16" s="251"/>
      <c r="AX16" s="251"/>
      <c r="AY16" s="251"/>
      <c r="AZ16" s="251"/>
      <c r="BA16" s="251"/>
      <c r="BB16" s="251"/>
      <c r="BC16" s="251"/>
      <c r="BD16" s="251"/>
      <c r="BE16" s="251"/>
      <c r="BF16" s="251"/>
      <c r="BG16" s="251"/>
      <c r="BH16" s="251"/>
      <c r="BI16" s="251"/>
      <c r="BJ16" s="251"/>
      <c r="BK16" s="251"/>
      <c r="BL16" s="251"/>
      <c r="BM16" s="251"/>
      <c r="BN16" s="251"/>
      <c r="BO16" s="251"/>
      <c r="BP16" s="251"/>
      <c r="BQ16" s="251"/>
      <c r="BR16" s="251"/>
      <c r="BS16" s="251"/>
      <c r="BT16" s="251"/>
      <c r="BU16" s="251"/>
      <c r="BV16" s="251"/>
      <c r="BW16" s="251"/>
      <c r="BX16" s="251"/>
      <c r="BY16" s="251"/>
      <c r="BZ16" s="251"/>
      <c r="CA16" s="251"/>
      <c r="CB16" s="251"/>
      <c r="CC16" s="251"/>
      <c r="CD16" s="251"/>
      <c r="CE16" s="251"/>
      <c r="CF16" s="251"/>
      <c r="CG16" s="251"/>
      <c r="CH16" s="251"/>
      <c r="CI16" s="251"/>
      <c r="CJ16" s="251"/>
      <c r="CK16" s="251"/>
      <c r="CL16" s="251"/>
      <c r="CM16" s="251"/>
      <c r="CN16" s="251"/>
      <c r="CO16" s="251"/>
      <c r="CP16" s="251"/>
      <c r="CQ16" s="251"/>
      <c r="CR16" s="251"/>
      <c r="CS16" s="251"/>
      <c r="CT16" s="251"/>
      <c r="CU16" s="251"/>
      <c r="CV16" s="251"/>
      <c r="CW16" s="251"/>
      <c r="CX16" s="251"/>
      <c r="CY16" s="251"/>
      <c r="CZ16" s="251"/>
      <c r="DA16" s="251"/>
      <c r="DB16" s="251"/>
      <c r="DC16" s="251"/>
      <c r="DD16" s="251"/>
      <c r="DE16" s="251"/>
      <c r="DF16" s="251"/>
      <c r="DG16" s="251"/>
      <c r="DH16" s="251"/>
      <c r="DI16" s="251"/>
      <c r="DJ16" s="251"/>
      <c r="DK16" s="251"/>
      <c r="DL16" s="251"/>
      <c r="DM16" s="251"/>
      <c r="DN16" s="251"/>
      <c r="DO16" s="251"/>
      <c r="DP16" s="251"/>
      <c r="DQ16" s="251"/>
      <c r="DR16" s="251"/>
      <c r="DS16" s="251"/>
      <c r="DT16" s="251"/>
      <c r="DU16" s="251"/>
      <c r="DV16" s="251"/>
      <c r="DW16" s="251"/>
      <c r="DX16" s="251"/>
      <c r="DY16" s="251"/>
      <c r="DZ16" s="251"/>
      <c r="EA16" s="251"/>
    </row>
    <row r="17" spans="1:131">
      <c r="A17" s="251" t="s">
        <v>714</v>
      </c>
      <c r="B17" s="251" t="s">
        <v>715</v>
      </c>
      <c r="C17" s="251"/>
      <c r="D17" s="251"/>
      <c r="E17" s="251"/>
      <c r="F17" s="251"/>
      <c r="G17" s="251"/>
      <c r="H17" s="251"/>
      <c r="I17" s="251"/>
      <c r="J17" s="251"/>
      <c r="K17" s="251"/>
      <c r="L17" s="251"/>
      <c r="M17" s="251"/>
      <c r="N17" s="251"/>
      <c r="O17" s="251"/>
      <c r="P17" s="251"/>
      <c r="Q17" s="251"/>
      <c r="R17" s="251"/>
      <c r="S17" s="251"/>
      <c r="T17" s="251"/>
      <c r="U17" s="251"/>
      <c r="V17" s="251"/>
      <c r="W17" s="251"/>
      <c r="X17" s="251"/>
      <c r="Y17" s="251"/>
      <c r="Z17" s="251"/>
      <c r="AA17" s="251"/>
      <c r="AB17" s="251"/>
      <c r="AC17" s="251"/>
      <c r="AD17" s="251"/>
      <c r="AE17" s="251"/>
      <c r="AF17" s="251"/>
      <c r="AG17" s="251"/>
      <c r="AH17" s="251"/>
      <c r="AI17" s="251"/>
      <c r="AJ17" s="251"/>
      <c r="AK17" s="251"/>
      <c r="AL17" s="251"/>
      <c r="AM17" s="251"/>
      <c r="AN17" s="251"/>
      <c r="AO17" s="251"/>
      <c r="AP17" s="251"/>
      <c r="AQ17" s="251"/>
      <c r="AR17" s="251"/>
      <c r="AS17" s="251"/>
      <c r="AT17" s="251"/>
      <c r="AU17" s="251"/>
      <c r="AV17" s="251"/>
      <c r="AW17" s="251"/>
      <c r="AX17" s="251"/>
      <c r="AY17" s="251"/>
      <c r="AZ17" s="251"/>
      <c r="BA17" s="251"/>
      <c r="BB17" s="251"/>
      <c r="BC17" s="251"/>
      <c r="BD17" s="251"/>
      <c r="BE17" s="251"/>
      <c r="BF17" s="251"/>
      <c r="BG17" s="251"/>
      <c r="BH17" s="251"/>
      <c r="BI17" s="251"/>
      <c r="BJ17" s="251"/>
      <c r="BK17" s="251"/>
      <c r="BL17" s="251"/>
      <c r="BM17" s="251"/>
      <c r="BN17" s="251"/>
      <c r="BO17" s="251"/>
      <c r="BP17" s="251"/>
      <c r="BQ17" s="251"/>
      <c r="BR17" s="251"/>
      <c r="BS17" s="251"/>
      <c r="BT17" s="251"/>
      <c r="BU17" s="251"/>
      <c r="BV17" s="251"/>
      <c r="BW17" s="251"/>
      <c r="BX17" s="251"/>
      <c r="BY17" s="251"/>
      <c r="BZ17" s="251"/>
      <c r="CA17" s="251"/>
      <c r="CB17" s="251"/>
      <c r="CC17" s="251"/>
      <c r="CD17" s="251"/>
      <c r="CE17" s="251"/>
      <c r="CF17" s="251"/>
      <c r="CG17" s="251"/>
      <c r="CH17" s="251"/>
      <c r="CI17" s="251"/>
      <c r="CJ17" s="251"/>
      <c r="CK17" s="251"/>
      <c r="CL17" s="251"/>
      <c r="CM17" s="251"/>
      <c r="CN17" s="251"/>
      <c r="CO17" s="251"/>
      <c r="CP17" s="251"/>
      <c r="CQ17" s="251"/>
      <c r="CR17" s="251"/>
      <c r="CS17" s="251"/>
      <c r="CT17" s="251"/>
      <c r="CU17" s="251"/>
      <c r="CV17" s="251"/>
      <c r="CW17" s="251"/>
      <c r="CX17" s="251"/>
      <c r="CY17" s="251"/>
      <c r="CZ17" s="251"/>
      <c r="DA17" s="251"/>
      <c r="DB17" s="251"/>
      <c r="DC17" s="251"/>
      <c r="DD17" s="251"/>
      <c r="DE17" s="251"/>
      <c r="DF17" s="251"/>
      <c r="DG17" s="251"/>
      <c r="DH17" s="251"/>
      <c r="DI17" s="251"/>
      <c r="DJ17" s="251"/>
      <c r="DK17" s="251"/>
      <c r="DL17" s="251"/>
      <c r="DM17" s="251"/>
      <c r="DN17" s="251"/>
      <c r="DO17" s="251"/>
      <c r="DP17" s="251"/>
      <c r="DQ17" s="251"/>
      <c r="DR17" s="251"/>
      <c r="DS17" s="251"/>
      <c r="DT17" s="251"/>
      <c r="DU17" s="251"/>
      <c r="DV17" s="251"/>
      <c r="DW17" s="251"/>
      <c r="DX17" s="251"/>
      <c r="DY17" s="251"/>
      <c r="DZ17" s="251"/>
      <c r="EA17" s="251"/>
    </row>
    <row r="18" spans="1:131">
      <c r="A18" s="251" t="s">
        <v>716</v>
      </c>
      <c r="B18" s="251" t="s">
        <v>930</v>
      </c>
      <c r="C18" s="251"/>
      <c r="D18" s="251"/>
      <c r="E18" s="251"/>
      <c r="F18" s="251"/>
      <c r="G18" s="251"/>
      <c r="H18" s="251"/>
      <c r="I18" s="251"/>
      <c r="J18" s="251"/>
      <c r="K18" s="251"/>
      <c r="L18" s="251"/>
      <c r="M18" s="251"/>
      <c r="N18" s="251"/>
      <c r="O18" s="251"/>
      <c r="P18" s="251"/>
      <c r="Q18" s="251"/>
      <c r="R18" s="251"/>
      <c r="S18" s="251"/>
      <c r="T18" s="251"/>
      <c r="U18" s="251"/>
      <c r="V18" s="251"/>
      <c r="W18" s="251"/>
      <c r="X18" s="251"/>
      <c r="Y18" s="251"/>
      <c r="Z18" s="251"/>
      <c r="AA18" s="251"/>
      <c r="AB18" s="251"/>
      <c r="AC18" s="251"/>
      <c r="AD18" s="251"/>
      <c r="AE18" s="251"/>
      <c r="AF18" s="251"/>
      <c r="AG18" s="251"/>
      <c r="AH18" s="251"/>
      <c r="AI18" s="251"/>
      <c r="AJ18" s="251"/>
      <c r="AK18" s="251"/>
      <c r="AL18" s="251"/>
      <c r="AM18" s="251"/>
      <c r="AN18" s="251"/>
      <c r="AO18" s="251"/>
      <c r="AP18" s="251"/>
      <c r="AQ18" s="251"/>
      <c r="AR18" s="251"/>
      <c r="AS18" s="251"/>
      <c r="AT18" s="251"/>
      <c r="AU18" s="251"/>
      <c r="AV18" s="251"/>
      <c r="AW18" s="251"/>
      <c r="AX18" s="251"/>
      <c r="AY18" s="251"/>
      <c r="AZ18" s="251"/>
      <c r="BA18" s="251"/>
      <c r="BB18" s="251"/>
      <c r="BC18" s="251"/>
      <c r="BD18" s="251"/>
      <c r="BE18" s="251"/>
      <c r="BF18" s="251"/>
      <c r="BG18" s="251"/>
      <c r="BH18" s="251"/>
      <c r="BI18" s="251"/>
      <c r="BJ18" s="251"/>
      <c r="BK18" s="251"/>
      <c r="BL18" s="251"/>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1"/>
      <c r="DD18" s="251"/>
      <c r="DE18" s="251"/>
      <c r="DF18" s="251"/>
      <c r="DG18" s="251"/>
      <c r="DH18" s="251"/>
      <c r="DI18" s="251"/>
      <c r="DJ18" s="251"/>
      <c r="DK18" s="251"/>
      <c r="DL18" s="251"/>
      <c r="DM18" s="251"/>
      <c r="DN18" s="251"/>
      <c r="DO18" s="251"/>
      <c r="DP18" s="251"/>
      <c r="DQ18" s="251"/>
      <c r="DR18" s="251"/>
      <c r="DS18" s="251"/>
      <c r="DT18" s="251"/>
      <c r="DU18" s="251"/>
      <c r="DV18" s="251"/>
      <c r="DW18" s="251"/>
      <c r="DX18" s="251"/>
      <c r="DY18" s="251"/>
      <c r="DZ18" s="251"/>
      <c r="EA18" s="251"/>
    </row>
    <row r="19" spans="1:131">
      <c r="A19" s="251"/>
      <c r="B19" s="251"/>
      <c r="C19" s="251"/>
      <c r="D19" s="251"/>
      <c r="E19" s="251"/>
      <c r="F19" s="251"/>
      <c r="G19" s="251"/>
      <c r="H19" s="251"/>
      <c r="I19" s="251"/>
      <c r="J19" s="251"/>
      <c r="K19" s="251"/>
      <c r="L19" s="251"/>
      <c r="M19" s="251"/>
      <c r="N19" s="251"/>
      <c r="O19" s="251"/>
      <c r="P19" s="251"/>
      <c r="Q19" s="251"/>
      <c r="R19" s="251"/>
      <c r="S19" s="251"/>
      <c r="T19" s="251"/>
      <c r="U19" s="251"/>
      <c r="V19" s="251"/>
      <c r="W19" s="251"/>
      <c r="X19" s="251"/>
      <c r="Y19" s="251"/>
      <c r="Z19" s="251"/>
      <c r="AA19" s="251"/>
      <c r="AB19" s="251"/>
      <c r="AC19" s="251"/>
      <c r="AD19" s="251"/>
      <c r="AE19" s="251"/>
      <c r="AF19" s="251"/>
      <c r="AG19" s="251"/>
      <c r="AH19" s="251"/>
      <c r="AI19" s="251"/>
      <c r="AJ19" s="251"/>
      <c r="AK19" s="251"/>
      <c r="AL19" s="251"/>
      <c r="AM19" s="251"/>
      <c r="AN19" s="251"/>
      <c r="AO19" s="251"/>
      <c r="AP19" s="251"/>
      <c r="AQ19" s="251"/>
      <c r="AR19" s="251"/>
      <c r="AS19" s="251"/>
      <c r="AT19" s="251"/>
      <c r="AU19" s="251"/>
      <c r="AV19" s="251"/>
      <c r="AW19" s="251"/>
      <c r="AX19" s="251"/>
      <c r="AY19" s="251"/>
      <c r="AZ19" s="251"/>
      <c r="BA19" s="251"/>
      <c r="BB19" s="251"/>
      <c r="BC19" s="251"/>
      <c r="BD19" s="251"/>
      <c r="BE19" s="251"/>
      <c r="BF19" s="251"/>
      <c r="BG19" s="251"/>
      <c r="BH19" s="251"/>
      <c r="BI19" s="251"/>
      <c r="BJ19" s="251"/>
      <c r="BK19" s="251"/>
      <c r="BL19" s="251"/>
      <c r="BM19" s="251"/>
      <c r="BN19" s="251"/>
      <c r="BO19" s="251"/>
      <c r="BP19" s="251"/>
      <c r="BQ19" s="251"/>
      <c r="BR19" s="251"/>
      <c r="BS19" s="251"/>
      <c r="BT19" s="251"/>
      <c r="BU19" s="251"/>
      <c r="BV19" s="251"/>
      <c r="BW19" s="251"/>
      <c r="BX19" s="251"/>
      <c r="BY19" s="251"/>
      <c r="BZ19" s="251"/>
      <c r="CA19" s="251"/>
      <c r="CB19" s="251"/>
      <c r="CC19" s="251"/>
      <c r="CD19" s="251"/>
      <c r="CE19" s="251"/>
      <c r="CF19" s="251"/>
      <c r="CG19" s="251"/>
      <c r="CH19" s="251"/>
      <c r="CI19" s="251"/>
      <c r="CJ19" s="251"/>
      <c r="CK19" s="251"/>
      <c r="CL19" s="251"/>
      <c r="CM19" s="251"/>
      <c r="CN19" s="251"/>
      <c r="CO19" s="251"/>
      <c r="CP19" s="251"/>
      <c r="CQ19" s="251"/>
      <c r="CR19" s="251"/>
      <c r="CS19" s="251"/>
      <c r="CT19" s="251"/>
      <c r="CU19" s="251"/>
      <c r="CV19" s="251"/>
      <c r="CW19" s="251"/>
      <c r="CX19" s="251"/>
      <c r="CY19" s="251"/>
      <c r="CZ19" s="251"/>
      <c r="DA19" s="251"/>
      <c r="DB19" s="251"/>
      <c r="DC19" s="251"/>
      <c r="DD19" s="251"/>
      <c r="DE19" s="251"/>
      <c r="DF19" s="251"/>
      <c r="DG19" s="251"/>
      <c r="DH19" s="251"/>
      <c r="DI19" s="251"/>
      <c r="DJ19" s="251"/>
      <c r="DK19" s="251"/>
      <c r="DL19" s="251"/>
      <c r="DM19" s="251"/>
      <c r="DN19" s="251"/>
      <c r="DO19" s="251"/>
      <c r="DP19" s="251"/>
      <c r="DQ19" s="251"/>
      <c r="DR19" s="251"/>
      <c r="DS19" s="251"/>
      <c r="DT19" s="251"/>
      <c r="DU19" s="251"/>
      <c r="DV19" s="251"/>
      <c r="DW19" s="251"/>
      <c r="DX19" s="251"/>
      <c r="DY19" s="251"/>
      <c r="DZ19" s="251"/>
      <c r="EA19" s="251"/>
    </row>
    <row r="20" spans="1:131" ht="13.5" thickBot="1">
      <c r="A20" s="366" t="s">
        <v>717</v>
      </c>
      <c r="B20" s="375"/>
      <c r="C20" s="375"/>
      <c r="D20" s="375"/>
      <c r="E20" s="375"/>
      <c r="F20" s="375"/>
      <c r="G20" s="375"/>
      <c r="H20" s="375"/>
      <c r="I20" s="375"/>
      <c r="J20" s="375"/>
      <c r="K20" s="375"/>
      <c r="L20" s="375"/>
      <c r="M20" s="375"/>
      <c r="N20" s="375"/>
      <c r="O20" s="375"/>
      <c r="P20" s="375"/>
      <c r="Q20" s="375"/>
      <c r="R20" s="375"/>
      <c r="S20" s="375"/>
      <c r="T20" s="375"/>
      <c r="U20" s="375"/>
      <c r="V20" s="375"/>
      <c r="W20" s="375"/>
      <c r="X20" s="375"/>
      <c r="Y20" s="375"/>
      <c r="Z20" s="375"/>
      <c r="AA20" s="375"/>
      <c r="AB20" s="375"/>
      <c r="AC20" s="375"/>
      <c r="AD20" s="375"/>
      <c r="AE20" s="375"/>
      <c r="AF20" s="375"/>
      <c r="AG20" s="375"/>
      <c r="AH20" s="375"/>
      <c r="AI20" s="367"/>
      <c r="AJ20" s="251"/>
      <c r="AK20" s="251"/>
      <c r="AL20" s="251"/>
      <c r="AM20" s="251"/>
      <c r="AN20" s="251"/>
      <c r="AO20" s="251"/>
      <c r="AP20" s="251"/>
      <c r="AQ20" s="251"/>
      <c r="AR20" s="251"/>
      <c r="AS20" s="251"/>
      <c r="AT20" s="251"/>
      <c r="AU20" s="251"/>
      <c r="AV20" s="251"/>
      <c r="AW20" s="251"/>
      <c r="AX20" s="251"/>
      <c r="AY20" s="251"/>
      <c r="AZ20" s="251"/>
      <c r="BA20" s="251"/>
      <c r="BB20" s="251"/>
      <c r="BC20" s="251"/>
      <c r="BD20" s="251"/>
      <c r="BE20" s="251"/>
      <c r="BF20" s="251"/>
      <c r="BG20" s="251"/>
      <c r="BH20" s="251"/>
      <c r="BI20" s="251"/>
      <c r="BJ20" s="251"/>
      <c r="BK20" s="251"/>
      <c r="BL20" s="251"/>
      <c r="BM20" s="251"/>
      <c r="BN20" s="251"/>
      <c r="BO20" s="251"/>
      <c r="BP20" s="251"/>
      <c r="BQ20" s="251"/>
      <c r="BR20" s="251"/>
      <c r="BS20" s="251"/>
      <c r="BT20" s="251"/>
      <c r="BU20" s="251"/>
      <c r="BV20" s="251"/>
      <c r="BW20" s="251"/>
      <c r="BX20" s="251"/>
      <c r="BY20" s="251"/>
      <c r="BZ20" s="251"/>
      <c r="CA20" s="251"/>
      <c r="CB20" s="251"/>
      <c r="CC20" s="251"/>
      <c r="CD20" s="251"/>
      <c r="CE20" s="251"/>
      <c r="CF20" s="251"/>
      <c r="CG20" s="251"/>
      <c r="CH20" s="251"/>
      <c r="CI20" s="251"/>
      <c r="CJ20" s="251"/>
      <c r="CK20" s="251"/>
      <c r="CL20" s="251"/>
      <c r="CM20" s="251"/>
      <c r="CN20" s="251"/>
      <c r="CO20" s="251"/>
      <c r="CP20" s="251"/>
      <c r="CQ20" s="251"/>
      <c r="CR20" s="251"/>
      <c r="CS20" s="251"/>
      <c r="CT20" s="251"/>
      <c r="CU20" s="251"/>
      <c r="CV20" s="251"/>
      <c r="CW20" s="251"/>
      <c r="CX20" s="251"/>
      <c r="CY20" s="251"/>
      <c r="CZ20" s="251"/>
      <c r="DA20" s="251"/>
      <c r="DB20" s="251"/>
      <c r="DC20" s="251"/>
      <c r="DD20" s="251"/>
      <c r="DE20" s="251"/>
      <c r="DF20" s="251"/>
      <c r="DG20" s="251"/>
      <c r="DH20" s="251"/>
      <c r="DI20" s="251"/>
      <c r="DJ20" s="251"/>
      <c r="DK20" s="251"/>
      <c r="DL20" s="251"/>
      <c r="DM20" s="251"/>
      <c r="DN20" s="251"/>
      <c r="DO20" s="251"/>
      <c r="DP20" s="251"/>
      <c r="DQ20" s="251"/>
      <c r="DR20" s="251"/>
      <c r="DS20" s="251"/>
      <c r="DT20" s="251"/>
      <c r="DU20" s="251"/>
      <c r="DV20" s="251"/>
      <c r="DW20" s="251"/>
      <c r="DX20" s="251"/>
      <c r="DY20" s="251"/>
      <c r="DZ20" s="251"/>
      <c r="EA20" s="251"/>
    </row>
    <row r="21" spans="1:131">
      <c r="A21" s="251"/>
      <c r="B21" s="376" t="s">
        <v>718</v>
      </c>
      <c r="C21" s="377"/>
      <c r="D21" s="377" t="s">
        <v>718</v>
      </c>
      <c r="E21" s="378"/>
      <c r="F21" s="251"/>
      <c r="G21" s="376" t="s">
        <v>719</v>
      </c>
      <c r="H21" s="377"/>
      <c r="I21" s="377"/>
      <c r="J21" s="377"/>
      <c r="K21" s="377"/>
      <c r="L21" s="377"/>
      <c r="M21" s="377"/>
      <c r="N21" s="377"/>
      <c r="O21" s="378"/>
      <c r="P21" s="251"/>
      <c r="Q21" s="376" t="s">
        <v>720</v>
      </c>
      <c r="R21" s="377"/>
      <c r="S21" s="377"/>
      <c r="T21" s="377"/>
      <c r="U21" s="378"/>
      <c r="V21" s="251"/>
      <c r="W21" s="376" t="s">
        <v>721</v>
      </c>
      <c r="X21" s="378"/>
      <c r="Y21" s="251"/>
      <c r="Z21" s="376" t="s">
        <v>722</v>
      </c>
      <c r="AA21" s="377"/>
      <c r="AB21" s="378"/>
      <c r="AC21" s="251"/>
      <c r="AD21" s="251"/>
      <c r="AE21" s="251"/>
      <c r="AF21" s="251"/>
      <c r="AG21" s="251"/>
      <c r="AH21" s="251"/>
      <c r="AI21" s="251"/>
      <c r="AJ21" s="251"/>
      <c r="AK21" s="251"/>
      <c r="AL21" s="251"/>
      <c r="AM21" s="251"/>
      <c r="AN21" s="251"/>
      <c r="AO21" s="251"/>
      <c r="AP21" s="251"/>
      <c r="AQ21" s="251"/>
      <c r="AR21" s="251"/>
      <c r="AS21" s="251"/>
      <c r="AT21" s="251"/>
      <c r="AU21" s="251"/>
      <c r="AV21" s="251"/>
      <c r="AW21" s="251"/>
      <c r="AX21" s="251"/>
      <c r="AY21" s="251"/>
      <c r="AZ21" s="251"/>
      <c r="BA21" s="251"/>
      <c r="BB21" s="251"/>
      <c r="BC21" s="251"/>
      <c r="BD21" s="251"/>
      <c r="BE21" s="251"/>
      <c r="BF21" s="251"/>
      <c r="BG21" s="251"/>
      <c r="BH21" s="251"/>
      <c r="BI21" s="251"/>
      <c r="BJ21" s="251"/>
      <c r="BK21" s="251"/>
      <c r="BL21" s="251"/>
      <c r="BM21" s="251"/>
      <c r="BN21" s="251"/>
      <c r="BO21" s="251"/>
      <c r="BP21" s="251"/>
      <c r="BQ21" s="251"/>
      <c r="BR21" s="251"/>
      <c r="BS21" s="251"/>
      <c r="BT21" s="251"/>
      <c r="BU21" s="251"/>
      <c r="BV21" s="251"/>
      <c r="BW21" s="251"/>
      <c r="BX21" s="251"/>
      <c r="BY21" s="251"/>
      <c r="BZ21" s="251"/>
      <c r="CA21" s="251"/>
      <c r="CB21" s="251"/>
      <c r="CC21" s="251"/>
      <c r="CD21" s="251"/>
      <c r="CE21" s="251"/>
      <c r="CF21" s="251"/>
      <c r="CG21" s="251"/>
      <c r="CH21" s="251"/>
      <c r="CI21" s="251"/>
      <c r="CJ21" s="251"/>
      <c r="CK21" s="251"/>
      <c r="CL21" s="251"/>
      <c r="CM21" s="251"/>
      <c r="CN21" s="251"/>
      <c r="CO21" s="251"/>
      <c r="CP21" s="251"/>
      <c r="CQ21" s="251"/>
      <c r="CR21" s="251"/>
      <c r="CS21" s="251"/>
      <c r="CT21" s="251"/>
      <c r="CU21" s="251"/>
      <c r="CV21" s="251"/>
      <c r="CW21" s="251"/>
      <c r="CX21" s="251"/>
      <c r="CY21" s="251"/>
      <c r="CZ21" s="251"/>
      <c r="DA21" s="251"/>
      <c r="DB21" s="251"/>
      <c r="DC21" s="251"/>
      <c r="DD21" s="251"/>
      <c r="DE21" s="251"/>
      <c r="DF21" s="251"/>
      <c r="DG21" s="251"/>
      <c r="DH21" s="251"/>
      <c r="DI21" s="251"/>
      <c r="DJ21" s="251"/>
      <c r="DK21" s="251"/>
      <c r="DL21" s="251"/>
      <c r="DM21" s="251"/>
      <c r="DN21" s="251"/>
      <c r="DO21" s="251"/>
      <c r="DP21" s="251"/>
      <c r="DQ21" s="251"/>
      <c r="DR21" s="251"/>
      <c r="DS21" s="251"/>
      <c r="DT21" s="251"/>
      <c r="DU21" s="251"/>
      <c r="DV21" s="251"/>
      <c r="DW21" s="251"/>
      <c r="DX21" s="251"/>
      <c r="DY21" s="251"/>
      <c r="DZ21" s="251"/>
      <c r="EA21" s="251"/>
    </row>
    <row r="22" spans="1:131">
      <c r="A22" s="251"/>
      <c r="B22" s="379" t="s">
        <v>723</v>
      </c>
      <c r="C22" s="380" t="s">
        <v>724</v>
      </c>
      <c r="D22" s="380" t="s">
        <v>723</v>
      </c>
      <c r="E22" s="381" t="s">
        <v>724</v>
      </c>
      <c r="F22" s="251"/>
      <c r="G22" s="379" t="s">
        <v>725</v>
      </c>
      <c r="H22" s="380" t="s">
        <v>931</v>
      </c>
      <c r="I22" s="380"/>
      <c r="J22" s="380"/>
      <c r="K22" s="380" t="s">
        <v>726</v>
      </c>
      <c r="L22" s="380"/>
      <c r="M22" s="380"/>
      <c r="N22" s="380"/>
      <c r="O22" s="381"/>
      <c r="P22" s="251"/>
      <c r="Q22" s="379"/>
      <c r="R22" s="380" t="s">
        <v>727</v>
      </c>
      <c r="S22" s="380" t="s">
        <v>728</v>
      </c>
      <c r="T22" s="380" t="s">
        <v>729</v>
      </c>
      <c r="U22" s="381" t="s">
        <v>730</v>
      </c>
      <c r="V22" s="251"/>
      <c r="W22" s="379" t="s">
        <v>731</v>
      </c>
      <c r="X22" s="381">
        <v>20</v>
      </c>
      <c r="Y22" s="251"/>
      <c r="Z22" s="379"/>
      <c r="AA22" s="380" t="s">
        <v>724</v>
      </c>
      <c r="AB22" s="381" t="s">
        <v>732</v>
      </c>
      <c r="AC22" s="251"/>
      <c r="AD22" s="251"/>
      <c r="AE22" s="251"/>
      <c r="AF22" s="251"/>
      <c r="AG22" s="251"/>
      <c r="AH22" s="251"/>
      <c r="AI22" s="251"/>
      <c r="AJ22" s="251"/>
      <c r="AK22" s="251"/>
      <c r="AL22" s="251"/>
      <c r="AM22" s="251"/>
      <c r="AN22" s="251"/>
      <c r="AO22" s="251"/>
      <c r="AP22" s="251"/>
      <c r="AQ22" s="251"/>
      <c r="AR22" s="251"/>
      <c r="AS22" s="251"/>
      <c r="AT22" s="251"/>
      <c r="AU22" s="251"/>
      <c r="AV22" s="251"/>
      <c r="AW22" s="251"/>
      <c r="AX22" s="251"/>
      <c r="AY22" s="251"/>
      <c r="AZ22" s="251"/>
      <c r="BA22" s="251"/>
      <c r="BB22" s="251"/>
      <c r="BC22" s="251"/>
      <c r="BD22" s="251"/>
      <c r="BE22" s="251"/>
      <c r="BF22" s="251"/>
      <c r="BG22" s="251"/>
      <c r="BH22" s="251"/>
      <c r="BI22" s="251"/>
      <c r="BJ22" s="251"/>
      <c r="BK22" s="251"/>
      <c r="BL22" s="251"/>
      <c r="BM22" s="251"/>
      <c r="BN22" s="251"/>
      <c r="BO22" s="251"/>
      <c r="BP22" s="251"/>
      <c r="BQ22" s="251"/>
      <c r="BR22" s="251"/>
      <c r="BS22" s="251"/>
      <c r="BT22" s="251"/>
      <c r="BU22" s="251"/>
      <c r="BV22" s="251"/>
      <c r="BW22" s="251"/>
      <c r="BX22" s="251"/>
      <c r="BY22" s="251"/>
      <c r="BZ22" s="251"/>
      <c r="CA22" s="251"/>
      <c r="CB22" s="251"/>
      <c r="CC22" s="251"/>
      <c r="CD22" s="251"/>
      <c r="CE22" s="251"/>
      <c r="CF22" s="251"/>
      <c r="CG22" s="251"/>
      <c r="CH22" s="251"/>
      <c r="CI22" s="251"/>
      <c r="CJ22" s="251"/>
      <c r="CK22" s="251"/>
      <c r="CL22" s="251"/>
      <c r="CM22" s="251"/>
      <c r="CN22" s="251"/>
      <c r="CO22" s="251"/>
      <c r="CP22" s="251"/>
      <c r="CQ22" s="251"/>
      <c r="CR22" s="251"/>
      <c r="CS22" s="251"/>
      <c r="CT22" s="251"/>
      <c r="CU22" s="251"/>
      <c r="CV22" s="251"/>
      <c r="CW22" s="251"/>
      <c r="CX22" s="251"/>
      <c r="CY22" s="251"/>
      <c r="CZ22" s="251"/>
      <c r="DA22" s="251"/>
      <c r="DB22" s="251"/>
      <c r="DC22" s="251"/>
      <c r="DD22" s="251"/>
      <c r="DE22" s="251"/>
      <c r="DF22" s="251"/>
      <c r="DG22" s="251"/>
      <c r="DH22" s="251"/>
      <c r="DI22" s="251"/>
      <c r="DJ22" s="251"/>
      <c r="DK22" s="251"/>
      <c r="DL22" s="251"/>
      <c r="DM22" s="251"/>
      <c r="DN22" s="251"/>
      <c r="DO22" s="251"/>
      <c r="DP22" s="251"/>
      <c r="DQ22" s="251"/>
      <c r="DR22" s="251"/>
      <c r="DS22" s="251"/>
      <c r="DT22" s="251"/>
      <c r="DU22" s="251"/>
      <c r="DV22" s="251"/>
      <c r="DW22" s="251"/>
      <c r="DX22" s="251"/>
      <c r="DY22" s="251"/>
      <c r="DZ22" s="251"/>
      <c r="EA22" s="251"/>
    </row>
    <row r="23" spans="1:131">
      <c r="A23" s="251"/>
      <c r="B23" s="379" t="s">
        <v>733</v>
      </c>
      <c r="C23" s="380" t="s">
        <v>734</v>
      </c>
      <c r="D23" s="380" t="s">
        <v>733</v>
      </c>
      <c r="E23" s="381" t="s">
        <v>734</v>
      </c>
      <c r="F23" s="251"/>
      <c r="G23" s="379" t="s">
        <v>735</v>
      </c>
      <c r="H23" s="380" t="s">
        <v>736</v>
      </c>
      <c r="I23" s="380"/>
      <c r="J23" s="380"/>
      <c r="K23" s="380" t="s">
        <v>737</v>
      </c>
      <c r="L23" s="380"/>
      <c r="M23" s="380"/>
      <c r="N23" s="380"/>
      <c r="O23" s="381"/>
      <c r="P23" s="251"/>
      <c r="Q23" s="379" t="s">
        <v>738</v>
      </c>
      <c r="R23" s="380">
        <v>6.3038709053215888E-2</v>
      </c>
      <c r="S23" s="380">
        <v>4.387844424080023E-2</v>
      </c>
      <c r="T23" s="380">
        <v>5.3289007766645871E-2</v>
      </c>
      <c r="U23" s="381">
        <v>5.447903102274565E-2</v>
      </c>
      <c r="V23" s="251"/>
      <c r="W23" s="379" t="s">
        <v>739</v>
      </c>
      <c r="X23" s="381">
        <v>2016</v>
      </c>
      <c r="Y23" s="251"/>
      <c r="Z23" s="379" t="s">
        <v>740</v>
      </c>
      <c r="AA23" s="380">
        <v>4.03890184699085E-3</v>
      </c>
      <c r="AB23" s="381">
        <v>0.01</v>
      </c>
      <c r="AC23" s="251"/>
      <c r="AD23" s="251"/>
      <c r="AE23" s="251"/>
      <c r="AF23" s="251"/>
      <c r="AG23" s="251"/>
      <c r="AH23" s="251"/>
      <c r="AI23" s="251"/>
      <c r="AJ23" s="251"/>
      <c r="AK23" s="251"/>
      <c r="AL23" s="251"/>
      <c r="AM23" s="251"/>
      <c r="AN23" s="251"/>
      <c r="AO23" s="251"/>
      <c r="AP23" s="251"/>
      <c r="AQ23" s="251"/>
      <c r="AR23" s="251"/>
      <c r="AS23" s="251"/>
      <c r="AT23" s="251"/>
      <c r="AU23" s="251"/>
      <c r="AV23" s="251"/>
      <c r="AW23" s="251"/>
      <c r="AX23" s="251"/>
      <c r="AY23" s="251"/>
      <c r="AZ23" s="251"/>
      <c r="BA23" s="251"/>
      <c r="BB23" s="251"/>
      <c r="BC23" s="251"/>
      <c r="BD23" s="251"/>
      <c r="BE23" s="251"/>
      <c r="BF23" s="251"/>
      <c r="BG23" s="251"/>
      <c r="BH23" s="251"/>
      <c r="BI23" s="251"/>
      <c r="BJ23" s="251"/>
      <c r="BK23" s="251"/>
      <c r="BL23" s="251"/>
      <c r="BM23" s="251"/>
      <c r="BN23" s="251"/>
      <c r="BO23" s="251"/>
      <c r="BP23" s="251"/>
      <c r="BQ23" s="251"/>
      <c r="BR23" s="251"/>
      <c r="BS23" s="251"/>
      <c r="BT23" s="251"/>
      <c r="BU23" s="251"/>
      <c r="BV23" s="251"/>
      <c r="BW23" s="251"/>
      <c r="BX23" s="251"/>
      <c r="BY23" s="251"/>
      <c r="BZ23" s="251"/>
      <c r="CA23" s="251"/>
      <c r="CB23" s="251"/>
      <c r="CC23" s="251"/>
      <c r="CD23" s="251"/>
      <c r="CE23" s="251"/>
      <c r="CF23" s="251"/>
      <c r="CG23" s="251"/>
      <c r="CH23" s="251"/>
      <c r="CI23" s="251"/>
      <c r="CJ23" s="251"/>
      <c r="CK23" s="251"/>
      <c r="CL23" s="251"/>
      <c r="CM23" s="251"/>
      <c r="CN23" s="251"/>
      <c r="CO23" s="251"/>
      <c r="CP23" s="251"/>
      <c r="CQ23" s="251"/>
      <c r="CR23" s="251"/>
      <c r="CS23" s="251"/>
      <c r="CT23" s="251"/>
      <c r="CU23" s="251"/>
      <c r="CV23" s="251"/>
      <c r="CW23" s="251"/>
      <c r="CX23" s="251"/>
      <c r="CY23" s="251"/>
      <c r="CZ23" s="251"/>
      <c r="DA23" s="251"/>
      <c r="DB23" s="251"/>
      <c r="DC23" s="251"/>
      <c r="DD23" s="251"/>
      <c r="DE23" s="251"/>
      <c r="DF23" s="251"/>
      <c r="DG23" s="251"/>
      <c r="DH23" s="251"/>
      <c r="DI23" s="251"/>
      <c r="DJ23" s="251"/>
      <c r="DK23" s="251"/>
      <c r="DL23" s="251"/>
      <c r="DM23" s="251"/>
      <c r="DN23" s="251"/>
      <c r="DO23" s="251"/>
      <c r="DP23" s="251"/>
      <c r="DQ23" s="251"/>
      <c r="DR23" s="251"/>
      <c r="DS23" s="251"/>
      <c r="DT23" s="251"/>
      <c r="DU23" s="251"/>
      <c r="DV23" s="251"/>
      <c r="DW23" s="251"/>
      <c r="DX23" s="251"/>
      <c r="DY23" s="251"/>
      <c r="DZ23" s="251"/>
      <c r="EA23" s="251"/>
    </row>
    <row r="24" spans="1:131">
      <c r="A24" s="251"/>
      <c r="B24" s="379" t="s">
        <v>741</v>
      </c>
      <c r="C24" s="380" t="s">
        <v>742</v>
      </c>
      <c r="D24" s="380" t="s">
        <v>741</v>
      </c>
      <c r="E24" s="381" t="s">
        <v>742</v>
      </c>
      <c r="F24" s="251"/>
      <c r="G24" s="379" t="s">
        <v>743</v>
      </c>
      <c r="H24" s="380" t="s">
        <v>744</v>
      </c>
      <c r="I24" s="380"/>
      <c r="J24" s="380"/>
      <c r="K24" s="380" t="s">
        <v>745</v>
      </c>
      <c r="L24" s="380"/>
      <c r="M24" s="380"/>
      <c r="N24" s="380"/>
      <c r="O24" s="381"/>
      <c r="P24" s="251"/>
      <c r="Q24" s="379" t="s">
        <v>746</v>
      </c>
      <c r="R24" s="380">
        <v>12</v>
      </c>
      <c r="S24" s="380">
        <v>12</v>
      </c>
      <c r="T24" s="380">
        <v>1</v>
      </c>
      <c r="U24" s="381">
        <v>1</v>
      </c>
      <c r="V24" s="251"/>
      <c r="W24" s="379" t="s">
        <v>747</v>
      </c>
      <c r="X24" s="381">
        <v>2016</v>
      </c>
      <c r="Y24" s="251"/>
      <c r="Z24" s="379" t="s">
        <v>748</v>
      </c>
      <c r="AA24" s="380">
        <v>26</v>
      </c>
      <c r="AB24" s="381">
        <v>0</v>
      </c>
      <c r="AC24" s="251"/>
      <c r="AD24" s="251"/>
      <c r="AE24" s="251"/>
      <c r="AF24" s="251"/>
      <c r="AG24" s="251"/>
      <c r="AH24" s="251"/>
      <c r="AI24" s="251"/>
      <c r="AJ24" s="251"/>
      <c r="AK24" s="251"/>
      <c r="AL24" s="251"/>
      <c r="AM24" s="251"/>
      <c r="AN24" s="251"/>
      <c r="AO24" s="251"/>
      <c r="AP24" s="251"/>
      <c r="AQ24" s="251"/>
      <c r="AR24" s="251"/>
      <c r="AS24" s="251"/>
      <c r="AT24" s="251"/>
      <c r="AU24" s="251"/>
      <c r="AV24" s="251"/>
      <c r="AW24" s="251"/>
      <c r="AX24" s="251"/>
      <c r="AY24" s="251"/>
      <c r="AZ24" s="251"/>
      <c r="BA24" s="251"/>
      <c r="BB24" s="251"/>
      <c r="BC24" s="251"/>
      <c r="BD24" s="251"/>
      <c r="BE24" s="251"/>
      <c r="BF24" s="251"/>
      <c r="BG24" s="251"/>
      <c r="BH24" s="251"/>
      <c r="BI24" s="251"/>
      <c r="BJ24" s="251"/>
      <c r="BK24" s="251"/>
      <c r="BL24" s="251"/>
      <c r="BM24" s="251"/>
      <c r="BN24" s="251"/>
      <c r="BO24" s="251"/>
      <c r="BP24" s="251"/>
      <c r="BQ24" s="251"/>
      <c r="BR24" s="251"/>
      <c r="BS24" s="251"/>
      <c r="BT24" s="251"/>
      <c r="BU24" s="251"/>
      <c r="BV24" s="251"/>
      <c r="BW24" s="251"/>
      <c r="BX24" s="251"/>
      <c r="BY24" s="251"/>
      <c r="BZ24" s="251"/>
      <c r="CA24" s="251"/>
      <c r="CB24" s="251"/>
      <c r="CC24" s="251"/>
      <c r="CD24" s="251"/>
      <c r="CE24" s="251"/>
      <c r="CF24" s="251"/>
      <c r="CG24" s="251"/>
      <c r="CH24" s="251"/>
      <c r="CI24" s="251"/>
      <c r="CJ24" s="251"/>
      <c r="CK24" s="251"/>
      <c r="CL24" s="251"/>
      <c r="CM24" s="251"/>
      <c r="CN24" s="251"/>
      <c r="CO24" s="251"/>
      <c r="CP24" s="251"/>
      <c r="CQ24" s="251"/>
      <c r="CR24" s="251"/>
      <c r="CS24" s="251"/>
      <c r="CT24" s="251"/>
      <c r="CU24" s="251"/>
      <c r="CV24" s="251"/>
      <c r="CW24" s="251"/>
      <c r="CX24" s="251"/>
      <c r="CY24" s="251"/>
      <c r="CZ24" s="251"/>
      <c r="DA24" s="251"/>
      <c r="DB24" s="251"/>
      <c r="DC24" s="251"/>
      <c r="DD24" s="251"/>
      <c r="DE24" s="251"/>
      <c r="DF24" s="251"/>
      <c r="DG24" s="251"/>
      <c r="DH24" s="251"/>
      <c r="DI24" s="251"/>
      <c r="DJ24" s="251"/>
      <c r="DK24" s="251"/>
      <c r="DL24" s="251"/>
      <c r="DM24" s="251"/>
      <c r="DN24" s="251"/>
      <c r="DO24" s="251"/>
      <c r="DP24" s="251"/>
      <c r="DQ24" s="251"/>
      <c r="DR24" s="251"/>
      <c r="DS24" s="251"/>
      <c r="DT24" s="251"/>
      <c r="DU24" s="251"/>
      <c r="DV24" s="251"/>
      <c r="DW24" s="251"/>
      <c r="DX24" s="251"/>
      <c r="DY24" s="251"/>
      <c r="DZ24" s="251"/>
      <c r="EA24" s="251"/>
    </row>
    <row r="25" spans="1:131" ht="13.5" thickBot="1">
      <c r="A25" s="251"/>
      <c r="B25" s="382" t="s">
        <v>749</v>
      </c>
      <c r="C25" s="383" t="s">
        <v>742</v>
      </c>
      <c r="D25" s="383" t="s">
        <v>749</v>
      </c>
      <c r="E25" s="384" t="s">
        <v>742</v>
      </c>
      <c r="F25" s="251"/>
      <c r="G25" s="379" t="s">
        <v>750</v>
      </c>
      <c r="H25" s="380" t="s">
        <v>751</v>
      </c>
      <c r="I25" s="380"/>
      <c r="J25" s="380"/>
      <c r="K25" s="380" t="s">
        <v>737</v>
      </c>
      <c r="L25" s="380"/>
      <c r="M25" s="380"/>
      <c r="N25" s="380"/>
      <c r="O25" s="381"/>
      <c r="P25" s="251"/>
      <c r="Q25" s="379"/>
      <c r="R25" s="380" t="s">
        <v>727</v>
      </c>
      <c r="S25" s="380" t="s">
        <v>728</v>
      </c>
      <c r="T25" s="380" t="s">
        <v>729</v>
      </c>
      <c r="U25" s="381" t="s">
        <v>730</v>
      </c>
      <c r="V25" s="251"/>
      <c r="W25" s="379" t="s">
        <v>752</v>
      </c>
      <c r="X25" s="381">
        <v>2012</v>
      </c>
      <c r="Y25" s="251"/>
      <c r="Z25" s="379" t="s">
        <v>753</v>
      </c>
      <c r="AA25" s="380">
        <v>0.9</v>
      </c>
      <c r="AB25" s="381" t="s">
        <v>754</v>
      </c>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1"/>
      <c r="AY25" s="251"/>
      <c r="AZ25" s="251"/>
      <c r="BA25" s="251"/>
      <c r="BB25" s="251"/>
      <c r="BC25" s="251"/>
      <c r="BD25" s="251"/>
      <c r="BE25" s="251"/>
      <c r="BF25" s="251"/>
      <c r="BG25" s="251"/>
      <c r="BH25" s="251"/>
      <c r="BI25" s="251"/>
      <c r="BJ25" s="251"/>
      <c r="BK25" s="251"/>
      <c r="BL25" s="251"/>
      <c r="BM25" s="251"/>
      <c r="BN25" s="251"/>
      <c r="BO25" s="251"/>
      <c r="BP25" s="251"/>
      <c r="BQ25" s="251"/>
      <c r="BR25" s="251"/>
      <c r="BS25" s="251"/>
      <c r="BT25" s="251"/>
      <c r="BU25" s="251"/>
      <c r="BV25" s="251"/>
      <c r="BW25" s="251"/>
      <c r="BX25" s="251"/>
      <c r="BY25" s="251"/>
      <c r="BZ25" s="251"/>
      <c r="CA25" s="251"/>
      <c r="CB25" s="251"/>
      <c r="CC25" s="251"/>
      <c r="CD25" s="251"/>
      <c r="CE25" s="251"/>
      <c r="CF25" s="251"/>
      <c r="CG25" s="251"/>
      <c r="CH25" s="251"/>
      <c r="CI25" s="251"/>
      <c r="CJ25" s="251"/>
      <c r="CK25" s="251"/>
      <c r="CL25" s="251"/>
      <c r="CM25" s="251"/>
      <c r="CN25" s="251"/>
      <c r="CO25" s="251"/>
      <c r="CP25" s="251"/>
      <c r="CQ25" s="251"/>
      <c r="CR25" s="251"/>
      <c r="CS25" s="251"/>
      <c r="CT25" s="251"/>
      <c r="CU25" s="251"/>
      <c r="CV25" s="251"/>
      <c r="CW25" s="251"/>
      <c r="CX25" s="251"/>
      <c r="CY25" s="251"/>
      <c r="CZ25" s="251"/>
      <c r="DA25" s="251"/>
      <c r="DB25" s="251"/>
      <c r="DC25" s="251"/>
      <c r="DD25" s="251"/>
      <c r="DE25" s="251"/>
      <c r="DF25" s="251"/>
      <c r="DG25" s="251"/>
      <c r="DH25" s="251"/>
      <c r="DI25" s="251"/>
      <c r="DJ25" s="251"/>
      <c r="DK25" s="251"/>
      <c r="DL25" s="251"/>
      <c r="DM25" s="251"/>
      <c r="DN25" s="251"/>
      <c r="DO25" s="251"/>
      <c r="DP25" s="251"/>
      <c r="DQ25" s="251"/>
      <c r="DR25" s="251"/>
      <c r="DS25" s="251"/>
      <c r="DT25" s="251"/>
      <c r="DU25" s="251"/>
      <c r="DV25" s="251"/>
      <c r="DW25" s="251"/>
      <c r="DX25" s="251"/>
      <c r="DY25" s="251"/>
      <c r="DZ25" s="251"/>
      <c r="EA25" s="251"/>
    </row>
    <row r="26" spans="1:131">
      <c r="A26" s="251"/>
      <c r="B26" s="251"/>
      <c r="C26" s="251"/>
      <c r="D26" s="251"/>
      <c r="E26" s="251"/>
      <c r="F26" s="251"/>
      <c r="G26" s="379" t="s">
        <v>755</v>
      </c>
      <c r="H26" s="380" t="s">
        <v>744</v>
      </c>
      <c r="I26" s="380"/>
      <c r="J26" s="380"/>
      <c r="K26" s="380"/>
      <c r="L26" s="380"/>
      <c r="M26" s="380"/>
      <c r="N26" s="380"/>
      <c r="O26" s="381"/>
      <c r="P26" s="251"/>
      <c r="Q26" s="379" t="s">
        <v>756</v>
      </c>
      <c r="R26" s="380">
        <v>0</v>
      </c>
      <c r="S26" s="380">
        <v>0.3</v>
      </c>
      <c r="T26" s="380">
        <v>0.7</v>
      </c>
      <c r="U26" s="381">
        <v>0</v>
      </c>
      <c r="V26" s="251"/>
      <c r="W26" s="379" t="s">
        <v>757</v>
      </c>
      <c r="X26" s="381">
        <v>0.04</v>
      </c>
      <c r="Y26" s="251"/>
      <c r="Z26" s="379" t="s">
        <v>758</v>
      </c>
      <c r="AA26" s="380">
        <v>4.7399348199455904E-2</v>
      </c>
      <c r="AB26" s="381">
        <v>0</v>
      </c>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1"/>
      <c r="AY26" s="251"/>
      <c r="AZ26" s="251"/>
      <c r="BA26" s="251"/>
      <c r="BB26" s="251"/>
      <c r="BC26" s="251"/>
      <c r="BD26" s="251"/>
      <c r="BE26" s="251"/>
      <c r="BF26" s="251"/>
      <c r="BG26" s="251"/>
      <c r="BH26" s="251"/>
      <c r="BI26" s="251"/>
      <c r="BJ26" s="251"/>
      <c r="BK26" s="251"/>
      <c r="BL26" s="251"/>
      <c r="BM26" s="251"/>
      <c r="BN26" s="251"/>
      <c r="BO26" s="251"/>
      <c r="BP26" s="251"/>
      <c r="BQ26" s="251"/>
      <c r="BR26" s="251"/>
      <c r="BS26" s="251"/>
      <c r="BT26" s="251"/>
      <c r="BU26" s="251"/>
      <c r="BV26" s="251"/>
      <c r="BW26" s="251"/>
      <c r="BX26" s="251"/>
      <c r="BY26" s="251"/>
      <c r="BZ26" s="251"/>
      <c r="CA26" s="251"/>
      <c r="CB26" s="251"/>
      <c r="CC26" s="251"/>
      <c r="CD26" s="251"/>
      <c r="CE26" s="251"/>
      <c r="CF26" s="251"/>
      <c r="CG26" s="251"/>
      <c r="CH26" s="251"/>
      <c r="CI26" s="251"/>
      <c r="CJ26" s="251"/>
      <c r="CK26" s="251"/>
      <c r="CL26" s="251"/>
      <c r="CM26" s="251"/>
      <c r="CN26" s="251"/>
      <c r="CO26" s="251"/>
      <c r="CP26" s="251"/>
      <c r="CQ26" s="251"/>
      <c r="CR26" s="251"/>
      <c r="CS26" s="251"/>
      <c r="CT26" s="251"/>
      <c r="CU26" s="251"/>
      <c r="CV26" s="251"/>
      <c r="CW26" s="251"/>
      <c r="CX26" s="251"/>
      <c r="CY26" s="251"/>
      <c r="CZ26" s="251"/>
      <c r="DA26" s="251"/>
      <c r="DB26" s="251"/>
      <c r="DC26" s="251"/>
      <c r="DD26" s="251"/>
      <c r="DE26" s="251"/>
      <c r="DF26" s="251"/>
      <c r="DG26" s="251"/>
      <c r="DH26" s="251"/>
      <c r="DI26" s="251"/>
      <c r="DJ26" s="251"/>
      <c r="DK26" s="251"/>
      <c r="DL26" s="251"/>
      <c r="DM26" s="251"/>
      <c r="DN26" s="251"/>
      <c r="DO26" s="251"/>
      <c r="DP26" s="251"/>
      <c r="DQ26" s="251"/>
      <c r="DR26" s="251"/>
      <c r="DS26" s="251"/>
      <c r="DT26" s="251"/>
      <c r="DU26" s="251"/>
      <c r="DV26" s="251"/>
      <c r="DW26" s="251"/>
      <c r="DX26" s="251"/>
      <c r="DY26" s="251"/>
      <c r="DZ26" s="251"/>
      <c r="EA26" s="251"/>
    </row>
    <row r="27" spans="1:131">
      <c r="A27" s="251"/>
      <c r="B27" s="251" t="s">
        <v>759</v>
      </c>
      <c r="C27" s="251" t="s">
        <v>724</v>
      </c>
      <c r="D27" s="251"/>
      <c r="E27" s="251"/>
      <c r="F27" s="251"/>
      <c r="G27" s="379" t="s">
        <v>760</v>
      </c>
      <c r="H27" s="380" t="s">
        <v>761</v>
      </c>
      <c r="I27" s="380"/>
      <c r="J27" s="380"/>
      <c r="K27" s="380" t="s">
        <v>762</v>
      </c>
      <c r="L27" s="380"/>
      <c r="M27" s="380"/>
      <c r="N27" s="380"/>
      <c r="O27" s="381"/>
      <c r="P27" s="251"/>
      <c r="Q27" s="379" t="s">
        <v>763</v>
      </c>
      <c r="R27" s="380">
        <v>0</v>
      </c>
      <c r="S27" s="380">
        <v>0.3</v>
      </c>
      <c r="T27" s="380">
        <v>0.7</v>
      </c>
      <c r="U27" s="381">
        <v>0</v>
      </c>
      <c r="V27" s="251"/>
      <c r="W27" s="379" t="s">
        <v>764</v>
      </c>
      <c r="X27" s="381">
        <v>0</v>
      </c>
      <c r="Y27" s="251"/>
      <c r="Z27" s="379" t="s">
        <v>765</v>
      </c>
      <c r="AA27" s="380">
        <v>31</v>
      </c>
      <c r="AB27" s="381">
        <v>0</v>
      </c>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1"/>
      <c r="AY27" s="251"/>
      <c r="AZ27" s="251"/>
      <c r="BA27" s="251"/>
      <c r="BB27" s="251"/>
      <c r="BC27" s="251"/>
      <c r="BD27" s="251"/>
      <c r="BE27" s="251"/>
      <c r="BF27" s="251"/>
      <c r="BG27" s="251"/>
      <c r="BH27" s="251"/>
      <c r="BI27" s="251"/>
      <c r="BJ27" s="251"/>
      <c r="BK27" s="251"/>
      <c r="BL27" s="251"/>
      <c r="BM27" s="251"/>
      <c r="BN27" s="251"/>
      <c r="BO27" s="251"/>
      <c r="BP27" s="251"/>
      <c r="BQ27" s="251"/>
      <c r="BR27" s="251"/>
      <c r="BS27" s="251"/>
      <c r="BT27" s="251"/>
      <c r="BU27" s="251"/>
      <c r="BV27" s="251"/>
      <c r="BW27" s="251"/>
      <c r="BX27" s="251"/>
      <c r="BY27" s="251"/>
      <c r="BZ27" s="251"/>
      <c r="CA27" s="251"/>
      <c r="CB27" s="251"/>
      <c r="CC27" s="251"/>
      <c r="CD27" s="251"/>
      <c r="CE27" s="251"/>
      <c r="CF27" s="251"/>
      <c r="CG27" s="251"/>
      <c r="CH27" s="251"/>
      <c r="CI27" s="251"/>
      <c r="CJ27" s="251"/>
      <c r="CK27" s="251"/>
      <c r="CL27" s="251"/>
      <c r="CM27" s="251"/>
      <c r="CN27" s="251"/>
      <c r="CO27" s="251"/>
      <c r="CP27" s="251"/>
      <c r="CQ27" s="251"/>
      <c r="CR27" s="251"/>
      <c r="CS27" s="251"/>
      <c r="CT27" s="251"/>
      <c r="CU27" s="251"/>
      <c r="CV27" s="251"/>
      <c r="CW27" s="251"/>
      <c r="CX27" s="251"/>
      <c r="CY27" s="251"/>
      <c r="CZ27" s="251"/>
      <c r="DA27" s="251"/>
      <c r="DB27" s="251"/>
      <c r="DC27" s="251"/>
      <c r="DD27" s="251"/>
      <c r="DE27" s="251"/>
      <c r="DF27" s="251"/>
      <c r="DG27" s="251"/>
      <c r="DH27" s="251"/>
      <c r="DI27" s="251"/>
      <c r="DJ27" s="251"/>
      <c r="DK27" s="251"/>
      <c r="DL27" s="251"/>
      <c r="DM27" s="251"/>
      <c r="DN27" s="251"/>
      <c r="DO27" s="251"/>
      <c r="DP27" s="251"/>
      <c r="DQ27" s="251"/>
      <c r="DR27" s="251"/>
      <c r="DS27" s="251"/>
      <c r="DT27" s="251"/>
      <c r="DU27" s="251"/>
      <c r="DV27" s="251"/>
      <c r="DW27" s="251"/>
      <c r="DX27" s="251"/>
      <c r="DY27" s="251"/>
      <c r="DZ27" s="251"/>
      <c r="EA27" s="251"/>
    </row>
    <row r="28" spans="1:131">
      <c r="A28" s="251"/>
      <c r="B28" s="251" t="s">
        <v>766</v>
      </c>
      <c r="C28" s="251" t="s">
        <v>767</v>
      </c>
      <c r="D28" s="251"/>
      <c r="E28" s="251"/>
      <c r="F28" s="251"/>
      <c r="G28" s="379" t="s">
        <v>768</v>
      </c>
      <c r="H28" s="380" t="s">
        <v>762</v>
      </c>
      <c r="I28" s="380"/>
      <c r="J28" s="380"/>
      <c r="K28" s="380" t="s">
        <v>769</v>
      </c>
      <c r="L28" s="380"/>
      <c r="M28" s="380"/>
      <c r="N28" s="380"/>
      <c r="O28" s="381"/>
      <c r="P28" s="251"/>
      <c r="Q28" s="379" t="s">
        <v>770</v>
      </c>
      <c r="R28" s="380">
        <v>0</v>
      </c>
      <c r="S28" s="380">
        <v>0.3</v>
      </c>
      <c r="T28" s="380">
        <v>0.7</v>
      </c>
      <c r="U28" s="381">
        <v>0</v>
      </c>
      <c r="V28" s="251"/>
      <c r="W28" s="379" t="s">
        <v>771</v>
      </c>
      <c r="X28" s="381">
        <v>0.2</v>
      </c>
      <c r="Y28" s="251"/>
      <c r="Z28" s="379" t="s">
        <v>772</v>
      </c>
      <c r="AA28" s="380">
        <v>0.7</v>
      </c>
      <c r="AB28" s="381" t="s">
        <v>754</v>
      </c>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1"/>
      <c r="AY28" s="251"/>
      <c r="AZ28" s="251"/>
      <c r="BA28" s="251"/>
      <c r="BB28" s="251"/>
      <c r="BC28" s="251"/>
      <c r="BD28" s="251"/>
      <c r="BE28" s="251"/>
      <c r="BF28" s="251"/>
      <c r="BG28" s="251"/>
      <c r="BH28" s="251"/>
      <c r="BI28" s="251"/>
      <c r="BJ28" s="251"/>
      <c r="BK28" s="251"/>
      <c r="BL28" s="251"/>
      <c r="BM28" s="251"/>
      <c r="BN28" s="251"/>
      <c r="BO28" s="251"/>
      <c r="BP28" s="251"/>
      <c r="BQ28" s="251"/>
      <c r="BR28" s="251"/>
      <c r="BS28" s="251"/>
      <c r="BT28" s="251"/>
      <c r="BU28" s="251"/>
      <c r="BV28" s="251"/>
      <c r="BW28" s="251"/>
      <c r="BX28" s="251"/>
      <c r="BY28" s="251"/>
      <c r="BZ28" s="251"/>
      <c r="CA28" s="251"/>
      <c r="CB28" s="251"/>
      <c r="CC28" s="251"/>
      <c r="CD28" s="251"/>
      <c r="CE28" s="251"/>
      <c r="CF28" s="251"/>
      <c r="CG28" s="251"/>
      <c r="CH28" s="251"/>
      <c r="CI28" s="251"/>
      <c r="CJ28" s="251"/>
      <c r="CK28" s="251"/>
      <c r="CL28" s="251"/>
      <c r="CM28" s="251"/>
      <c r="CN28" s="251"/>
      <c r="CO28" s="251"/>
      <c r="CP28" s="251"/>
      <c r="CQ28" s="251"/>
      <c r="CR28" s="251"/>
      <c r="CS28" s="251"/>
      <c r="CT28" s="251"/>
      <c r="CU28" s="251"/>
      <c r="CV28" s="251"/>
      <c r="CW28" s="251"/>
      <c r="CX28" s="251"/>
      <c r="CY28" s="251"/>
      <c r="CZ28" s="251"/>
      <c r="DA28" s="251"/>
      <c r="DB28" s="251"/>
      <c r="DC28" s="251"/>
      <c r="DD28" s="251"/>
      <c r="DE28" s="251"/>
      <c r="DF28" s="251"/>
      <c r="DG28" s="251"/>
      <c r="DH28" s="251"/>
      <c r="DI28" s="251"/>
      <c r="DJ28" s="251"/>
      <c r="DK28" s="251"/>
      <c r="DL28" s="251"/>
      <c r="DM28" s="251"/>
      <c r="DN28" s="251"/>
      <c r="DO28" s="251"/>
      <c r="DP28" s="251"/>
      <c r="DQ28" s="251"/>
      <c r="DR28" s="251"/>
      <c r="DS28" s="251"/>
      <c r="DT28" s="251"/>
      <c r="DU28" s="251"/>
      <c r="DV28" s="251"/>
      <c r="DW28" s="251"/>
      <c r="DX28" s="251"/>
      <c r="DY28" s="251"/>
      <c r="DZ28" s="251"/>
      <c r="EA28" s="251"/>
    </row>
    <row r="29" spans="1:131">
      <c r="A29" s="251"/>
      <c r="B29" s="251" t="s">
        <v>773</v>
      </c>
      <c r="C29" s="251" t="s">
        <v>774</v>
      </c>
      <c r="D29" s="251"/>
      <c r="E29" s="251"/>
      <c r="F29" s="251"/>
      <c r="G29" s="379" t="s">
        <v>775</v>
      </c>
      <c r="H29" s="380" t="s">
        <v>769</v>
      </c>
      <c r="I29" s="380"/>
      <c r="J29" s="380"/>
      <c r="K29" s="380" t="s">
        <v>776</v>
      </c>
      <c r="L29" s="380"/>
      <c r="M29" s="380"/>
      <c r="N29" s="380"/>
      <c r="O29" s="381"/>
      <c r="P29" s="251"/>
      <c r="Q29" s="379" t="s">
        <v>777</v>
      </c>
      <c r="R29" s="380"/>
      <c r="S29" s="380">
        <v>0.3</v>
      </c>
      <c r="T29" s="380">
        <v>0.7</v>
      </c>
      <c r="U29" s="381">
        <v>0</v>
      </c>
      <c r="V29" s="251"/>
      <c r="W29" s="379" t="s">
        <v>778</v>
      </c>
      <c r="X29" s="381">
        <v>0</v>
      </c>
      <c r="Y29" s="251"/>
      <c r="Z29" s="379" t="s">
        <v>779</v>
      </c>
      <c r="AA29" s="380">
        <v>0</v>
      </c>
      <c r="AB29" s="381">
        <v>0</v>
      </c>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1"/>
      <c r="AY29" s="251"/>
      <c r="AZ29" s="251"/>
      <c r="BA29" s="251"/>
      <c r="BB29" s="251"/>
      <c r="BC29" s="251"/>
      <c r="BD29" s="251"/>
      <c r="BE29" s="251"/>
      <c r="BF29" s="251"/>
      <c r="BG29" s="251"/>
      <c r="BH29" s="251"/>
      <c r="BI29" s="251"/>
      <c r="BJ29" s="251"/>
      <c r="BK29" s="251"/>
      <c r="BL29" s="251"/>
      <c r="BM29" s="251"/>
      <c r="BN29" s="251"/>
      <c r="BO29" s="251"/>
      <c r="BP29" s="251"/>
      <c r="BQ29" s="251"/>
      <c r="BR29" s="251"/>
      <c r="BS29" s="251"/>
      <c r="BT29" s="251"/>
      <c r="BU29" s="251"/>
      <c r="BV29" s="251"/>
      <c r="BW29" s="251"/>
      <c r="BX29" s="251"/>
      <c r="BY29" s="251"/>
      <c r="BZ29" s="251"/>
      <c r="CA29" s="251"/>
      <c r="CB29" s="251"/>
      <c r="CC29" s="251"/>
      <c r="CD29" s="251"/>
      <c r="CE29" s="251"/>
      <c r="CF29" s="251"/>
      <c r="CG29" s="251"/>
      <c r="CH29" s="251"/>
      <c r="CI29" s="251"/>
      <c r="CJ29" s="251"/>
      <c r="CK29" s="251"/>
      <c r="CL29" s="251"/>
      <c r="CM29" s="251"/>
      <c r="CN29" s="251"/>
      <c r="CO29" s="251"/>
      <c r="CP29" s="251"/>
      <c r="CQ29" s="251"/>
      <c r="CR29" s="251"/>
      <c r="CS29" s="251"/>
      <c r="CT29" s="251"/>
      <c r="CU29" s="251"/>
      <c r="CV29" s="251"/>
      <c r="CW29" s="251"/>
      <c r="CX29" s="251"/>
      <c r="CY29" s="251"/>
      <c r="CZ29" s="251"/>
      <c r="DA29" s="251"/>
      <c r="DB29" s="251"/>
      <c r="DC29" s="251"/>
      <c r="DD29" s="251"/>
      <c r="DE29" s="251"/>
      <c r="DF29" s="251"/>
      <c r="DG29" s="251"/>
      <c r="DH29" s="251"/>
      <c r="DI29" s="251"/>
      <c r="DJ29" s="251"/>
      <c r="DK29" s="251"/>
      <c r="DL29" s="251"/>
      <c r="DM29" s="251"/>
      <c r="DN29" s="251"/>
      <c r="DO29" s="251"/>
      <c r="DP29" s="251"/>
      <c r="DQ29" s="251"/>
      <c r="DR29" s="251"/>
      <c r="DS29" s="251"/>
      <c r="DT29" s="251"/>
      <c r="DU29" s="251"/>
      <c r="DV29" s="251"/>
      <c r="DW29" s="251"/>
      <c r="DX29" s="251"/>
      <c r="DY29" s="251"/>
      <c r="DZ29" s="251"/>
      <c r="EA29" s="251"/>
    </row>
    <row r="30" spans="1:131" ht="13.5" thickBot="1">
      <c r="A30" s="251"/>
      <c r="B30" s="251" t="s">
        <v>780</v>
      </c>
      <c r="C30" s="251" t="s">
        <v>781</v>
      </c>
      <c r="D30" s="251"/>
      <c r="E30" s="251"/>
      <c r="F30" s="251"/>
      <c r="G30" s="382" t="s">
        <v>782</v>
      </c>
      <c r="H30" s="383" t="s">
        <v>776</v>
      </c>
      <c r="I30" s="383"/>
      <c r="J30" s="383"/>
      <c r="K30" s="383"/>
      <c r="L30" s="383"/>
      <c r="M30" s="383"/>
      <c r="N30" s="383"/>
      <c r="O30" s="384"/>
      <c r="P30" s="251"/>
      <c r="Q30" s="382" t="s">
        <v>783</v>
      </c>
      <c r="R30" s="383"/>
      <c r="S30" s="383">
        <v>20</v>
      </c>
      <c r="T30" s="383"/>
      <c r="U30" s="384"/>
      <c r="V30" s="251"/>
      <c r="W30" s="382" t="s">
        <v>784</v>
      </c>
      <c r="X30" s="384">
        <v>2018</v>
      </c>
      <c r="Y30" s="251"/>
      <c r="Z30" s="382" t="s">
        <v>785</v>
      </c>
      <c r="AA30" s="383">
        <v>0</v>
      </c>
      <c r="AB30" s="384">
        <v>0</v>
      </c>
      <c r="AC30" s="251"/>
      <c r="AD30" s="251"/>
      <c r="AE30" s="251"/>
      <c r="AF30" s="251"/>
      <c r="AG30" s="251"/>
      <c r="AH30" s="251"/>
      <c r="AI30" s="251"/>
      <c r="AJ30" s="251"/>
      <c r="AK30" s="251"/>
      <c r="AL30" s="251"/>
      <c r="AM30" s="251"/>
      <c r="AN30" s="251"/>
      <c r="AO30" s="251"/>
      <c r="AP30" s="251"/>
      <c r="AQ30" s="251"/>
      <c r="AR30" s="251"/>
      <c r="AS30" s="251"/>
      <c r="AT30" s="251"/>
      <c r="AU30" s="251"/>
      <c r="AV30" s="251"/>
      <c r="AW30" s="251"/>
      <c r="AX30" s="251"/>
      <c r="AY30" s="251"/>
      <c r="AZ30" s="251"/>
      <c r="BA30" s="251"/>
      <c r="BB30" s="251"/>
      <c r="BC30" s="251"/>
      <c r="BD30" s="251"/>
      <c r="BE30" s="251"/>
      <c r="BF30" s="251"/>
      <c r="BG30" s="251"/>
      <c r="BH30" s="251"/>
      <c r="BI30" s="251"/>
      <c r="BJ30" s="251"/>
      <c r="BK30" s="251"/>
      <c r="BL30" s="251"/>
      <c r="BM30" s="251"/>
      <c r="BN30" s="251"/>
      <c r="BO30" s="251"/>
      <c r="BP30" s="251"/>
      <c r="BQ30" s="251"/>
      <c r="BR30" s="251"/>
      <c r="BS30" s="251"/>
      <c r="BT30" s="251"/>
      <c r="BU30" s="251"/>
      <c r="BV30" s="251"/>
      <c r="BW30" s="251"/>
      <c r="BX30" s="251"/>
      <c r="BY30" s="251"/>
      <c r="BZ30" s="251"/>
      <c r="CA30" s="251"/>
      <c r="CB30" s="251"/>
      <c r="CC30" s="251"/>
      <c r="CD30" s="251"/>
      <c r="CE30" s="251"/>
      <c r="CF30" s="251"/>
      <c r="CG30" s="251"/>
      <c r="CH30" s="251"/>
      <c r="CI30" s="251"/>
      <c r="CJ30" s="251"/>
      <c r="CK30" s="251"/>
      <c r="CL30" s="251"/>
      <c r="CM30" s="251"/>
      <c r="CN30" s="251"/>
      <c r="CO30" s="251"/>
      <c r="CP30" s="251"/>
      <c r="CQ30" s="251"/>
      <c r="CR30" s="251"/>
      <c r="CS30" s="251"/>
      <c r="CT30" s="251"/>
      <c r="CU30" s="251"/>
      <c r="CV30" s="251"/>
      <c r="CW30" s="251"/>
      <c r="CX30" s="251"/>
      <c r="CY30" s="251"/>
      <c r="CZ30" s="251"/>
      <c r="DA30" s="251"/>
      <c r="DB30" s="251"/>
      <c r="DC30" s="251"/>
      <c r="DD30" s="251"/>
      <c r="DE30" s="251"/>
      <c r="DF30" s="251"/>
      <c r="DG30" s="251"/>
      <c r="DH30" s="251"/>
      <c r="DI30" s="251"/>
      <c r="DJ30" s="251"/>
      <c r="DK30" s="251"/>
      <c r="DL30" s="251"/>
      <c r="DM30" s="251"/>
      <c r="DN30" s="251"/>
      <c r="DO30" s="251"/>
      <c r="DP30" s="251"/>
      <c r="DQ30" s="251"/>
      <c r="DR30" s="251"/>
      <c r="DS30" s="251"/>
      <c r="DT30" s="251"/>
      <c r="DU30" s="251"/>
      <c r="DV30" s="251"/>
      <c r="DW30" s="251"/>
      <c r="DX30" s="251"/>
      <c r="DY30" s="251"/>
      <c r="DZ30" s="251"/>
      <c r="EA30" s="251"/>
    </row>
    <row r="31" spans="1:131">
      <c r="A31" s="251"/>
      <c r="B31" s="251"/>
      <c r="C31" s="251"/>
      <c r="D31" s="251"/>
      <c r="E31" s="251"/>
      <c r="F31" s="251"/>
      <c r="G31" s="251"/>
      <c r="H31" s="251"/>
      <c r="I31" s="251"/>
      <c r="J31" s="251"/>
      <c r="K31" s="251"/>
      <c r="L31" s="251"/>
      <c r="M31" s="251"/>
      <c r="N31" s="251"/>
      <c r="O31" s="251"/>
      <c r="P31" s="251"/>
      <c r="Q31" s="251"/>
      <c r="R31" s="251"/>
      <c r="S31" s="251"/>
      <c r="T31" s="251"/>
      <c r="U31" s="251"/>
      <c r="V31" s="251"/>
      <c r="W31" s="251"/>
      <c r="X31" s="251"/>
      <c r="Y31" s="251"/>
      <c r="Z31" s="251"/>
      <c r="AA31" s="251"/>
      <c r="AB31" s="251"/>
      <c r="AC31" s="251"/>
      <c r="AD31" s="251"/>
      <c r="AE31" s="251"/>
      <c r="AF31" s="251"/>
      <c r="AG31" s="251"/>
      <c r="AH31" s="251"/>
      <c r="AI31" s="251"/>
      <c r="AJ31" s="251"/>
      <c r="AK31" s="251"/>
      <c r="AL31" s="251"/>
      <c r="AM31" s="251"/>
      <c r="AN31" s="251"/>
      <c r="AO31" s="251"/>
      <c r="AP31" s="251"/>
      <c r="AQ31" s="251"/>
      <c r="AR31" s="251"/>
      <c r="AS31" s="251"/>
      <c r="AT31" s="251"/>
      <c r="AU31" s="251"/>
      <c r="AV31" s="251"/>
      <c r="AW31" s="251"/>
      <c r="AX31" s="251"/>
      <c r="AY31" s="251"/>
      <c r="AZ31" s="251"/>
      <c r="BA31" s="251"/>
      <c r="BB31" s="251"/>
      <c r="BC31" s="251"/>
      <c r="BD31" s="251"/>
      <c r="BE31" s="251"/>
      <c r="BF31" s="251"/>
      <c r="BG31" s="251"/>
      <c r="BH31" s="251"/>
      <c r="BI31" s="251"/>
      <c r="BJ31" s="251"/>
      <c r="BK31" s="251"/>
      <c r="BL31" s="251"/>
      <c r="BM31" s="251"/>
      <c r="BN31" s="251"/>
      <c r="BO31" s="251"/>
      <c r="BP31" s="251"/>
      <c r="BQ31" s="251"/>
      <c r="BR31" s="251"/>
      <c r="BS31" s="251"/>
      <c r="BT31" s="251"/>
      <c r="BU31" s="251"/>
      <c r="BV31" s="251"/>
      <c r="BW31" s="251"/>
      <c r="BX31" s="251"/>
      <c r="BY31" s="251"/>
      <c r="BZ31" s="251"/>
      <c r="CA31" s="251"/>
      <c r="CB31" s="251"/>
      <c r="CC31" s="251"/>
      <c r="CD31" s="251"/>
      <c r="CE31" s="251"/>
      <c r="CF31" s="251"/>
      <c r="CG31" s="251"/>
      <c r="CH31" s="251"/>
      <c r="CI31" s="251"/>
      <c r="CJ31" s="251"/>
      <c r="CK31" s="251"/>
      <c r="CL31" s="251"/>
      <c r="CM31" s="251"/>
      <c r="CN31" s="251"/>
      <c r="CO31" s="251"/>
      <c r="CP31" s="251"/>
      <c r="CQ31" s="251"/>
      <c r="CR31" s="251"/>
      <c r="CS31" s="251"/>
      <c r="CT31" s="251"/>
      <c r="CU31" s="251"/>
      <c r="CV31" s="251"/>
      <c r="CW31" s="251"/>
      <c r="CX31" s="251"/>
      <c r="CY31" s="251"/>
      <c r="CZ31" s="251"/>
      <c r="DA31" s="251"/>
      <c r="DB31" s="251"/>
      <c r="DC31" s="251"/>
      <c r="DD31" s="251"/>
      <c r="DE31" s="251"/>
      <c r="DF31" s="251"/>
      <c r="DG31" s="251"/>
      <c r="DH31" s="251"/>
      <c r="DI31" s="251"/>
      <c r="DJ31" s="251"/>
      <c r="DK31" s="251"/>
      <c r="DL31" s="251"/>
      <c r="DM31" s="251"/>
      <c r="DN31" s="251"/>
      <c r="DO31" s="251"/>
      <c r="DP31" s="251"/>
      <c r="DQ31" s="251"/>
      <c r="DR31" s="251"/>
      <c r="DS31" s="251"/>
      <c r="DT31" s="251"/>
      <c r="DU31" s="251"/>
      <c r="DV31" s="251"/>
      <c r="DW31" s="251"/>
      <c r="DX31" s="251"/>
      <c r="DY31" s="251"/>
      <c r="DZ31" s="251"/>
      <c r="EA31" s="251"/>
    </row>
    <row r="32" spans="1:131">
      <c r="A32" s="251"/>
      <c r="B32" s="251"/>
      <c r="C32" s="251"/>
      <c r="D32" s="251"/>
      <c r="E32" s="251"/>
      <c r="F32" s="251"/>
      <c r="G32" s="251"/>
      <c r="H32" s="251"/>
      <c r="I32" s="251"/>
      <c r="J32" s="251"/>
      <c r="K32" s="251"/>
      <c r="L32" s="251"/>
      <c r="M32" s="251"/>
      <c r="N32" s="251"/>
      <c r="O32" s="251"/>
      <c r="P32" s="251"/>
      <c r="Q32" s="251"/>
      <c r="R32" s="251"/>
      <c r="S32" s="251"/>
      <c r="T32" s="251"/>
      <c r="U32" s="251"/>
      <c r="V32" s="251"/>
      <c r="W32" s="251"/>
      <c r="X32" s="251"/>
      <c r="Y32" s="251"/>
      <c r="Z32" s="251"/>
      <c r="AA32" s="251"/>
      <c r="AB32" s="251"/>
      <c r="AC32" s="251"/>
      <c r="AD32" s="251"/>
      <c r="AE32" s="251"/>
      <c r="AF32" s="251"/>
      <c r="AG32" s="251"/>
      <c r="AH32" s="251"/>
      <c r="AI32" s="251"/>
      <c r="AJ32" s="251"/>
      <c r="AK32" s="251"/>
      <c r="AL32" s="251"/>
      <c r="AM32" s="251"/>
      <c r="AN32" s="251"/>
      <c r="AO32" s="251"/>
      <c r="AP32" s="251"/>
      <c r="AQ32" s="251"/>
      <c r="AR32" s="251"/>
      <c r="AS32" s="251"/>
      <c r="AT32" s="251"/>
      <c r="AU32" s="251"/>
      <c r="AV32" s="251"/>
      <c r="AW32" s="251"/>
      <c r="AX32" s="251"/>
      <c r="AY32" s="251"/>
      <c r="AZ32" s="251"/>
      <c r="BA32" s="251"/>
      <c r="BB32" s="251"/>
      <c r="BC32" s="251"/>
      <c r="BD32" s="251"/>
      <c r="BE32" s="251"/>
      <c r="BF32" s="251"/>
      <c r="BG32" s="251"/>
      <c r="BH32" s="251"/>
      <c r="BI32" s="251"/>
      <c r="BJ32" s="251"/>
      <c r="BK32" s="251"/>
      <c r="BL32" s="251"/>
      <c r="BM32" s="251"/>
      <c r="BN32" s="251"/>
      <c r="BO32" s="251"/>
      <c r="BP32" s="251"/>
      <c r="BQ32" s="251"/>
      <c r="BR32" s="251"/>
      <c r="BS32" s="251"/>
      <c r="BT32" s="251"/>
      <c r="BU32" s="251"/>
      <c r="BV32" s="251"/>
      <c r="BW32" s="251"/>
      <c r="BX32" s="251"/>
      <c r="BY32" s="251"/>
      <c r="BZ32" s="251"/>
      <c r="CA32" s="251"/>
      <c r="CB32" s="251"/>
      <c r="CC32" s="251"/>
      <c r="CD32" s="251"/>
      <c r="CE32" s="251"/>
      <c r="CF32" s="251"/>
      <c r="CG32" s="251"/>
      <c r="CH32" s="251"/>
      <c r="CI32" s="251"/>
      <c r="CJ32" s="251"/>
      <c r="CK32" s="251"/>
      <c r="CL32" s="251"/>
      <c r="CM32" s="251"/>
      <c r="CN32" s="251"/>
      <c r="CO32" s="251"/>
      <c r="CP32" s="251"/>
      <c r="CQ32" s="251"/>
      <c r="CR32" s="251"/>
      <c r="CS32" s="251"/>
      <c r="CT32" s="251"/>
      <c r="CU32" s="251"/>
      <c r="CV32" s="251"/>
      <c r="CW32" s="251"/>
      <c r="CX32" s="251"/>
      <c r="CY32" s="251"/>
      <c r="CZ32" s="251"/>
      <c r="DA32" s="251"/>
      <c r="DB32" s="251"/>
      <c r="DC32" s="251"/>
      <c r="DD32" s="251"/>
      <c r="DE32" s="251"/>
      <c r="DF32" s="251"/>
      <c r="DG32" s="251"/>
      <c r="DH32" s="251"/>
      <c r="DI32" s="251"/>
      <c r="DJ32" s="251"/>
      <c r="DK32" s="251"/>
      <c r="DL32" s="251"/>
      <c r="DM32" s="251"/>
      <c r="DN32" s="251"/>
      <c r="DO32" s="251"/>
      <c r="DP32" s="251"/>
      <c r="DQ32" s="251"/>
      <c r="DR32" s="251"/>
      <c r="DS32" s="251"/>
      <c r="DT32" s="251"/>
      <c r="DU32" s="251"/>
      <c r="DV32" s="251"/>
      <c r="DW32" s="251"/>
      <c r="DX32" s="251"/>
      <c r="DY32" s="251"/>
      <c r="DZ32" s="251"/>
      <c r="EA32" s="251"/>
    </row>
    <row r="33" spans="1:131">
      <c r="A33" s="251"/>
      <c r="B33" s="251"/>
      <c r="C33" s="251"/>
      <c r="D33" s="251"/>
      <c r="E33" s="251"/>
      <c r="F33" s="251"/>
      <c r="G33" s="251"/>
      <c r="H33" s="251"/>
      <c r="I33" s="251"/>
      <c r="J33" s="251"/>
      <c r="K33" s="251"/>
      <c r="L33" s="251"/>
      <c r="M33" s="251"/>
      <c r="N33" s="251"/>
      <c r="O33" s="251"/>
      <c r="P33" s="251"/>
      <c r="Q33" s="251"/>
      <c r="R33" s="251"/>
      <c r="S33" s="251"/>
      <c r="T33" s="251"/>
      <c r="U33" s="251"/>
      <c r="V33" s="251"/>
      <c r="W33" s="251"/>
      <c r="X33" s="251"/>
      <c r="Y33" s="251"/>
      <c r="Z33" s="251"/>
      <c r="AA33" s="251"/>
      <c r="AB33" s="251"/>
      <c r="AC33" s="251"/>
      <c r="AD33" s="251"/>
      <c r="AE33" s="251"/>
      <c r="AF33" s="251"/>
      <c r="AG33" s="251"/>
      <c r="AH33" s="251"/>
      <c r="AI33" s="251"/>
      <c r="AJ33" s="251"/>
      <c r="AK33" s="251"/>
      <c r="AL33" s="251"/>
      <c r="AM33" s="251"/>
      <c r="AN33" s="251"/>
      <c r="AO33" s="251"/>
      <c r="AP33" s="251"/>
      <c r="AQ33" s="251"/>
      <c r="AR33" s="251"/>
      <c r="AS33" s="251"/>
      <c r="AT33" s="251"/>
      <c r="AU33" s="251"/>
      <c r="AV33" s="251"/>
      <c r="AW33" s="251"/>
      <c r="AX33" s="251"/>
      <c r="AY33" s="251"/>
      <c r="AZ33" s="251"/>
      <c r="BA33" s="251"/>
      <c r="BB33" s="251"/>
      <c r="BC33" s="251"/>
      <c r="BD33" s="251"/>
      <c r="BE33" s="251"/>
      <c r="BF33" s="251"/>
      <c r="BG33" s="251"/>
      <c r="BH33" s="251"/>
      <c r="BI33" s="251"/>
      <c r="BJ33" s="251"/>
      <c r="BK33" s="251"/>
      <c r="BL33" s="251"/>
      <c r="BM33" s="251"/>
      <c r="BN33" s="251"/>
      <c r="BO33" s="251"/>
      <c r="BP33" s="251"/>
      <c r="BQ33" s="251"/>
      <c r="BR33" s="251"/>
      <c r="BS33" s="251"/>
      <c r="BT33" s="251"/>
      <c r="BU33" s="251"/>
      <c r="BV33" s="251"/>
      <c r="BW33" s="251"/>
      <c r="BX33" s="251"/>
      <c r="BY33" s="251"/>
      <c r="BZ33" s="251"/>
      <c r="CA33" s="251"/>
      <c r="CB33" s="251"/>
      <c r="CC33" s="251"/>
      <c r="CD33" s="251"/>
      <c r="CE33" s="251"/>
      <c r="CF33" s="251"/>
      <c r="CG33" s="251"/>
      <c r="CH33" s="251"/>
      <c r="CI33" s="251"/>
      <c r="CJ33" s="251"/>
      <c r="CK33" s="251"/>
      <c r="CL33" s="251"/>
      <c r="CM33" s="251"/>
      <c r="CN33" s="251"/>
      <c r="CO33" s="251"/>
      <c r="CP33" s="251"/>
      <c r="CQ33" s="251"/>
      <c r="CR33" s="251"/>
      <c r="CS33" s="251"/>
      <c r="CT33" s="251"/>
      <c r="CU33" s="251"/>
      <c r="CV33" s="251"/>
      <c r="CW33" s="251"/>
      <c r="CX33" s="251"/>
      <c r="CY33" s="251"/>
      <c r="CZ33" s="251"/>
      <c r="DA33" s="251"/>
      <c r="DB33" s="251"/>
      <c r="DC33" s="251"/>
      <c r="DD33" s="251"/>
      <c r="DE33" s="251"/>
      <c r="DF33" s="251"/>
      <c r="DG33" s="251"/>
      <c r="DH33" s="251"/>
      <c r="DI33" s="251"/>
      <c r="DJ33" s="251"/>
      <c r="DK33" s="251"/>
      <c r="DL33" s="251"/>
      <c r="DM33" s="251"/>
      <c r="DN33" s="251"/>
      <c r="DO33" s="251"/>
      <c r="DP33" s="251"/>
      <c r="DQ33" s="251"/>
      <c r="DR33" s="251"/>
      <c r="DS33" s="251"/>
      <c r="DT33" s="251"/>
      <c r="DU33" s="251"/>
      <c r="DV33" s="251"/>
      <c r="DW33" s="251"/>
      <c r="DX33" s="251"/>
      <c r="DY33" s="251"/>
      <c r="DZ33" s="251"/>
      <c r="EA33" s="251"/>
    </row>
    <row r="34" spans="1:131">
      <c r="A34" s="251"/>
      <c r="B34" s="251"/>
      <c r="C34" s="251"/>
      <c r="D34" s="251"/>
      <c r="E34" s="251"/>
      <c r="F34" s="251"/>
      <c r="G34" s="251"/>
      <c r="H34" s="251"/>
      <c r="I34" s="251"/>
      <c r="J34" s="251"/>
      <c r="K34" s="251"/>
      <c r="L34" s="251"/>
      <c r="M34" s="251"/>
      <c r="N34" s="251"/>
      <c r="O34" s="251"/>
      <c r="P34" s="251"/>
      <c r="Q34" s="251"/>
      <c r="R34" s="251"/>
      <c r="S34" s="251"/>
      <c r="T34" s="251"/>
      <c r="U34" s="251"/>
      <c r="V34" s="251"/>
      <c r="W34" s="251"/>
      <c r="X34" s="251"/>
      <c r="Y34" s="251"/>
      <c r="Z34" s="251"/>
      <c r="AA34" s="251"/>
      <c r="AB34" s="251"/>
      <c r="AC34" s="251"/>
      <c r="AD34" s="251"/>
      <c r="AE34" s="251"/>
      <c r="AF34" s="251"/>
      <c r="AG34" s="251"/>
      <c r="AH34" s="251"/>
      <c r="AI34" s="251"/>
      <c r="AJ34" s="251"/>
      <c r="AK34" s="251"/>
      <c r="AL34" s="251"/>
      <c r="AM34" s="251"/>
      <c r="AN34" s="251"/>
      <c r="AO34" s="251"/>
      <c r="AP34" s="251"/>
      <c r="AQ34" s="251"/>
      <c r="AR34" s="251"/>
      <c r="AS34" s="251"/>
      <c r="AT34" s="251"/>
      <c r="AU34" s="251"/>
      <c r="AV34" s="251"/>
      <c r="AW34" s="251"/>
      <c r="AX34" s="251"/>
      <c r="AY34" s="251"/>
      <c r="AZ34" s="251"/>
      <c r="BA34" s="251"/>
      <c r="BB34" s="251"/>
      <c r="BC34" s="251"/>
      <c r="BD34" s="251"/>
      <c r="BE34" s="251"/>
      <c r="BF34" s="251"/>
      <c r="BG34" s="251"/>
      <c r="BH34" s="251"/>
      <c r="BI34" s="251"/>
      <c r="BJ34" s="251"/>
      <c r="BK34" s="251"/>
      <c r="BL34" s="251"/>
      <c r="BM34" s="251"/>
      <c r="BN34" s="251"/>
      <c r="BO34" s="251"/>
      <c r="BP34" s="251"/>
      <c r="BQ34" s="251"/>
      <c r="BR34" s="251"/>
      <c r="BS34" s="251"/>
      <c r="BT34" s="251"/>
      <c r="BU34" s="251"/>
      <c r="BV34" s="251"/>
      <c r="BW34" s="251"/>
      <c r="BX34" s="251"/>
      <c r="BY34" s="251"/>
      <c r="BZ34" s="251"/>
      <c r="CA34" s="251"/>
      <c r="CB34" s="251"/>
      <c r="CC34" s="251"/>
      <c r="CD34" s="251"/>
      <c r="CE34" s="251"/>
      <c r="CF34" s="251"/>
      <c r="CG34" s="251"/>
      <c r="CH34" s="251"/>
      <c r="CI34" s="251"/>
      <c r="CJ34" s="251"/>
      <c r="CK34" s="251"/>
      <c r="CL34" s="251"/>
      <c r="CM34" s="251"/>
      <c r="CN34" s="251"/>
      <c r="CO34" s="251"/>
      <c r="CP34" s="251"/>
      <c r="CQ34" s="251"/>
      <c r="CR34" s="251"/>
      <c r="CS34" s="251"/>
      <c r="CT34" s="251"/>
      <c r="CU34" s="251"/>
      <c r="CV34" s="251"/>
      <c r="CW34" s="251"/>
      <c r="CX34" s="251"/>
      <c r="CY34" s="251"/>
      <c r="CZ34" s="251"/>
      <c r="DA34" s="251"/>
      <c r="DB34" s="251"/>
      <c r="DC34" s="251"/>
      <c r="DD34" s="251"/>
      <c r="DE34" s="251"/>
      <c r="DF34" s="251"/>
      <c r="DG34" s="251"/>
      <c r="DH34" s="251"/>
      <c r="DI34" s="251"/>
      <c r="DJ34" s="251"/>
      <c r="DK34" s="251"/>
      <c r="DL34" s="251"/>
      <c r="DM34" s="251"/>
      <c r="DN34" s="251"/>
      <c r="DO34" s="251"/>
      <c r="DP34" s="251"/>
      <c r="DQ34" s="251"/>
      <c r="DR34" s="251"/>
      <c r="DS34" s="251"/>
      <c r="DT34" s="251"/>
      <c r="DU34" s="251"/>
      <c r="DV34" s="251"/>
      <c r="DW34" s="251"/>
      <c r="DX34" s="251"/>
      <c r="DY34" s="251"/>
      <c r="DZ34" s="251"/>
      <c r="EA34" s="251"/>
    </row>
    <row r="35" spans="1:131">
      <c r="A35" s="251"/>
      <c r="B35" s="251"/>
      <c r="C35" s="251"/>
      <c r="D35" s="251"/>
      <c r="E35" s="251"/>
      <c r="F35" s="251"/>
      <c r="G35" s="251"/>
      <c r="H35" s="251"/>
      <c r="I35" s="251"/>
      <c r="J35" s="251"/>
      <c r="K35" s="251"/>
      <c r="L35" s="251"/>
      <c r="M35" s="251"/>
      <c r="N35" s="251"/>
      <c r="O35" s="251"/>
      <c r="P35" s="251"/>
      <c r="Q35" s="251"/>
      <c r="R35" s="251"/>
      <c r="S35" s="251"/>
      <c r="T35" s="251"/>
      <c r="U35" s="251"/>
      <c r="V35" s="251"/>
      <c r="W35" s="251"/>
      <c r="X35" s="251"/>
      <c r="Y35" s="251"/>
      <c r="Z35" s="251"/>
      <c r="AA35" s="251"/>
      <c r="AB35" s="251"/>
      <c r="AC35" s="251"/>
      <c r="AD35" s="251"/>
      <c r="AE35" s="251"/>
      <c r="AF35" s="251"/>
      <c r="AG35" s="251"/>
      <c r="AH35" s="251"/>
      <c r="AI35" s="251"/>
      <c r="AJ35" s="251"/>
      <c r="AK35" s="251"/>
      <c r="AL35" s="251"/>
      <c r="AM35" s="251"/>
      <c r="AN35" s="251"/>
      <c r="AO35" s="251"/>
      <c r="AP35" s="251"/>
      <c r="AQ35" s="251"/>
      <c r="AR35" s="251"/>
      <c r="AS35" s="251"/>
      <c r="AT35" s="251"/>
      <c r="AU35" s="251"/>
      <c r="AV35" s="251"/>
      <c r="AW35" s="251"/>
      <c r="AX35" s="251"/>
      <c r="AY35" s="251"/>
      <c r="AZ35" s="251"/>
      <c r="BA35" s="251"/>
      <c r="BB35" s="251"/>
      <c r="BC35" s="251"/>
      <c r="BD35" s="251"/>
      <c r="BE35" s="251"/>
      <c r="BF35" s="251"/>
      <c r="BG35" s="251"/>
      <c r="BH35" s="251"/>
      <c r="BI35" s="251"/>
      <c r="BJ35" s="251"/>
      <c r="BK35" s="251"/>
      <c r="BL35" s="251"/>
      <c r="BM35" s="251"/>
      <c r="BN35" s="251"/>
      <c r="BO35" s="251"/>
      <c r="BP35" s="251"/>
      <c r="BQ35" s="251"/>
      <c r="BR35" s="251"/>
      <c r="BS35" s="251"/>
      <c r="BT35" s="251"/>
      <c r="BU35" s="251"/>
      <c r="BV35" s="251"/>
      <c r="BW35" s="251"/>
      <c r="BX35" s="251"/>
      <c r="BY35" s="251"/>
      <c r="BZ35" s="251"/>
      <c r="CA35" s="251"/>
      <c r="CB35" s="251"/>
      <c r="CC35" s="251"/>
      <c r="CD35" s="251"/>
      <c r="CE35" s="251"/>
      <c r="CF35" s="251"/>
      <c r="CG35" s="251"/>
      <c r="CH35" s="251"/>
      <c r="CI35" s="251"/>
      <c r="CJ35" s="251"/>
      <c r="CK35" s="251"/>
      <c r="CL35" s="251"/>
      <c r="CM35" s="251"/>
      <c r="CN35" s="251"/>
      <c r="CO35" s="251"/>
      <c r="CP35" s="251"/>
      <c r="CQ35" s="251"/>
      <c r="CR35" s="251"/>
      <c r="CS35" s="251"/>
      <c r="CT35" s="251"/>
      <c r="CU35" s="251"/>
      <c r="CV35" s="251"/>
      <c r="CW35" s="251"/>
      <c r="CX35" s="251"/>
      <c r="CY35" s="251"/>
      <c r="CZ35" s="251"/>
      <c r="DA35" s="251"/>
      <c r="DB35" s="251"/>
      <c r="DC35" s="251"/>
      <c r="DD35" s="251"/>
      <c r="DE35" s="251"/>
      <c r="DF35" s="251"/>
      <c r="DG35" s="251"/>
      <c r="DH35" s="251"/>
      <c r="DI35" s="251"/>
      <c r="DJ35" s="251"/>
      <c r="DK35" s="251"/>
      <c r="DL35" s="251"/>
      <c r="DM35" s="251"/>
      <c r="DN35" s="251"/>
      <c r="DO35" s="251"/>
      <c r="DP35" s="251"/>
      <c r="DQ35" s="251"/>
      <c r="DR35" s="251"/>
      <c r="DS35" s="251"/>
      <c r="DT35" s="251"/>
      <c r="DU35" s="251"/>
      <c r="DV35" s="251"/>
      <c r="DW35" s="251"/>
      <c r="DX35" s="251"/>
      <c r="DY35" s="251"/>
      <c r="DZ35" s="251"/>
      <c r="EA35" s="251"/>
    </row>
    <row r="36" spans="1:131">
      <c r="A36" s="251"/>
      <c r="B36" s="251"/>
      <c r="C36" s="251"/>
      <c r="D36" s="251"/>
      <c r="E36" s="251"/>
      <c r="F36" s="251"/>
      <c r="G36" s="251"/>
      <c r="H36" s="251"/>
      <c r="I36" s="251"/>
      <c r="J36" s="251"/>
      <c r="K36" s="251"/>
      <c r="L36" s="251"/>
      <c r="M36" s="251"/>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c r="AK36" s="251"/>
      <c r="AL36" s="251"/>
      <c r="AM36" s="251"/>
      <c r="AN36" s="251"/>
      <c r="AO36" s="251"/>
      <c r="AP36" s="251"/>
      <c r="AQ36" s="251"/>
      <c r="AR36" s="251"/>
      <c r="AS36" s="251"/>
      <c r="AT36" s="251"/>
      <c r="AU36" s="251"/>
      <c r="AV36" s="251"/>
      <c r="AW36" s="251"/>
      <c r="AX36" s="251"/>
      <c r="AY36" s="251"/>
      <c r="AZ36" s="251"/>
      <c r="BA36" s="251"/>
      <c r="BB36" s="251"/>
      <c r="BC36" s="251"/>
      <c r="BD36" s="251"/>
      <c r="BE36" s="251"/>
      <c r="BF36" s="251"/>
      <c r="BG36" s="251"/>
      <c r="BH36" s="251"/>
      <c r="BI36" s="251"/>
      <c r="BJ36" s="251"/>
      <c r="BK36" s="251"/>
      <c r="BL36" s="251"/>
      <c r="BM36" s="251"/>
      <c r="BN36" s="251"/>
      <c r="BO36" s="251"/>
      <c r="BP36" s="251"/>
      <c r="BQ36" s="251"/>
      <c r="BR36" s="251"/>
      <c r="BS36" s="251"/>
      <c r="BT36" s="251"/>
      <c r="BU36" s="251"/>
      <c r="BV36" s="251"/>
      <c r="BW36" s="251"/>
      <c r="BX36" s="251"/>
      <c r="BY36" s="251"/>
      <c r="BZ36" s="251"/>
      <c r="CA36" s="251"/>
      <c r="CB36" s="251"/>
      <c r="CC36" s="251"/>
      <c r="CD36" s="251"/>
      <c r="CE36" s="251"/>
      <c r="CF36" s="251"/>
      <c r="CG36" s="251"/>
      <c r="CH36" s="251"/>
      <c r="CI36" s="251"/>
      <c r="CJ36" s="251"/>
      <c r="CK36" s="251"/>
      <c r="CL36" s="251"/>
      <c r="CM36" s="251"/>
      <c r="CN36" s="251"/>
      <c r="CO36" s="251"/>
      <c r="CP36" s="251"/>
      <c r="CQ36" s="251"/>
      <c r="CR36" s="251"/>
      <c r="CS36" s="251"/>
      <c r="CT36" s="251"/>
      <c r="CU36" s="251"/>
      <c r="CV36" s="251"/>
      <c r="CW36" s="251"/>
      <c r="CX36" s="251"/>
      <c r="CY36" s="251"/>
      <c r="CZ36" s="251"/>
      <c r="DA36" s="251"/>
      <c r="DB36" s="251"/>
      <c r="DC36" s="251"/>
      <c r="DD36" s="251"/>
      <c r="DE36" s="251"/>
      <c r="DF36" s="251"/>
      <c r="DG36" s="251"/>
      <c r="DH36" s="251"/>
      <c r="DI36" s="251"/>
      <c r="DJ36" s="251"/>
      <c r="DK36" s="251"/>
      <c r="DL36" s="251"/>
      <c r="DM36" s="251"/>
      <c r="DN36" s="251"/>
      <c r="DO36" s="251"/>
      <c r="DP36" s="251"/>
      <c r="DQ36" s="251"/>
      <c r="DR36" s="251"/>
      <c r="DS36" s="251"/>
      <c r="DT36" s="251"/>
      <c r="DU36" s="251"/>
      <c r="DV36" s="251"/>
      <c r="DW36" s="251"/>
      <c r="DX36" s="251"/>
      <c r="DY36" s="251"/>
      <c r="DZ36" s="251"/>
      <c r="EA36" s="251"/>
    </row>
    <row r="37" spans="1:131">
      <c r="A37" s="251"/>
      <c r="B37" s="251"/>
      <c r="C37" s="251"/>
      <c r="D37" s="251"/>
      <c r="E37" s="251"/>
      <c r="F37" s="251"/>
      <c r="G37" s="251"/>
      <c r="H37" s="251"/>
      <c r="I37" s="251"/>
      <c r="J37" s="251"/>
      <c r="K37" s="251"/>
      <c r="L37" s="251"/>
      <c r="M37" s="251"/>
      <c r="N37" s="251"/>
      <c r="O37" s="251"/>
      <c r="P37" s="251"/>
      <c r="Q37" s="251"/>
      <c r="R37" s="251"/>
      <c r="S37" s="251"/>
      <c r="T37" s="251"/>
      <c r="U37" s="251"/>
      <c r="V37" s="251"/>
      <c r="W37" s="251"/>
      <c r="X37" s="251"/>
      <c r="Y37" s="251"/>
      <c r="Z37" s="251"/>
      <c r="AA37" s="251"/>
      <c r="AB37" s="251"/>
      <c r="AC37" s="251"/>
      <c r="AD37" s="251"/>
      <c r="AE37" s="251"/>
      <c r="AF37" s="251"/>
      <c r="AG37" s="251"/>
      <c r="AH37" s="251"/>
      <c r="AI37" s="251"/>
      <c r="AJ37" s="251"/>
      <c r="AK37" s="251"/>
      <c r="AL37" s="251"/>
      <c r="AM37" s="251"/>
      <c r="AN37" s="251"/>
      <c r="AO37" s="251"/>
      <c r="AP37" s="251"/>
      <c r="AQ37" s="251"/>
      <c r="AR37" s="251"/>
      <c r="AS37" s="251"/>
      <c r="AT37" s="251"/>
      <c r="AU37" s="251"/>
      <c r="AV37" s="251"/>
      <c r="AW37" s="251"/>
      <c r="AX37" s="251"/>
      <c r="AY37" s="251"/>
      <c r="AZ37" s="251"/>
      <c r="BA37" s="251"/>
      <c r="BB37" s="251"/>
      <c r="BC37" s="251"/>
      <c r="BD37" s="251"/>
      <c r="BE37" s="251"/>
      <c r="BF37" s="251"/>
      <c r="BG37" s="251"/>
      <c r="BH37" s="251"/>
      <c r="BI37" s="251"/>
      <c r="BJ37" s="251"/>
      <c r="BK37" s="251"/>
      <c r="BL37" s="251"/>
      <c r="BM37" s="251"/>
      <c r="BN37" s="251"/>
      <c r="BO37" s="251"/>
      <c r="BP37" s="251"/>
      <c r="BQ37" s="251"/>
      <c r="BR37" s="251"/>
      <c r="BS37" s="251"/>
      <c r="BT37" s="251"/>
      <c r="BU37" s="251"/>
      <c r="BV37" s="251"/>
      <c r="BW37" s="251"/>
      <c r="BX37" s="251"/>
      <c r="BY37" s="251"/>
      <c r="BZ37" s="251"/>
      <c r="CA37" s="251"/>
      <c r="CB37" s="251"/>
      <c r="CC37" s="251"/>
      <c r="CD37" s="251"/>
      <c r="CE37" s="251"/>
      <c r="CF37" s="251"/>
      <c r="CG37" s="251"/>
      <c r="CH37" s="251"/>
      <c r="CI37" s="251"/>
      <c r="CJ37" s="251"/>
      <c r="CK37" s="251"/>
      <c r="CL37" s="251"/>
      <c r="CM37" s="251"/>
      <c r="CN37" s="251"/>
      <c r="CO37" s="251"/>
      <c r="CP37" s="251"/>
      <c r="CQ37" s="251"/>
      <c r="CR37" s="251"/>
      <c r="CS37" s="251"/>
      <c r="CT37" s="251"/>
      <c r="CU37" s="251"/>
      <c r="CV37" s="251"/>
      <c r="CW37" s="251"/>
      <c r="CX37" s="251"/>
      <c r="CY37" s="251"/>
      <c r="CZ37" s="251"/>
      <c r="DA37" s="251"/>
      <c r="DB37" s="251"/>
      <c r="DC37" s="251"/>
      <c r="DD37" s="251"/>
      <c r="DE37" s="251"/>
      <c r="DF37" s="251"/>
      <c r="DG37" s="251"/>
      <c r="DH37" s="251"/>
      <c r="DI37" s="251"/>
      <c r="DJ37" s="251"/>
      <c r="DK37" s="251"/>
      <c r="DL37" s="251"/>
      <c r="DM37" s="251"/>
      <c r="DN37" s="251"/>
      <c r="DO37" s="251"/>
      <c r="DP37" s="251"/>
      <c r="DQ37" s="251"/>
      <c r="DR37" s="251"/>
      <c r="DS37" s="251"/>
      <c r="DT37" s="251"/>
      <c r="DU37" s="251"/>
      <c r="DV37" s="251"/>
      <c r="DW37" s="251"/>
      <c r="DX37" s="251"/>
      <c r="DY37" s="251"/>
      <c r="DZ37" s="251"/>
      <c r="EA37" s="251"/>
    </row>
    <row r="38" spans="1:131" ht="13.5" thickBot="1">
      <c r="A38" s="366" t="s">
        <v>786</v>
      </c>
      <c r="B38" s="367"/>
      <c r="C38" s="253"/>
      <c r="D38" s="253"/>
      <c r="E38" s="253"/>
      <c r="F38" s="253"/>
      <c r="G38" s="253"/>
      <c r="H38" s="253"/>
      <c r="I38" s="253"/>
      <c r="J38" s="253"/>
      <c r="K38" s="253"/>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253"/>
      <c r="BB38" s="253"/>
      <c r="BC38" s="253"/>
      <c r="BD38" s="253"/>
      <c r="BE38" s="253"/>
      <c r="BF38" s="253"/>
      <c r="BG38" s="253"/>
      <c r="BH38" s="253"/>
      <c r="BI38" s="253"/>
      <c r="BJ38" s="253"/>
      <c r="BK38" s="253"/>
      <c r="BL38" s="253"/>
      <c r="BM38" s="253"/>
      <c r="BN38" s="253"/>
      <c r="BO38" s="253"/>
      <c r="BP38" s="253"/>
      <c r="BQ38" s="253"/>
      <c r="BR38" s="253"/>
      <c r="BS38" s="253"/>
      <c r="BT38" s="253"/>
      <c r="BU38" s="253"/>
      <c r="BV38" s="253"/>
      <c r="BW38" s="253"/>
      <c r="BX38" s="253"/>
      <c r="BY38" s="253"/>
      <c r="BZ38" s="253"/>
      <c r="CA38" s="253"/>
      <c r="CB38" s="253"/>
      <c r="CC38" s="253"/>
      <c r="CD38" s="253"/>
      <c r="CE38" s="253"/>
      <c r="CF38" s="253"/>
      <c r="CG38" s="253"/>
      <c r="CH38" s="253"/>
      <c r="CI38" s="253"/>
      <c r="CJ38" s="253"/>
      <c r="CK38" s="253"/>
      <c r="CL38" s="253"/>
      <c r="CM38" s="253"/>
      <c r="CN38" s="253"/>
      <c r="CO38" s="253"/>
      <c r="CP38" s="253"/>
      <c r="CQ38" s="253"/>
      <c r="CR38" s="253"/>
      <c r="CS38" s="253"/>
      <c r="CT38" s="253"/>
      <c r="CU38" s="253"/>
      <c r="CV38" s="253"/>
      <c r="CW38" s="253"/>
      <c r="CX38" s="251"/>
      <c r="CY38" s="251"/>
      <c r="CZ38" s="251"/>
      <c r="DA38" s="251"/>
      <c r="DB38" s="251"/>
      <c r="DC38" s="251"/>
      <c r="DD38" s="251"/>
      <c r="DE38" s="251"/>
      <c r="DF38" s="251"/>
      <c r="DG38" s="251"/>
      <c r="DH38" s="251"/>
      <c r="DI38" s="251"/>
      <c r="DJ38" s="251"/>
      <c r="DK38" s="251"/>
      <c r="DL38" s="251"/>
      <c r="DM38" s="251"/>
      <c r="DN38" s="251"/>
      <c r="DO38" s="251"/>
      <c r="DP38" s="251"/>
      <c r="DQ38" s="251"/>
      <c r="DR38" s="251"/>
      <c r="DS38" s="251"/>
      <c r="DT38" s="251"/>
      <c r="DU38" s="251"/>
      <c r="DV38" s="251"/>
      <c r="DW38" s="251"/>
      <c r="DX38" s="251"/>
      <c r="DY38" s="251"/>
      <c r="DZ38" s="251"/>
      <c r="EA38" s="251"/>
    </row>
    <row r="39" spans="1:131" ht="26.25" thickBot="1">
      <c r="A39" s="385" t="s">
        <v>787</v>
      </c>
      <c r="B39" s="386"/>
      <c r="C39" s="387" t="s">
        <v>788</v>
      </c>
      <c r="D39" s="388"/>
      <c r="E39" s="388"/>
      <c r="F39" s="388"/>
      <c r="G39" s="388"/>
      <c r="H39" s="388"/>
      <c r="I39" s="388"/>
      <c r="J39" s="388"/>
      <c r="K39" s="389"/>
      <c r="L39" s="387" t="s">
        <v>789</v>
      </c>
      <c r="M39" s="388"/>
      <c r="N39" s="388"/>
      <c r="O39" s="388"/>
      <c r="P39" s="388"/>
      <c r="Q39" s="389"/>
      <c r="R39" s="387" t="s">
        <v>790</v>
      </c>
      <c r="S39" s="388"/>
      <c r="T39" s="388"/>
      <c r="U39" s="389"/>
      <c r="V39" s="387" t="s">
        <v>791</v>
      </c>
      <c r="W39" s="388"/>
      <c r="X39" s="388"/>
      <c r="Y39" s="389"/>
      <c r="Z39" s="387" t="s">
        <v>792</v>
      </c>
      <c r="AA39" s="388"/>
      <c r="AB39" s="388"/>
      <c r="AC39" s="389"/>
      <c r="AD39" s="387" t="s">
        <v>793</v>
      </c>
      <c r="AE39" s="388"/>
      <c r="AF39" s="388"/>
      <c r="AG39" s="389"/>
      <c r="AH39" s="387" t="s">
        <v>794</v>
      </c>
      <c r="AI39" s="388"/>
      <c r="AJ39" s="388"/>
      <c r="AK39" s="388"/>
      <c r="AL39" s="389"/>
      <c r="AM39" s="387" t="s">
        <v>795</v>
      </c>
      <c r="AN39" s="388"/>
      <c r="AO39" s="388"/>
      <c r="AP39" s="388"/>
      <c r="AQ39" s="388"/>
      <c r="AR39" s="388"/>
      <c r="AS39" s="389"/>
      <c r="AT39" s="387" t="s">
        <v>796</v>
      </c>
      <c r="AU39" s="388"/>
      <c r="AV39" s="388"/>
      <c r="AW39" s="388"/>
      <c r="AX39" s="388"/>
      <c r="AY39" s="388"/>
      <c r="AZ39" s="389"/>
      <c r="BA39" s="387" t="s">
        <v>797</v>
      </c>
      <c r="BB39" s="388"/>
      <c r="BC39" s="388"/>
      <c r="BD39" s="388"/>
      <c r="BE39" s="388"/>
      <c r="BF39" s="389"/>
      <c r="BG39" s="387" t="s">
        <v>798</v>
      </c>
      <c r="BH39" s="389"/>
      <c r="BI39" s="387" t="s">
        <v>799</v>
      </c>
      <c r="BJ39" s="388"/>
      <c r="BK39" s="388"/>
      <c r="BL39" s="388"/>
      <c r="BM39" s="389"/>
      <c r="BN39" s="387" t="s">
        <v>800</v>
      </c>
      <c r="BO39" s="388"/>
      <c r="BP39" s="388"/>
      <c r="BQ39" s="388"/>
      <c r="BR39" s="388"/>
      <c r="BS39" s="388"/>
      <c r="BT39" s="388"/>
      <c r="BU39" s="388"/>
      <c r="BV39" s="388"/>
      <c r="BW39" s="388"/>
      <c r="BX39" s="388"/>
      <c r="BY39" s="388"/>
      <c r="BZ39" s="388"/>
      <c r="CA39" s="388"/>
      <c r="CB39" s="388"/>
      <c r="CC39" s="389"/>
      <c r="CD39" s="387" t="s">
        <v>801</v>
      </c>
      <c r="CE39" s="389"/>
      <c r="CF39" s="387" t="s">
        <v>802</v>
      </c>
      <c r="CG39" s="388"/>
      <c r="CH39" s="388"/>
      <c r="CI39" s="388"/>
      <c r="CJ39" s="388"/>
      <c r="CK39" s="389"/>
      <c r="CL39" s="390"/>
      <c r="CM39" s="387" t="s">
        <v>676</v>
      </c>
      <c r="CN39" s="388"/>
      <c r="CO39" s="388"/>
      <c r="CP39" s="389"/>
      <c r="CQ39" s="387" t="s">
        <v>803</v>
      </c>
      <c r="CR39" s="388"/>
      <c r="CS39" s="388"/>
      <c r="CT39" s="388"/>
      <c r="CU39" s="389"/>
      <c r="CV39" s="387" t="s">
        <v>804</v>
      </c>
      <c r="CW39" s="389"/>
      <c r="CX39" s="251"/>
      <c r="CY39" s="251"/>
      <c r="CZ39" s="251"/>
      <c r="DA39" s="251"/>
      <c r="DB39" s="251"/>
      <c r="DC39" s="251"/>
      <c r="DD39" s="251"/>
      <c r="DE39" s="251"/>
      <c r="DF39" s="251"/>
      <c r="DG39" s="251"/>
      <c r="DH39" s="251"/>
      <c r="DI39" s="251"/>
      <c r="DJ39" s="251"/>
      <c r="DK39" s="251"/>
      <c r="DL39" s="251"/>
      <c r="DM39" s="251"/>
      <c r="DN39" s="251"/>
      <c r="DO39" s="251"/>
      <c r="DP39" s="251"/>
      <c r="DQ39" s="251"/>
      <c r="DR39" s="251"/>
      <c r="DS39" s="251"/>
      <c r="DT39" s="251"/>
      <c r="DU39" s="251"/>
      <c r="DV39" s="251"/>
      <c r="DW39" s="251"/>
      <c r="DX39" s="251"/>
      <c r="DY39" s="251"/>
      <c r="DZ39" s="251"/>
      <c r="EA39" s="251"/>
    </row>
    <row r="40" spans="1:131" ht="216.75">
      <c r="A40" s="370" t="s">
        <v>702</v>
      </c>
      <c r="B40" s="371" t="s">
        <v>374</v>
      </c>
      <c r="C40" s="247" t="s">
        <v>375</v>
      </c>
      <c r="D40" s="247" t="s">
        <v>805</v>
      </c>
      <c r="E40" s="247" t="s">
        <v>806</v>
      </c>
      <c r="F40" s="247" t="s">
        <v>807</v>
      </c>
      <c r="G40" s="247" t="s">
        <v>808</v>
      </c>
      <c r="H40" s="247" t="s">
        <v>809</v>
      </c>
      <c r="I40" s="247" t="s">
        <v>810</v>
      </c>
      <c r="J40" s="247" t="s">
        <v>811</v>
      </c>
      <c r="K40" s="247" t="s">
        <v>812</v>
      </c>
      <c r="L40" s="247" t="s">
        <v>813</v>
      </c>
      <c r="M40" s="247" t="s">
        <v>814</v>
      </c>
      <c r="N40" s="247" t="s">
        <v>815</v>
      </c>
      <c r="O40" s="247" t="s">
        <v>816</v>
      </c>
      <c r="P40" s="247" t="s">
        <v>817</v>
      </c>
      <c r="Q40" s="247" t="s">
        <v>818</v>
      </c>
      <c r="R40" s="247" t="s">
        <v>819</v>
      </c>
      <c r="S40" s="247" t="s">
        <v>820</v>
      </c>
      <c r="T40" s="247" t="s">
        <v>821</v>
      </c>
      <c r="U40" s="247" t="s">
        <v>727</v>
      </c>
      <c r="V40" s="247" t="s">
        <v>819</v>
      </c>
      <c r="W40" s="247" t="s">
        <v>820</v>
      </c>
      <c r="X40" s="247" t="s">
        <v>821</v>
      </c>
      <c r="Y40" s="247" t="s">
        <v>727</v>
      </c>
      <c r="Z40" s="247" t="s">
        <v>819</v>
      </c>
      <c r="AA40" s="247" t="s">
        <v>820</v>
      </c>
      <c r="AB40" s="247" t="s">
        <v>821</v>
      </c>
      <c r="AC40" s="247" t="s">
        <v>727</v>
      </c>
      <c r="AD40" s="247" t="s">
        <v>819</v>
      </c>
      <c r="AE40" s="247" t="s">
        <v>820</v>
      </c>
      <c r="AF40" s="247" t="s">
        <v>821</v>
      </c>
      <c r="AG40" s="247" t="s">
        <v>727</v>
      </c>
      <c r="AH40" s="247" t="s">
        <v>819</v>
      </c>
      <c r="AI40" s="247" t="s">
        <v>820</v>
      </c>
      <c r="AJ40" s="247" t="s">
        <v>821</v>
      </c>
      <c r="AK40" s="247" t="s">
        <v>727</v>
      </c>
      <c r="AL40" s="247" t="s">
        <v>205</v>
      </c>
      <c r="AM40" s="247" t="s">
        <v>822</v>
      </c>
      <c r="AN40" s="247" t="s">
        <v>823</v>
      </c>
      <c r="AO40" s="247" t="s">
        <v>824</v>
      </c>
      <c r="AP40" s="247" t="s">
        <v>825</v>
      </c>
      <c r="AQ40" s="247" t="s">
        <v>826</v>
      </c>
      <c r="AR40" s="247" t="s">
        <v>827</v>
      </c>
      <c r="AS40" s="247" t="s">
        <v>828</v>
      </c>
      <c r="AT40" s="247" t="s">
        <v>829</v>
      </c>
      <c r="AU40" s="247" t="s">
        <v>830</v>
      </c>
      <c r="AV40" s="247" t="s">
        <v>831</v>
      </c>
      <c r="AW40" s="247" t="s">
        <v>832</v>
      </c>
      <c r="AX40" s="247" t="s">
        <v>833</v>
      </c>
      <c r="AY40" s="247" t="s">
        <v>834</v>
      </c>
      <c r="AZ40" s="247" t="s">
        <v>835</v>
      </c>
      <c r="BA40" s="247" t="s">
        <v>836</v>
      </c>
      <c r="BB40" s="247" t="s">
        <v>837</v>
      </c>
      <c r="BC40" s="247" t="s">
        <v>838</v>
      </c>
      <c r="BD40" s="247" t="s">
        <v>839</v>
      </c>
      <c r="BE40" s="247" t="s">
        <v>840</v>
      </c>
      <c r="BF40" s="247" t="s">
        <v>841</v>
      </c>
      <c r="BG40" s="247" t="s">
        <v>842</v>
      </c>
      <c r="BH40" s="247" t="s">
        <v>843</v>
      </c>
      <c r="BI40" s="247" t="s">
        <v>844</v>
      </c>
      <c r="BJ40" s="247" t="s">
        <v>845</v>
      </c>
      <c r="BK40" s="247" t="s">
        <v>846</v>
      </c>
      <c r="BL40" s="247" t="s">
        <v>847</v>
      </c>
      <c r="BM40" s="247" t="s">
        <v>848</v>
      </c>
      <c r="BN40" s="247" t="s">
        <v>849</v>
      </c>
      <c r="BO40" s="247" t="s">
        <v>850</v>
      </c>
      <c r="BP40" s="247" t="s">
        <v>851</v>
      </c>
      <c r="BQ40" s="247" t="s">
        <v>852</v>
      </c>
      <c r="BR40" s="247" t="s">
        <v>853</v>
      </c>
      <c r="BS40" s="247" t="s">
        <v>854</v>
      </c>
      <c r="BT40" s="247" t="s">
        <v>855</v>
      </c>
      <c r="BU40" s="247" t="s">
        <v>856</v>
      </c>
      <c r="BV40" s="247" t="s">
        <v>857</v>
      </c>
      <c r="BW40" s="247" t="s">
        <v>858</v>
      </c>
      <c r="BX40" s="247" t="s">
        <v>859</v>
      </c>
      <c r="BY40" s="247" t="s">
        <v>860</v>
      </c>
      <c r="BZ40" s="247" t="s">
        <v>861</v>
      </c>
      <c r="CA40" s="247" t="s">
        <v>862</v>
      </c>
      <c r="CB40" s="247" t="s">
        <v>863</v>
      </c>
      <c r="CC40" s="247" t="s">
        <v>864</v>
      </c>
      <c r="CD40" s="247" t="s">
        <v>711</v>
      </c>
      <c r="CE40" s="247" t="s">
        <v>710</v>
      </c>
      <c r="CF40" s="247" t="s">
        <v>865</v>
      </c>
      <c r="CG40" s="247" t="s">
        <v>866</v>
      </c>
      <c r="CH40" s="247" t="s">
        <v>867</v>
      </c>
      <c r="CI40" s="247" t="s">
        <v>868</v>
      </c>
      <c r="CJ40" s="247" t="s">
        <v>869</v>
      </c>
      <c r="CK40" s="247" t="s">
        <v>870</v>
      </c>
      <c r="CL40" s="247"/>
      <c r="CM40" s="247" t="s">
        <v>871</v>
      </c>
      <c r="CN40" s="247" t="s">
        <v>872</v>
      </c>
      <c r="CO40" s="247" t="s">
        <v>873</v>
      </c>
      <c r="CP40" s="247" t="s">
        <v>874</v>
      </c>
      <c r="CQ40" s="247" t="s">
        <v>875</v>
      </c>
      <c r="CR40" s="247" t="s">
        <v>876</v>
      </c>
      <c r="CS40" s="247" t="s">
        <v>877</v>
      </c>
      <c r="CT40" s="247" t="s">
        <v>878</v>
      </c>
      <c r="CU40" s="247" t="s">
        <v>879</v>
      </c>
      <c r="CV40" s="247" t="s">
        <v>880</v>
      </c>
      <c r="CW40" s="391" t="s">
        <v>881</v>
      </c>
      <c r="CX40" s="251"/>
      <c r="CY40" s="251"/>
      <c r="CZ40" s="251"/>
      <c r="DA40" s="251"/>
      <c r="DB40" s="251"/>
      <c r="DC40" s="251"/>
      <c r="DD40" s="251"/>
      <c r="DE40" s="251"/>
      <c r="DF40" s="251"/>
      <c r="DG40" s="251"/>
      <c r="DH40" s="251"/>
      <c r="DI40" s="251"/>
      <c r="DJ40" s="251"/>
      <c r="DK40" s="251"/>
      <c r="DL40" s="251"/>
      <c r="DM40" s="251"/>
      <c r="DN40" s="251"/>
      <c r="DO40" s="251"/>
      <c r="DP40" s="251"/>
      <c r="DQ40" s="251"/>
      <c r="DR40" s="251"/>
      <c r="DS40" s="251"/>
      <c r="DT40" s="251"/>
      <c r="DU40" s="251"/>
      <c r="DV40" s="251"/>
      <c r="DW40" s="251"/>
      <c r="DX40" s="251"/>
      <c r="DY40" s="251"/>
      <c r="DZ40" s="251"/>
      <c r="EA40" s="251"/>
    </row>
    <row r="41" spans="1:131">
      <c r="A41" s="251" t="s">
        <v>700</v>
      </c>
      <c r="B41" s="251" t="s">
        <v>700</v>
      </c>
      <c r="C41" s="253">
        <v>15</v>
      </c>
      <c r="D41" s="253">
        <v>4.1286456896631503</v>
      </c>
      <c r="E41" s="253">
        <v>0</v>
      </c>
      <c r="F41" s="253">
        <v>0.16609903093306744</v>
      </c>
      <c r="G41" s="253">
        <v>7.0403136364678882E-3</v>
      </c>
      <c r="H41" s="253">
        <v>0</v>
      </c>
      <c r="I41" s="253" t="s">
        <v>488</v>
      </c>
      <c r="J41" s="253"/>
      <c r="K41" s="253"/>
      <c r="L41" s="253">
        <v>4.4347105597087273</v>
      </c>
      <c r="M41" s="253">
        <v>6.2864537280676771E-4</v>
      </c>
      <c r="N41" s="253">
        <v>6.2410809241782866E-4</v>
      </c>
      <c r="O41" s="253">
        <v>0</v>
      </c>
      <c r="P41" s="253">
        <v>0</v>
      </c>
      <c r="Q41" s="253">
        <v>0</v>
      </c>
      <c r="R41" s="253">
        <v>5.0957485542029494E-2</v>
      </c>
      <c r="S41" s="253">
        <v>0.11775499849783116</v>
      </c>
      <c r="T41" s="253">
        <v>0</v>
      </c>
      <c r="U41" s="253">
        <v>4.2030203947297951E-2</v>
      </c>
      <c r="V41" s="253" t="s">
        <v>882</v>
      </c>
      <c r="W41" s="253" t="s">
        <v>882</v>
      </c>
      <c r="X41" s="253" t="s">
        <v>882</v>
      </c>
      <c r="Y41" s="253" t="s">
        <v>882</v>
      </c>
      <c r="Z41" s="253">
        <v>2.8704047967157434E-2</v>
      </c>
      <c r="AA41" s="253">
        <v>6.6976111923367346E-2</v>
      </c>
      <c r="AB41" s="253">
        <v>0</v>
      </c>
      <c r="AC41" s="253">
        <v>0</v>
      </c>
      <c r="AD41" s="253">
        <v>0</v>
      </c>
      <c r="AE41" s="253">
        <v>0</v>
      </c>
      <c r="AF41" s="253">
        <v>0</v>
      </c>
      <c r="AG41" s="253">
        <v>0</v>
      </c>
      <c r="AH41" s="253">
        <v>7.9661533509186921E-2</v>
      </c>
      <c r="AI41" s="253">
        <v>0.1847311104211985</v>
      </c>
      <c r="AJ41" s="253">
        <v>0</v>
      </c>
      <c r="AK41" s="253">
        <v>4.2030203947297951E-2</v>
      </c>
      <c r="AL41" s="253">
        <v>0.30642284787768337</v>
      </c>
      <c r="AM41" s="253">
        <v>2.2577984683137453</v>
      </c>
      <c r="AN41" s="253">
        <v>0.22213089006414402</v>
      </c>
      <c r="AO41" s="253">
        <v>0</v>
      </c>
      <c r="AP41" s="253">
        <v>0</v>
      </c>
      <c r="AQ41" s="253">
        <v>2.4799293583778894</v>
      </c>
      <c r="AR41" s="253">
        <v>7.9661533509186921E-2</v>
      </c>
      <c r="AS41" s="401">
        <v>31.130826248679899</v>
      </c>
      <c r="AT41" s="253">
        <v>2.2577984683137453</v>
      </c>
      <c r="AU41" s="253">
        <v>0.2629368121652999</v>
      </c>
      <c r="AV41" s="253">
        <v>0</v>
      </c>
      <c r="AW41" s="253">
        <v>0</v>
      </c>
      <c r="AX41" s="253">
        <v>2.520735280479045</v>
      </c>
      <c r="AY41" s="253">
        <v>0.1847311104211985</v>
      </c>
      <c r="AZ41" s="401">
        <v>13.645429157717997</v>
      </c>
      <c r="BA41" s="253">
        <v>2.2577984683137453</v>
      </c>
      <c r="BB41" s="253">
        <v>0.48506770222944395</v>
      </c>
      <c r="BC41" s="253">
        <v>0</v>
      </c>
      <c r="BD41" s="253">
        <v>0</v>
      </c>
      <c r="BE41" s="253">
        <v>2.7428661705431892</v>
      </c>
      <c r="BF41" s="253">
        <v>0.26439264393038542</v>
      </c>
      <c r="BG41" s="253">
        <v>-3.6614919564408788</v>
      </c>
      <c r="BH41" s="401">
        <v>10.374215143691311</v>
      </c>
      <c r="BI41" s="253">
        <v>1.3217627149614215</v>
      </c>
      <c r="BJ41" s="253">
        <v>3.0651016028959903</v>
      </c>
      <c r="BK41" s="253">
        <v>0</v>
      </c>
      <c r="BL41" s="253">
        <v>0.69737493157040542</v>
      </c>
      <c r="BM41" s="253">
        <v>5.0842392494278164</v>
      </c>
      <c r="BN41" s="253">
        <v>2.2577984683137453</v>
      </c>
      <c r="BO41" s="253">
        <v>0</v>
      </c>
      <c r="BP41" s="253">
        <v>0.48506770222944395</v>
      </c>
      <c r="BQ41" s="253">
        <v>0</v>
      </c>
      <c r="BR41" s="253">
        <v>0</v>
      </c>
      <c r="BS41" s="253">
        <v>0</v>
      </c>
      <c r="BT41" s="253">
        <v>0</v>
      </c>
      <c r="BU41" s="253">
        <v>0</v>
      </c>
      <c r="BV41" s="253">
        <v>0</v>
      </c>
      <c r="BW41" s="253">
        <v>0</v>
      </c>
      <c r="BX41" s="253">
        <v>0.21074268798715862</v>
      </c>
      <c r="BY41" s="253"/>
      <c r="BZ41" s="253">
        <v>9.568015989052478E-2</v>
      </c>
      <c r="CA41" s="253">
        <v>0</v>
      </c>
      <c r="CB41" s="253">
        <v>2.7428661705431892</v>
      </c>
      <c r="CC41" s="253">
        <v>0.30642284787768337</v>
      </c>
      <c r="CD41" s="401">
        <v>8.9512456056738809</v>
      </c>
      <c r="CE41" s="253">
        <v>-2.9641170248704691</v>
      </c>
      <c r="CF41" s="253">
        <v>4.2130188397955536E-2</v>
      </c>
      <c r="CG41" s="253">
        <v>0</v>
      </c>
      <c r="CH41" s="253">
        <v>4.2130188397955536E-2</v>
      </c>
      <c r="CI41" s="253">
        <v>2.1064875158616461E-3</v>
      </c>
      <c r="CJ41" s="253">
        <v>0</v>
      </c>
      <c r="CK41" s="253">
        <v>2.1064875158616461E-3</v>
      </c>
      <c r="CL41" s="253"/>
      <c r="CM41" s="253">
        <v>0</v>
      </c>
      <c r="CN41" s="253"/>
      <c r="CO41" s="253">
        <v>0</v>
      </c>
      <c r="CP41" s="253">
        <v>0</v>
      </c>
      <c r="CQ41" s="253">
        <v>0</v>
      </c>
      <c r="CR41" s="253">
        <v>0</v>
      </c>
      <c r="CS41" s="253">
        <v>0</v>
      </c>
      <c r="CT41" s="253">
        <v>0</v>
      </c>
      <c r="CU41" s="253">
        <v>0</v>
      </c>
      <c r="CV41" s="253">
        <v>9999</v>
      </c>
      <c r="CW41" s="401">
        <v>9999</v>
      </c>
      <c r="CX41" s="251"/>
      <c r="CY41" s="251"/>
      <c r="CZ41" s="251"/>
      <c r="DA41" s="251"/>
      <c r="DB41" s="251"/>
      <c r="DC41" s="251"/>
      <c r="DD41" s="251"/>
      <c r="DE41" s="251"/>
      <c r="DF41" s="251"/>
      <c r="DG41" s="251"/>
      <c r="DH41" s="251"/>
      <c r="DI41" s="251"/>
      <c r="DJ41" s="251"/>
      <c r="DK41" s="251"/>
      <c r="DL41" s="251"/>
      <c r="DM41" s="251"/>
      <c r="DN41" s="251"/>
      <c r="DO41" s="251"/>
      <c r="DP41" s="251"/>
      <c r="DQ41" s="251"/>
      <c r="DR41" s="251"/>
      <c r="DS41" s="251"/>
      <c r="DT41" s="251"/>
      <c r="DU41" s="251"/>
      <c r="DV41" s="251"/>
      <c r="DW41" s="251"/>
      <c r="DX41" s="251"/>
      <c r="DY41" s="251"/>
      <c r="DZ41" s="251"/>
      <c r="EA41" s="251"/>
    </row>
    <row r="42" spans="1:131">
      <c r="A42" s="251" t="s">
        <v>698</v>
      </c>
      <c r="B42" s="251" t="s">
        <v>698</v>
      </c>
      <c r="C42" s="253">
        <v>15</v>
      </c>
      <c r="D42" s="253">
        <v>2.4730935753017791</v>
      </c>
      <c r="E42" s="253">
        <v>0</v>
      </c>
      <c r="F42" s="253">
        <v>0.2498478167734684</v>
      </c>
      <c r="G42" s="253">
        <v>3.5201568182339441E-3</v>
      </c>
      <c r="H42" s="253">
        <v>0</v>
      </c>
      <c r="I42" s="253" t="s">
        <v>488</v>
      </c>
      <c r="J42" s="253"/>
      <c r="K42" s="253"/>
      <c r="L42" s="253">
        <v>2.6564290127868606</v>
      </c>
      <c r="M42" s="253">
        <v>3.7656387820444201E-4</v>
      </c>
      <c r="N42" s="253">
        <v>3.7384600899921516E-4</v>
      </c>
      <c r="O42" s="253">
        <v>0</v>
      </c>
      <c r="P42" s="253">
        <v>0</v>
      </c>
      <c r="Q42" s="253">
        <v>0</v>
      </c>
      <c r="R42" s="253">
        <v>7.6650757318819526E-2</v>
      </c>
      <c r="S42" s="253">
        <v>0.17712824164941587</v>
      </c>
      <c r="T42" s="253">
        <v>0</v>
      </c>
      <c r="U42" s="253">
        <v>6.3222251423053974E-2</v>
      </c>
      <c r="V42" s="253" t="s">
        <v>882</v>
      </c>
      <c r="W42" s="253" t="s">
        <v>882</v>
      </c>
      <c r="X42" s="253" t="s">
        <v>882</v>
      </c>
      <c r="Y42" s="253" t="s">
        <v>882</v>
      </c>
      <c r="Z42" s="253">
        <v>1.4352023983578717E-2</v>
      </c>
      <c r="AA42" s="253">
        <v>3.3488055961683673E-2</v>
      </c>
      <c r="AB42" s="253">
        <v>0</v>
      </c>
      <c r="AC42" s="253">
        <v>0</v>
      </c>
      <c r="AD42" s="253">
        <v>0</v>
      </c>
      <c r="AE42" s="253">
        <v>0</v>
      </c>
      <c r="AF42" s="253">
        <v>0</v>
      </c>
      <c r="AG42" s="253">
        <v>0</v>
      </c>
      <c r="AH42" s="253">
        <v>9.100278130239825E-2</v>
      </c>
      <c r="AI42" s="253">
        <v>0.21061629761109954</v>
      </c>
      <c r="AJ42" s="253">
        <v>0</v>
      </c>
      <c r="AK42" s="253">
        <v>6.3222251423053974E-2</v>
      </c>
      <c r="AL42" s="253">
        <v>0.36484133033655181</v>
      </c>
      <c r="AM42" s="253">
        <v>1.3524403172432291</v>
      </c>
      <c r="AN42" s="253">
        <v>0.13305827585765079</v>
      </c>
      <c r="AO42" s="253">
        <v>0</v>
      </c>
      <c r="AP42" s="253">
        <v>0</v>
      </c>
      <c r="AQ42" s="253">
        <v>1.4854985931008799</v>
      </c>
      <c r="AR42" s="253">
        <v>9.100278130239825E-2</v>
      </c>
      <c r="AS42" s="401">
        <v>16.32366145123228</v>
      </c>
      <c r="AT42" s="253">
        <v>1.3524403172432291</v>
      </c>
      <c r="AU42" s="253">
        <v>0.15750136721695487</v>
      </c>
      <c r="AV42" s="253">
        <v>0</v>
      </c>
      <c r="AW42" s="253">
        <v>0</v>
      </c>
      <c r="AX42" s="253">
        <v>1.5099416844601841</v>
      </c>
      <c r="AY42" s="253">
        <v>0.21061629761109954</v>
      </c>
      <c r="AZ42" s="401">
        <v>7.1691588048341499</v>
      </c>
      <c r="BA42" s="253">
        <v>1.3524403172432291</v>
      </c>
      <c r="BB42" s="253">
        <v>0.29055964307460569</v>
      </c>
      <c r="BC42" s="253">
        <v>0</v>
      </c>
      <c r="BD42" s="253">
        <v>0</v>
      </c>
      <c r="BE42" s="253">
        <v>1.6429999603178349</v>
      </c>
      <c r="BF42" s="253">
        <v>0.30161907891349782</v>
      </c>
      <c r="BG42" s="253">
        <v>0.30634082174065447</v>
      </c>
      <c r="BH42" s="401">
        <v>5.4472680118124606</v>
      </c>
      <c r="BI42" s="253">
        <v>2.5207313655932984</v>
      </c>
      <c r="BJ42" s="253">
        <v>5.8339657304456498</v>
      </c>
      <c r="BK42" s="253">
        <v>0</v>
      </c>
      <c r="BL42" s="253">
        <v>1.7512246316510971</v>
      </c>
      <c r="BM42" s="253">
        <v>10.105921727690045</v>
      </c>
      <c r="BN42" s="253">
        <v>1.3524403172432291</v>
      </c>
      <c r="BO42" s="253">
        <v>0</v>
      </c>
      <c r="BP42" s="253">
        <v>0.29055964307460569</v>
      </c>
      <c r="BQ42" s="253">
        <v>0</v>
      </c>
      <c r="BR42" s="253">
        <v>0</v>
      </c>
      <c r="BS42" s="253">
        <v>0</v>
      </c>
      <c r="BT42" s="253">
        <v>0</v>
      </c>
      <c r="BU42" s="253">
        <v>0</v>
      </c>
      <c r="BV42" s="253">
        <v>0</v>
      </c>
      <c r="BW42" s="253">
        <v>0</v>
      </c>
      <c r="BX42" s="253">
        <v>0.3170012503912894</v>
      </c>
      <c r="BY42" s="253"/>
      <c r="BZ42" s="253">
        <v>4.784007994526239E-2</v>
      </c>
      <c r="CA42" s="253">
        <v>0</v>
      </c>
      <c r="CB42" s="253">
        <v>1.6429999603178349</v>
      </c>
      <c r="CC42" s="253">
        <v>0.36484133033655181</v>
      </c>
      <c r="CD42" s="401">
        <v>4.5033274020852625</v>
      </c>
      <c r="CE42" s="253">
        <v>2.0575654533917533</v>
      </c>
      <c r="CF42" s="253">
        <v>2.5236338035521354E-2</v>
      </c>
      <c r="CG42" s="253">
        <v>0</v>
      </c>
      <c r="CH42" s="253">
        <v>2.5236338035521354E-2</v>
      </c>
      <c r="CI42" s="253">
        <v>1.2618037810737592E-3</v>
      </c>
      <c r="CJ42" s="253">
        <v>0</v>
      </c>
      <c r="CK42" s="253">
        <v>1.2618037810737592E-3</v>
      </c>
      <c r="CL42" s="253"/>
      <c r="CM42" s="253">
        <v>0</v>
      </c>
      <c r="CN42" s="253"/>
      <c r="CO42" s="253">
        <v>0</v>
      </c>
      <c r="CP42" s="253">
        <v>0</v>
      </c>
      <c r="CQ42" s="253">
        <v>0</v>
      </c>
      <c r="CR42" s="253">
        <v>0</v>
      </c>
      <c r="CS42" s="253">
        <v>0</v>
      </c>
      <c r="CT42" s="253">
        <v>0</v>
      </c>
      <c r="CU42" s="253">
        <v>0</v>
      </c>
      <c r="CV42" s="253">
        <v>9999</v>
      </c>
      <c r="CW42" s="401">
        <v>9999</v>
      </c>
      <c r="CX42" s="251"/>
      <c r="CY42" s="251"/>
      <c r="CZ42" s="251"/>
      <c r="DA42" s="251"/>
      <c r="DB42" s="251"/>
      <c r="DC42" s="251"/>
      <c r="DD42" s="251"/>
      <c r="DE42" s="251"/>
      <c r="DF42" s="251"/>
      <c r="DG42" s="251"/>
      <c r="DH42" s="251"/>
      <c r="DI42" s="251"/>
      <c r="DJ42" s="251"/>
      <c r="DK42" s="251"/>
      <c r="DL42" s="251"/>
      <c r="DM42" s="251"/>
      <c r="DN42" s="251"/>
      <c r="DO42" s="251"/>
      <c r="DP42" s="251"/>
      <c r="DQ42" s="251"/>
      <c r="DR42" s="251"/>
      <c r="DS42" s="251"/>
      <c r="DT42" s="251"/>
      <c r="DU42" s="251"/>
      <c r="DV42" s="251"/>
      <c r="DW42" s="251"/>
      <c r="DX42" s="251"/>
      <c r="DY42" s="251"/>
      <c r="DZ42" s="251"/>
      <c r="EA42" s="251"/>
    </row>
    <row r="43" spans="1:131">
      <c r="A43" s="251" t="s">
        <v>699</v>
      </c>
      <c r="B43" s="251" t="s">
        <v>699</v>
      </c>
      <c r="C43" s="253">
        <v>15</v>
      </c>
      <c r="D43" s="253">
        <v>2.7165086867540036</v>
      </c>
      <c r="E43" s="253">
        <v>0</v>
      </c>
      <c r="F43" s="253">
        <v>1.8020164191833796</v>
      </c>
      <c r="G43" s="253">
        <v>3.5201568182339441E-3</v>
      </c>
      <c r="H43" s="253">
        <v>0</v>
      </c>
      <c r="I43" s="253" t="s">
        <v>488</v>
      </c>
      <c r="J43" s="253"/>
      <c r="K43" s="253"/>
      <c r="L43" s="253">
        <v>2.9178889796356824</v>
      </c>
      <c r="M43" s="253">
        <v>4.1362731134640516E-4</v>
      </c>
      <c r="N43" s="253">
        <v>4.106419349016182E-4</v>
      </c>
      <c r="O43" s="253">
        <v>0</v>
      </c>
      <c r="P43" s="253">
        <v>0</v>
      </c>
      <c r="Q43" s="253">
        <v>0</v>
      </c>
      <c r="R43" s="253">
        <v>0.55284022496217844</v>
      </c>
      <c r="S43" s="253">
        <v>1.2775296733640447</v>
      </c>
      <c r="T43" s="253">
        <v>0</v>
      </c>
      <c r="U43" s="253">
        <v>0.45598771521537312</v>
      </c>
      <c r="V43" s="253" t="s">
        <v>882</v>
      </c>
      <c r="W43" s="253" t="s">
        <v>882</v>
      </c>
      <c r="X43" s="253" t="s">
        <v>882</v>
      </c>
      <c r="Y43" s="253" t="s">
        <v>882</v>
      </c>
      <c r="Z43" s="253">
        <v>1.4352023983578717E-2</v>
      </c>
      <c r="AA43" s="253">
        <v>3.3488055961683673E-2</v>
      </c>
      <c r="AB43" s="253">
        <v>0</v>
      </c>
      <c r="AC43" s="253">
        <v>0</v>
      </c>
      <c r="AD43" s="253">
        <v>0</v>
      </c>
      <c r="AE43" s="253">
        <v>0</v>
      </c>
      <c r="AF43" s="253">
        <v>0</v>
      </c>
      <c r="AG43" s="253">
        <v>0</v>
      </c>
      <c r="AH43" s="253">
        <v>0.56719224894575715</v>
      </c>
      <c r="AI43" s="253">
        <v>1.3110177293257284</v>
      </c>
      <c r="AJ43" s="253">
        <v>0</v>
      </c>
      <c r="AK43" s="253">
        <v>0.45598771521537312</v>
      </c>
      <c r="AL43" s="253">
        <v>2.3341976934868587</v>
      </c>
      <c r="AM43" s="253">
        <v>1.4855547346845785</v>
      </c>
      <c r="AN43" s="253">
        <v>0.14615458380611926</v>
      </c>
      <c r="AO43" s="253">
        <v>0</v>
      </c>
      <c r="AP43" s="253">
        <v>0</v>
      </c>
      <c r="AQ43" s="253">
        <v>1.6317093184906979</v>
      </c>
      <c r="AR43" s="253">
        <v>0.56719224894575715</v>
      </c>
      <c r="AS43" s="401">
        <v>2.8768187885563732</v>
      </c>
      <c r="AT43" s="253">
        <v>1.4855547346845785</v>
      </c>
      <c r="AU43" s="253">
        <v>0.17300349509350096</v>
      </c>
      <c r="AV43" s="253">
        <v>0</v>
      </c>
      <c r="AW43" s="253">
        <v>0</v>
      </c>
      <c r="AX43" s="253">
        <v>1.6585582297780794</v>
      </c>
      <c r="AY43" s="253">
        <v>1.3110177293257284</v>
      </c>
      <c r="AZ43" s="401">
        <v>1.2650921438195157</v>
      </c>
      <c r="BA43" s="253">
        <v>1.4855547346845785</v>
      </c>
      <c r="BB43" s="253">
        <v>0.31915807889962022</v>
      </c>
      <c r="BC43" s="253">
        <v>0</v>
      </c>
      <c r="BD43" s="253">
        <v>0</v>
      </c>
      <c r="BE43" s="253">
        <v>1.8047128135841988</v>
      </c>
      <c r="BF43" s="253">
        <v>1.8782099782714854</v>
      </c>
      <c r="BG43" s="253">
        <v>39.315329818778238</v>
      </c>
      <c r="BH43" s="372">
        <v>0.96086850483302944</v>
      </c>
      <c r="BI43" s="253">
        <v>14.303148180597017</v>
      </c>
      <c r="BJ43" s="253">
        <v>33.060537912479518</v>
      </c>
      <c r="BK43" s="253">
        <v>0</v>
      </c>
      <c r="BL43" s="253">
        <v>11.498852234634619</v>
      </c>
      <c r="BM43" s="253">
        <v>58.86253832771115</v>
      </c>
      <c r="BN43" s="253">
        <v>1.4855547346845785</v>
      </c>
      <c r="BO43" s="253">
        <v>0</v>
      </c>
      <c r="BP43" s="253">
        <v>0.31915807889962022</v>
      </c>
      <c r="BQ43" s="253">
        <v>0</v>
      </c>
      <c r="BR43" s="253">
        <v>0</v>
      </c>
      <c r="BS43" s="253">
        <v>0</v>
      </c>
      <c r="BT43" s="253">
        <v>0</v>
      </c>
      <c r="BU43" s="253">
        <v>0</v>
      </c>
      <c r="BV43" s="253">
        <v>0</v>
      </c>
      <c r="BW43" s="253">
        <v>0</v>
      </c>
      <c r="BX43" s="253">
        <v>2.2863576135415964</v>
      </c>
      <c r="BY43" s="253"/>
      <c r="BZ43" s="253">
        <v>4.784007994526239E-2</v>
      </c>
      <c r="CA43" s="253">
        <v>0</v>
      </c>
      <c r="CB43" s="253">
        <v>1.8047128135841988</v>
      </c>
      <c r="CC43" s="253">
        <v>2.3341976934868587</v>
      </c>
      <c r="CD43" s="372">
        <v>0.77316193851956572</v>
      </c>
      <c r="CE43" s="253">
        <v>50.814182053412871</v>
      </c>
      <c r="CF43" s="253">
        <v>2.7720233548780653E-2</v>
      </c>
      <c r="CG43" s="253">
        <v>0</v>
      </c>
      <c r="CH43" s="253">
        <v>2.7720233548780653E-2</v>
      </c>
      <c r="CI43" s="253">
        <v>1.3859972653269494E-3</v>
      </c>
      <c r="CJ43" s="253">
        <v>0</v>
      </c>
      <c r="CK43" s="253">
        <v>1.3859972653269494E-3</v>
      </c>
      <c r="CL43" s="253"/>
      <c r="CM43" s="253">
        <v>0</v>
      </c>
      <c r="CN43" s="253"/>
      <c r="CO43" s="253">
        <v>0</v>
      </c>
      <c r="CP43" s="253">
        <v>0</v>
      </c>
      <c r="CQ43" s="253">
        <v>0</v>
      </c>
      <c r="CR43" s="253">
        <v>0</v>
      </c>
      <c r="CS43" s="253">
        <v>0</v>
      </c>
      <c r="CT43" s="253">
        <v>0</v>
      </c>
      <c r="CU43" s="253">
        <v>0</v>
      </c>
      <c r="CV43" s="253">
        <v>9999</v>
      </c>
      <c r="CW43" s="401">
        <v>9999</v>
      </c>
      <c r="CX43" s="251"/>
      <c r="CY43" s="251"/>
      <c r="CZ43" s="251"/>
      <c r="DA43" s="251"/>
      <c r="DB43" s="251"/>
      <c r="DC43" s="251"/>
      <c r="DD43" s="251"/>
      <c r="DE43" s="251"/>
      <c r="DF43" s="251"/>
      <c r="DG43" s="251"/>
      <c r="DH43" s="251"/>
      <c r="DI43" s="251"/>
      <c r="DJ43" s="251"/>
      <c r="DK43" s="251"/>
      <c r="DL43" s="251"/>
      <c r="DM43" s="251"/>
      <c r="DN43" s="251"/>
      <c r="DO43" s="251"/>
      <c r="DP43" s="251"/>
      <c r="DQ43" s="251"/>
      <c r="DR43" s="251"/>
      <c r="DS43" s="251"/>
      <c r="DT43" s="251"/>
      <c r="DU43" s="251"/>
      <c r="DV43" s="251"/>
      <c r="DW43" s="251"/>
      <c r="DX43" s="251"/>
      <c r="DY43" s="251"/>
      <c r="DZ43" s="251"/>
      <c r="EA43" s="251"/>
    </row>
    <row r="44" spans="1:131">
      <c r="A44" s="251" t="s">
        <v>380</v>
      </c>
      <c r="B44" s="251" t="s">
        <v>380</v>
      </c>
      <c r="C44" s="253">
        <v>15</v>
      </c>
      <c r="D44" s="253">
        <v>1.3922070596964742</v>
      </c>
      <c r="E44" s="253">
        <v>0</v>
      </c>
      <c r="F44" s="253">
        <v>1.3898288793186622</v>
      </c>
      <c r="G44" s="253">
        <v>6.465894455897187E-3</v>
      </c>
      <c r="H44" s="253">
        <v>0</v>
      </c>
      <c r="I44" s="253" t="s">
        <v>488</v>
      </c>
      <c r="J44" s="253"/>
      <c r="K44" s="253"/>
      <c r="L44" s="253">
        <v>1.4954141897898539</v>
      </c>
      <c r="M44" s="253">
        <v>2.1198344247808546E-4</v>
      </c>
      <c r="N44" s="253">
        <v>2.1045344105289203E-4</v>
      </c>
      <c r="O44" s="253">
        <v>0</v>
      </c>
      <c r="P44" s="253">
        <v>0</v>
      </c>
      <c r="Q44" s="253">
        <v>0</v>
      </c>
      <c r="R44" s="253">
        <v>0.42638529933576103</v>
      </c>
      <c r="S44" s="253">
        <v>0.98531157392700786</v>
      </c>
      <c r="T44" s="253">
        <v>0</v>
      </c>
      <c r="U44" s="253">
        <v>0.35168652653456606</v>
      </c>
      <c r="V44" s="253" t="s">
        <v>882</v>
      </c>
      <c r="W44" s="253" t="s">
        <v>882</v>
      </c>
      <c r="X44" s="253" t="s">
        <v>882</v>
      </c>
      <c r="Y44" s="253" t="s">
        <v>882</v>
      </c>
      <c r="Z44" s="253">
        <v>2.6362084730328007E-2</v>
      </c>
      <c r="AA44" s="253">
        <v>6.151153103743201E-2</v>
      </c>
      <c r="AB44" s="253">
        <v>0</v>
      </c>
      <c r="AC44" s="253">
        <v>0</v>
      </c>
      <c r="AD44" s="253">
        <v>0</v>
      </c>
      <c r="AE44" s="253">
        <v>0</v>
      </c>
      <c r="AF44" s="253">
        <v>0</v>
      </c>
      <c r="AG44" s="253">
        <v>0</v>
      </c>
      <c r="AH44" s="253">
        <v>0.45274738406608905</v>
      </c>
      <c r="AI44" s="253">
        <v>1.0468231049644399</v>
      </c>
      <c r="AJ44" s="253">
        <v>0</v>
      </c>
      <c r="AK44" s="253">
        <v>0.35168652653456606</v>
      </c>
      <c r="AL44" s="253">
        <v>1.8512570155650949</v>
      </c>
      <c r="AM44" s="253">
        <v>0.76134480971040663</v>
      </c>
      <c r="AN44" s="253">
        <v>7.490402823817853E-2</v>
      </c>
      <c r="AO44" s="253">
        <v>0</v>
      </c>
      <c r="AP44" s="253">
        <v>0</v>
      </c>
      <c r="AQ44" s="253">
        <v>0.83624883794858518</v>
      </c>
      <c r="AR44" s="253">
        <v>0.45274738406608905</v>
      </c>
      <c r="AS44" s="401">
        <v>1.8470539364320548</v>
      </c>
      <c r="AT44" s="253">
        <v>0.76134480971040663</v>
      </c>
      <c r="AU44" s="253">
        <v>8.86640592742369E-2</v>
      </c>
      <c r="AV44" s="253">
        <v>0</v>
      </c>
      <c r="AW44" s="253">
        <v>0</v>
      </c>
      <c r="AX44" s="253">
        <v>0.85000886898464356</v>
      </c>
      <c r="AY44" s="253">
        <v>1.0468231049644399</v>
      </c>
      <c r="AZ44" s="372">
        <v>0.81198902178751398</v>
      </c>
      <c r="BA44" s="253">
        <v>0.76134480971040663</v>
      </c>
      <c r="BB44" s="253">
        <v>0.16356808751241542</v>
      </c>
      <c r="BC44" s="253">
        <v>0</v>
      </c>
      <c r="BD44" s="253">
        <v>0</v>
      </c>
      <c r="BE44" s="253">
        <v>0.92491289722282211</v>
      </c>
      <c r="BF44" s="253">
        <v>1.4995704890305288</v>
      </c>
      <c r="BG44" s="253">
        <v>65.737904466968402</v>
      </c>
      <c r="BH44" s="372">
        <v>0.61678520882387966</v>
      </c>
      <c r="BI44" s="253">
        <v>22.277403279804581</v>
      </c>
      <c r="BJ44" s="253">
        <v>51.508857461462114</v>
      </c>
      <c r="BK44" s="253">
        <v>0</v>
      </c>
      <c r="BL44" s="253">
        <v>17.304710872808865</v>
      </c>
      <c r="BM44" s="253">
        <v>91.090971614075556</v>
      </c>
      <c r="BN44" s="253">
        <v>0.76134480971040663</v>
      </c>
      <c r="BO44" s="253">
        <v>0</v>
      </c>
      <c r="BP44" s="253">
        <v>0.16356808751241542</v>
      </c>
      <c r="BQ44" s="253">
        <v>0</v>
      </c>
      <c r="BR44" s="253">
        <v>0</v>
      </c>
      <c r="BS44" s="253">
        <v>0</v>
      </c>
      <c r="BT44" s="253">
        <v>0</v>
      </c>
      <c r="BU44" s="253">
        <v>0</v>
      </c>
      <c r="BV44" s="253">
        <v>0</v>
      </c>
      <c r="BW44" s="253">
        <v>0</v>
      </c>
      <c r="BX44" s="253">
        <v>1.7633833997973349</v>
      </c>
      <c r="BY44" s="253"/>
      <c r="BZ44" s="253">
        <v>8.7873615767760024E-2</v>
      </c>
      <c r="CA44" s="253">
        <v>0</v>
      </c>
      <c r="CB44" s="253">
        <v>0.92491289722282211</v>
      </c>
      <c r="CC44" s="253">
        <v>1.8512570155650949</v>
      </c>
      <c r="CD44" s="372">
        <v>0.49961344613216391</v>
      </c>
      <c r="CE44" s="253">
        <v>83.042615339777271</v>
      </c>
      <c r="CF44" s="253">
        <v>1.4206582526766003E-2</v>
      </c>
      <c r="CG44" s="253">
        <v>0</v>
      </c>
      <c r="CH44" s="253">
        <v>1.4206582526766003E-2</v>
      </c>
      <c r="CI44" s="253">
        <v>7.1032174015018071E-4</v>
      </c>
      <c r="CJ44" s="253">
        <v>0</v>
      </c>
      <c r="CK44" s="253">
        <v>7.1032174015018071E-4</v>
      </c>
      <c r="CL44" s="253"/>
      <c r="CM44" s="253">
        <v>0</v>
      </c>
      <c r="CN44" s="253"/>
      <c r="CO44" s="253">
        <v>0</v>
      </c>
      <c r="CP44" s="253">
        <v>0</v>
      </c>
      <c r="CQ44" s="253">
        <v>0</v>
      </c>
      <c r="CR44" s="253">
        <v>0</v>
      </c>
      <c r="CS44" s="253">
        <v>0</v>
      </c>
      <c r="CT44" s="253">
        <v>0</v>
      </c>
      <c r="CU44" s="253">
        <v>0</v>
      </c>
      <c r="CV44" s="253">
        <v>9999</v>
      </c>
      <c r="CW44" s="401">
        <v>9999</v>
      </c>
      <c r="CX44" s="251"/>
      <c r="CY44" s="251"/>
      <c r="CZ44" s="251"/>
      <c r="DA44" s="251"/>
      <c r="DB44" s="251"/>
      <c r="DC44" s="251"/>
      <c r="DD44" s="251"/>
      <c r="DE44" s="251"/>
      <c r="DF44" s="251"/>
      <c r="DG44" s="251"/>
      <c r="DH44" s="251"/>
      <c r="DI44" s="251"/>
      <c r="DJ44" s="251"/>
      <c r="DK44" s="251"/>
      <c r="DL44" s="251"/>
      <c r="DM44" s="251"/>
      <c r="DN44" s="251"/>
      <c r="DO44" s="251"/>
      <c r="DP44" s="251"/>
      <c r="DQ44" s="251"/>
      <c r="DR44" s="251"/>
      <c r="DS44" s="251"/>
      <c r="DT44" s="251"/>
      <c r="DU44" s="251"/>
      <c r="DV44" s="251"/>
      <c r="DW44" s="251"/>
      <c r="DX44" s="251"/>
      <c r="DY44" s="251"/>
      <c r="DZ44" s="251"/>
      <c r="EA44" s="251"/>
    </row>
    <row r="45" spans="1:131">
      <c r="A45" s="251" t="s">
        <v>381</v>
      </c>
      <c r="B45" s="251" t="s">
        <v>381</v>
      </c>
      <c r="C45" s="253">
        <v>15</v>
      </c>
      <c r="D45" s="253">
        <v>0.10783159442643497</v>
      </c>
      <c r="E45" s="253">
        <v>0</v>
      </c>
      <c r="F45" s="253">
        <v>0.35145964490321813</v>
      </c>
      <c r="G45" s="253">
        <v>1.9988226250419985E-4</v>
      </c>
      <c r="H45" s="253">
        <v>0</v>
      </c>
      <c r="I45" s="253" t="s">
        <v>488</v>
      </c>
      <c r="J45" s="253"/>
      <c r="K45" s="253"/>
      <c r="L45" s="253">
        <v>0.11582536899942986</v>
      </c>
      <c r="M45" s="253">
        <v>1.6418902946376368E-5</v>
      </c>
      <c r="N45" s="253">
        <v>1.6300398667861005E-5</v>
      </c>
      <c r="O45" s="253">
        <v>0</v>
      </c>
      <c r="P45" s="253">
        <v>0</v>
      </c>
      <c r="Q45" s="253">
        <v>0</v>
      </c>
      <c r="R45" s="253">
        <v>0.10782422795097167</v>
      </c>
      <c r="S45" s="253">
        <v>0.24916539082220177</v>
      </c>
      <c r="T45" s="253">
        <v>0</v>
      </c>
      <c r="U45" s="253">
        <v>8.8934417446901212E-2</v>
      </c>
      <c r="V45" s="253" t="s">
        <v>882</v>
      </c>
      <c r="W45" s="253" t="s">
        <v>882</v>
      </c>
      <c r="X45" s="253" t="s">
        <v>882</v>
      </c>
      <c r="Y45" s="253" t="s">
        <v>882</v>
      </c>
      <c r="Z45" s="253">
        <v>8.1493955340077192E-4</v>
      </c>
      <c r="AA45" s="253">
        <v>1.9015256246018011E-3</v>
      </c>
      <c r="AB45" s="253">
        <v>0</v>
      </c>
      <c r="AC45" s="253">
        <v>0</v>
      </c>
      <c r="AD45" s="253">
        <v>0</v>
      </c>
      <c r="AE45" s="253">
        <v>0</v>
      </c>
      <c r="AF45" s="253">
        <v>0</v>
      </c>
      <c r="AG45" s="253">
        <v>0</v>
      </c>
      <c r="AH45" s="253">
        <v>0.10863916750437244</v>
      </c>
      <c r="AI45" s="253">
        <v>0.25106691644680357</v>
      </c>
      <c r="AJ45" s="253">
        <v>0</v>
      </c>
      <c r="AK45" s="253">
        <v>8.8934417446901212E-2</v>
      </c>
      <c r="AL45" s="253">
        <v>0.44864050139807721</v>
      </c>
      <c r="AM45" s="253">
        <v>5.8968976035261952E-2</v>
      </c>
      <c r="AN45" s="253">
        <v>5.8015944809577651E-3</v>
      </c>
      <c r="AO45" s="253">
        <v>0</v>
      </c>
      <c r="AP45" s="253">
        <v>0</v>
      </c>
      <c r="AQ45" s="253">
        <v>6.4770570516219719E-2</v>
      </c>
      <c r="AR45" s="253">
        <v>0.10863916750437244</v>
      </c>
      <c r="AS45" s="372">
        <v>0.59619906893720331</v>
      </c>
      <c r="AT45" s="253">
        <v>5.8968976035261952E-2</v>
      </c>
      <c r="AU45" s="253">
        <v>6.8673598609285342E-3</v>
      </c>
      <c r="AV45" s="253">
        <v>0</v>
      </c>
      <c r="AW45" s="253">
        <v>0</v>
      </c>
      <c r="AX45" s="253">
        <v>6.5836335896190493E-2</v>
      </c>
      <c r="AY45" s="253">
        <v>0.25106691644680357</v>
      </c>
      <c r="AZ45" s="372">
        <v>0.26222624959087348</v>
      </c>
      <c r="BA45" s="253">
        <v>5.8968976035261952E-2</v>
      </c>
      <c r="BB45" s="253">
        <v>1.26689543418863E-2</v>
      </c>
      <c r="BC45" s="253">
        <v>0</v>
      </c>
      <c r="BD45" s="253">
        <v>0</v>
      </c>
      <c r="BE45" s="253">
        <v>7.163793037714826E-2</v>
      </c>
      <c r="BF45" s="253">
        <v>0.35970608395117598</v>
      </c>
      <c r="BG45" s="253">
        <v>220.46637663464259</v>
      </c>
      <c r="BH45" s="372">
        <v>0.19915684936502742</v>
      </c>
      <c r="BI45" s="253">
        <v>69.016487219273785</v>
      </c>
      <c r="BJ45" s="253">
        <v>159.49824568966713</v>
      </c>
      <c r="BK45" s="253">
        <v>0</v>
      </c>
      <c r="BL45" s="253">
        <v>56.49841789178457</v>
      </c>
      <c r="BM45" s="253">
        <v>285.0131508007255</v>
      </c>
      <c r="BN45" s="253">
        <v>5.8968976035261952E-2</v>
      </c>
      <c r="BO45" s="253">
        <v>0</v>
      </c>
      <c r="BP45" s="253">
        <v>1.26689543418863E-2</v>
      </c>
      <c r="BQ45" s="253">
        <v>0</v>
      </c>
      <c r="BR45" s="253">
        <v>0</v>
      </c>
      <c r="BS45" s="253">
        <v>0</v>
      </c>
      <c r="BT45" s="253">
        <v>0</v>
      </c>
      <c r="BU45" s="253">
        <v>0</v>
      </c>
      <c r="BV45" s="253">
        <v>0</v>
      </c>
      <c r="BW45" s="253">
        <v>0</v>
      </c>
      <c r="BX45" s="253">
        <v>0.44592403622007465</v>
      </c>
      <c r="BY45" s="253"/>
      <c r="BZ45" s="253">
        <v>2.7164651780025731E-3</v>
      </c>
      <c r="CA45" s="253">
        <v>0</v>
      </c>
      <c r="CB45" s="253">
        <v>7.163793037714826E-2</v>
      </c>
      <c r="CC45" s="253">
        <v>0.44864050139807721</v>
      </c>
      <c r="CD45" s="372">
        <v>0.15967780473208806</v>
      </c>
      <c r="CE45" s="253">
        <v>276.96479452642717</v>
      </c>
      <c r="CF45" s="253">
        <v>1.1003524472472449E-3</v>
      </c>
      <c r="CG45" s="253">
        <v>0</v>
      </c>
      <c r="CH45" s="253">
        <v>1.1003524472472449E-3</v>
      </c>
      <c r="CI45" s="253">
        <v>5.5017050274729189E-5</v>
      </c>
      <c r="CJ45" s="253">
        <v>0</v>
      </c>
      <c r="CK45" s="253">
        <v>5.5017050274729189E-5</v>
      </c>
      <c r="CL45" s="253"/>
      <c r="CM45" s="253">
        <v>0</v>
      </c>
      <c r="CN45" s="253"/>
      <c r="CO45" s="253">
        <v>0</v>
      </c>
      <c r="CP45" s="253">
        <v>0</v>
      </c>
      <c r="CQ45" s="253">
        <v>0</v>
      </c>
      <c r="CR45" s="253">
        <v>0</v>
      </c>
      <c r="CS45" s="253">
        <v>0</v>
      </c>
      <c r="CT45" s="253">
        <v>0</v>
      </c>
      <c r="CU45" s="253">
        <v>0</v>
      </c>
      <c r="CV45" s="253">
        <v>9999</v>
      </c>
      <c r="CW45" s="401">
        <v>9999</v>
      </c>
      <c r="CX45" s="251"/>
      <c r="CY45" s="251"/>
      <c r="CZ45" s="251"/>
      <c r="DA45" s="251"/>
      <c r="DB45" s="251"/>
      <c r="DC45" s="251"/>
      <c r="DD45" s="251"/>
      <c r="DE45" s="251"/>
      <c r="DF45" s="251"/>
      <c r="DG45" s="251"/>
      <c r="DH45" s="251"/>
      <c r="DI45" s="251"/>
      <c r="DJ45" s="251"/>
      <c r="DK45" s="251"/>
      <c r="DL45" s="251"/>
      <c r="DM45" s="251"/>
      <c r="DN45" s="251"/>
      <c r="DO45" s="251"/>
      <c r="DP45" s="251"/>
      <c r="DQ45" s="251"/>
      <c r="DR45" s="251"/>
      <c r="DS45" s="251"/>
      <c r="DT45" s="251"/>
      <c r="DU45" s="251"/>
      <c r="DV45" s="251"/>
      <c r="DW45" s="251"/>
      <c r="DX45" s="251"/>
      <c r="DY45" s="251"/>
      <c r="DZ45" s="251"/>
      <c r="EA45" s="251"/>
    </row>
    <row r="46" spans="1:131">
      <c r="A46" s="251"/>
      <c r="B46" s="251"/>
      <c r="C46" s="253"/>
      <c r="D46" s="253"/>
      <c r="E46" s="253"/>
      <c r="F46" s="253"/>
      <c r="G46" s="253"/>
      <c r="H46" s="253"/>
      <c r="I46" s="253"/>
      <c r="J46" s="253"/>
      <c r="K46" s="253"/>
      <c r="L46" s="253"/>
      <c r="M46" s="253"/>
      <c r="N46" s="253"/>
      <c r="O46" s="253"/>
      <c r="P46" s="253"/>
      <c r="Q46" s="253"/>
      <c r="R46" s="253"/>
      <c r="S46" s="253"/>
      <c r="T46" s="253"/>
      <c r="U46" s="253"/>
      <c r="V46" s="253"/>
      <c r="W46" s="253"/>
      <c r="X46" s="253"/>
      <c r="Y46" s="253"/>
      <c r="Z46" s="253"/>
      <c r="AA46" s="253"/>
      <c r="AB46" s="253"/>
      <c r="AC46" s="253"/>
      <c r="AD46" s="253"/>
      <c r="AE46" s="253"/>
      <c r="AF46" s="253"/>
      <c r="AG46" s="253"/>
      <c r="AH46" s="253"/>
      <c r="AI46" s="253"/>
      <c r="AJ46" s="253"/>
      <c r="AK46" s="253"/>
      <c r="AL46" s="253"/>
      <c r="AM46" s="253"/>
      <c r="AN46" s="253"/>
      <c r="AO46" s="253"/>
      <c r="AP46" s="253"/>
      <c r="AQ46" s="253"/>
      <c r="AR46" s="253"/>
      <c r="AS46" s="253"/>
      <c r="AT46" s="253"/>
      <c r="AU46" s="253"/>
      <c r="AV46" s="253"/>
      <c r="AW46" s="253"/>
      <c r="AX46" s="253"/>
      <c r="AY46" s="253"/>
      <c r="AZ46" s="253"/>
      <c r="BA46" s="253"/>
      <c r="BB46" s="253"/>
      <c r="BC46" s="253"/>
      <c r="BD46" s="253"/>
      <c r="BE46" s="253"/>
      <c r="BF46" s="253"/>
      <c r="BG46" s="253"/>
      <c r="BH46" s="253"/>
      <c r="BI46" s="253"/>
      <c r="BJ46" s="253"/>
      <c r="BK46" s="253"/>
      <c r="BL46" s="253"/>
      <c r="BM46" s="253"/>
      <c r="BN46" s="253"/>
      <c r="BO46" s="253"/>
      <c r="BP46" s="253"/>
      <c r="BQ46" s="253"/>
      <c r="BR46" s="253"/>
      <c r="BS46" s="253"/>
      <c r="BT46" s="253"/>
      <c r="BU46" s="253"/>
      <c r="BV46" s="253"/>
      <c r="BW46" s="253"/>
      <c r="BX46" s="253"/>
      <c r="BY46" s="253"/>
      <c r="BZ46" s="253"/>
      <c r="CA46" s="253"/>
      <c r="CB46" s="253"/>
      <c r="CC46" s="253"/>
      <c r="CD46" s="253"/>
      <c r="CE46" s="253"/>
      <c r="CF46" s="253"/>
      <c r="CG46" s="253"/>
      <c r="CH46" s="253"/>
      <c r="CI46" s="253"/>
      <c r="CJ46" s="253"/>
      <c r="CK46" s="253"/>
      <c r="CL46" s="253"/>
      <c r="CM46" s="253"/>
      <c r="CN46" s="253"/>
      <c r="CO46" s="253"/>
      <c r="CP46" s="253"/>
      <c r="CQ46" s="253"/>
      <c r="CR46" s="253"/>
      <c r="CS46" s="253"/>
      <c r="CT46" s="253"/>
      <c r="CU46" s="253"/>
      <c r="CV46" s="253"/>
      <c r="CW46" s="253"/>
      <c r="CX46" s="251"/>
      <c r="CY46" s="251"/>
      <c r="CZ46" s="251"/>
      <c r="DA46" s="251"/>
      <c r="DB46" s="251"/>
      <c r="DC46" s="251"/>
      <c r="DD46" s="251"/>
      <c r="DE46" s="251"/>
      <c r="DF46" s="251"/>
      <c r="DG46" s="251"/>
      <c r="DH46" s="251"/>
      <c r="DI46" s="251"/>
      <c r="DJ46" s="251"/>
      <c r="DK46" s="251"/>
      <c r="DL46" s="251"/>
      <c r="DM46" s="251"/>
      <c r="DN46" s="251"/>
      <c r="DO46" s="251"/>
      <c r="DP46" s="251"/>
      <c r="DQ46" s="251"/>
      <c r="DR46" s="251"/>
      <c r="DS46" s="251"/>
      <c r="DT46" s="251"/>
      <c r="DU46" s="251"/>
      <c r="DV46" s="251"/>
      <c r="DW46" s="251"/>
      <c r="DX46" s="251"/>
      <c r="DY46" s="251"/>
      <c r="DZ46" s="251"/>
      <c r="EA46" s="251"/>
    </row>
    <row r="47" spans="1:131">
      <c r="A47" s="251"/>
      <c r="B47" s="251"/>
      <c r="C47" s="253"/>
      <c r="D47" s="253"/>
      <c r="E47" s="253"/>
      <c r="F47" s="253"/>
      <c r="G47" s="253"/>
      <c r="H47" s="253"/>
      <c r="I47" s="253"/>
      <c r="J47" s="253"/>
      <c r="K47" s="253"/>
      <c r="L47" s="253"/>
      <c r="M47" s="253"/>
      <c r="N47" s="253"/>
      <c r="O47" s="253"/>
      <c r="P47" s="253"/>
      <c r="Q47" s="253"/>
      <c r="R47" s="253"/>
      <c r="S47" s="253"/>
      <c r="T47" s="253"/>
      <c r="U47" s="253"/>
      <c r="V47" s="253"/>
      <c r="W47" s="253"/>
      <c r="X47" s="253"/>
      <c r="Y47" s="253"/>
      <c r="Z47" s="253"/>
      <c r="AA47" s="253"/>
      <c r="AB47" s="253"/>
      <c r="AC47" s="253"/>
      <c r="AD47" s="253"/>
      <c r="AE47" s="253"/>
      <c r="AF47" s="253"/>
      <c r="AG47" s="253"/>
      <c r="AH47" s="253"/>
      <c r="AI47" s="253"/>
      <c r="AJ47" s="253"/>
      <c r="AK47" s="253"/>
      <c r="AL47" s="253"/>
      <c r="AM47" s="253"/>
      <c r="AN47" s="253"/>
      <c r="AO47" s="253"/>
      <c r="AP47" s="253"/>
      <c r="AQ47" s="253"/>
      <c r="AR47" s="253"/>
      <c r="AS47" s="253"/>
      <c r="AT47" s="253"/>
      <c r="AU47" s="253"/>
      <c r="AV47" s="253"/>
      <c r="AW47" s="253"/>
      <c r="AX47" s="253"/>
      <c r="AY47" s="253"/>
      <c r="AZ47" s="253"/>
      <c r="BA47" s="253"/>
      <c r="BB47" s="253"/>
      <c r="BC47" s="253"/>
      <c r="BD47" s="253"/>
      <c r="BE47" s="253"/>
      <c r="BF47" s="253"/>
      <c r="BG47" s="253"/>
      <c r="BH47" s="253"/>
      <c r="BI47" s="253"/>
      <c r="BJ47" s="253"/>
      <c r="BK47" s="253"/>
      <c r="BL47" s="253"/>
      <c r="BM47" s="253"/>
      <c r="BN47" s="253"/>
      <c r="BO47" s="253"/>
      <c r="BP47" s="253"/>
      <c r="BQ47" s="253"/>
      <c r="BR47" s="253"/>
      <c r="BS47" s="253"/>
      <c r="BT47" s="253"/>
      <c r="BU47" s="253"/>
      <c r="BV47" s="253"/>
      <c r="BW47" s="253"/>
      <c r="BX47" s="253"/>
      <c r="BY47" s="253"/>
      <c r="BZ47" s="253"/>
      <c r="CA47" s="253"/>
      <c r="CB47" s="253"/>
      <c r="CC47" s="253"/>
      <c r="CD47" s="253"/>
      <c r="CE47" s="253"/>
      <c r="CF47" s="253"/>
      <c r="CG47" s="253"/>
      <c r="CH47" s="253"/>
      <c r="CI47" s="253"/>
      <c r="CJ47" s="253"/>
      <c r="CK47" s="253"/>
      <c r="CL47" s="253"/>
      <c r="CM47" s="253"/>
      <c r="CN47" s="253"/>
      <c r="CO47" s="253"/>
      <c r="CP47" s="253"/>
      <c r="CQ47" s="253"/>
      <c r="CR47" s="253"/>
      <c r="CS47" s="253"/>
      <c r="CT47" s="253"/>
      <c r="CU47" s="253"/>
      <c r="CV47" s="253"/>
      <c r="CW47" s="253"/>
      <c r="CX47" s="251"/>
      <c r="CY47" s="251"/>
      <c r="CZ47" s="251"/>
      <c r="DA47" s="251"/>
      <c r="DB47" s="251"/>
      <c r="DC47" s="251"/>
      <c r="DD47" s="251"/>
      <c r="DE47" s="251"/>
      <c r="DF47" s="251"/>
      <c r="DG47" s="251"/>
      <c r="DH47" s="251"/>
      <c r="DI47" s="251"/>
      <c r="DJ47" s="251"/>
      <c r="DK47" s="251"/>
      <c r="DL47" s="251"/>
      <c r="DM47" s="251"/>
      <c r="DN47" s="251"/>
      <c r="DO47" s="251"/>
      <c r="DP47" s="251"/>
      <c r="DQ47" s="251"/>
      <c r="DR47" s="251"/>
      <c r="DS47" s="251"/>
      <c r="DT47" s="251"/>
      <c r="DU47" s="251"/>
      <c r="DV47" s="251"/>
      <c r="DW47" s="251"/>
      <c r="DX47" s="251"/>
      <c r="DY47" s="251"/>
      <c r="DZ47" s="251"/>
      <c r="EA47" s="251"/>
    </row>
    <row r="48" spans="1:131" ht="13.5" thickBot="1">
      <c r="A48" s="366" t="s">
        <v>883</v>
      </c>
      <c r="B48" s="367"/>
      <c r="C48" s="253"/>
      <c r="D48" s="253"/>
      <c r="E48" s="253"/>
      <c r="F48" s="253"/>
      <c r="G48" s="253"/>
      <c r="H48" s="253"/>
      <c r="I48" s="253"/>
      <c r="J48" s="253"/>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3"/>
      <c r="AI48" s="253"/>
      <c r="AJ48" s="253"/>
      <c r="AK48" s="253"/>
      <c r="AL48" s="253"/>
      <c r="AM48" s="253"/>
      <c r="AN48" s="253"/>
      <c r="AO48" s="253"/>
      <c r="AP48" s="253"/>
      <c r="AQ48" s="253"/>
      <c r="AR48" s="253"/>
      <c r="AS48" s="253"/>
      <c r="AT48" s="253"/>
      <c r="AU48" s="253"/>
      <c r="AV48" s="253"/>
      <c r="AW48" s="253"/>
      <c r="AX48" s="253"/>
      <c r="AY48" s="253"/>
      <c r="AZ48" s="253"/>
      <c r="BA48" s="253"/>
      <c r="BB48" s="253"/>
      <c r="BC48" s="253"/>
      <c r="BD48" s="253"/>
      <c r="BE48" s="253"/>
      <c r="BF48" s="253"/>
      <c r="BG48" s="253"/>
      <c r="BH48" s="253"/>
      <c r="BI48" s="253"/>
      <c r="BJ48" s="253"/>
      <c r="BK48" s="253"/>
      <c r="BL48" s="253"/>
      <c r="BM48" s="253"/>
      <c r="BN48" s="253"/>
      <c r="BO48" s="253"/>
      <c r="BP48" s="253"/>
      <c r="BQ48" s="253"/>
      <c r="BR48" s="253"/>
      <c r="BS48" s="253"/>
      <c r="BT48" s="253"/>
      <c r="BU48" s="253"/>
      <c r="BV48" s="253"/>
      <c r="BW48" s="253"/>
      <c r="BX48" s="253"/>
      <c r="BY48" s="253"/>
      <c r="BZ48" s="253"/>
      <c r="CA48" s="253"/>
      <c r="CB48" s="253"/>
      <c r="CC48" s="253"/>
      <c r="CD48" s="253"/>
      <c r="CE48" s="253"/>
      <c r="CF48" s="253"/>
      <c r="CG48" s="253"/>
      <c r="CH48" s="253"/>
      <c r="CI48" s="253"/>
      <c r="CJ48" s="253"/>
      <c r="CK48" s="253"/>
      <c r="CL48" s="253"/>
      <c r="CM48" s="253"/>
      <c r="CN48" s="253"/>
      <c r="CO48" s="253"/>
      <c r="CP48" s="253"/>
      <c r="CQ48" s="253"/>
      <c r="CR48" s="253"/>
      <c r="CS48" s="253"/>
      <c r="CT48" s="253"/>
      <c r="CU48" s="253"/>
      <c r="CV48" s="253"/>
      <c r="CW48" s="253"/>
      <c r="CX48" s="251"/>
      <c r="CY48" s="251"/>
      <c r="CZ48" s="251"/>
      <c r="DA48" s="251"/>
      <c r="DB48" s="251"/>
      <c r="DC48" s="251"/>
      <c r="DD48" s="251"/>
      <c r="DE48" s="251"/>
      <c r="DF48" s="251"/>
      <c r="DG48" s="251"/>
      <c r="DH48" s="251"/>
      <c r="DI48" s="251"/>
      <c r="DJ48" s="251"/>
      <c r="DK48" s="251"/>
      <c r="DL48" s="251"/>
      <c r="DM48" s="251"/>
      <c r="DN48" s="251"/>
      <c r="DO48" s="251"/>
      <c r="DP48" s="251"/>
      <c r="DQ48" s="251"/>
      <c r="DR48" s="251"/>
      <c r="DS48" s="251"/>
      <c r="DT48" s="251"/>
      <c r="DU48" s="251"/>
      <c r="DV48" s="251"/>
      <c r="DW48" s="251"/>
      <c r="DX48" s="251"/>
      <c r="DY48" s="251"/>
      <c r="DZ48" s="251"/>
      <c r="EA48" s="251"/>
    </row>
    <row r="49" spans="1:131" ht="26.25" thickBot="1">
      <c r="A49" s="385" t="s">
        <v>787</v>
      </c>
      <c r="B49" s="386"/>
      <c r="C49" s="387" t="s">
        <v>788</v>
      </c>
      <c r="D49" s="388"/>
      <c r="E49" s="388"/>
      <c r="F49" s="388"/>
      <c r="G49" s="388"/>
      <c r="H49" s="388"/>
      <c r="I49" s="388"/>
      <c r="J49" s="388"/>
      <c r="K49" s="389"/>
      <c r="L49" s="387" t="s">
        <v>789</v>
      </c>
      <c r="M49" s="388"/>
      <c r="N49" s="388"/>
      <c r="O49" s="388"/>
      <c r="P49" s="388"/>
      <c r="Q49" s="389"/>
      <c r="R49" s="387" t="s">
        <v>790</v>
      </c>
      <c r="S49" s="388"/>
      <c r="T49" s="388"/>
      <c r="U49" s="389"/>
      <c r="V49" s="387" t="s">
        <v>791</v>
      </c>
      <c r="W49" s="388"/>
      <c r="X49" s="388"/>
      <c r="Y49" s="389"/>
      <c r="Z49" s="387" t="s">
        <v>792</v>
      </c>
      <c r="AA49" s="388"/>
      <c r="AB49" s="388"/>
      <c r="AC49" s="389"/>
      <c r="AD49" s="387" t="s">
        <v>793</v>
      </c>
      <c r="AE49" s="388"/>
      <c r="AF49" s="388"/>
      <c r="AG49" s="389"/>
      <c r="AH49" s="387" t="s">
        <v>794</v>
      </c>
      <c r="AI49" s="388"/>
      <c r="AJ49" s="388"/>
      <c r="AK49" s="388"/>
      <c r="AL49" s="389"/>
      <c r="AM49" s="387" t="s">
        <v>795</v>
      </c>
      <c r="AN49" s="388"/>
      <c r="AO49" s="388"/>
      <c r="AP49" s="388"/>
      <c r="AQ49" s="388"/>
      <c r="AR49" s="388"/>
      <c r="AS49" s="389"/>
      <c r="AT49" s="387" t="s">
        <v>796</v>
      </c>
      <c r="AU49" s="388"/>
      <c r="AV49" s="388"/>
      <c r="AW49" s="388"/>
      <c r="AX49" s="388"/>
      <c r="AY49" s="388"/>
      <c r="AZ49" s="389"/>
      <c r="BA49" s="387" t="s">
        <v>797</v>
      </c>
      <c r="BB49" s="388"/>
      <c r="BC49" s="388"/>
      <c r="BD49" s="388"/>
      <c r="BE49" s="388"/>
      <c r="BF49" s="389"/>
      <c r="BG49" s="387" t="s">
        <v>798</v>
      </c>
      <c r="BH49" s="389"/>
      <c r="BI49" s="387" t="s">
        <v>799</v>
      </c>
      <c r="BJ49" s="388"/>
      <c r="BK49" s="388"/>
      <c r="BL49" s="388"/>
      <c r="BM49" s="389"/>
      <c r="BN49" s="387" t="s">
        <v>800</v>
      </c>
      <c r="BO49" s="388"/>
      <c r="BP49" s="388"/>
      <c r="BQ49" s="388"/>
      <c r="BR49" s="388"/>
      <c r="BS49" s="388"/>
      <c r="BT49" s="388"/>
      <c r="BU49" s="388"/>
      <c r="BV49" s="388"/>
      <c r="BW49" s="388"/>
      <c r="BX49" s="388"/>
      <c r="BY49" s="388"/>
      <c r="BZ49" s="388"/>
      <c r="CA49" s="388"/>
      <c r="CB49" s="388"/>
      <c r="CC49" s="389"/>
      <c r="CD49" s="387" t="s">
        <v>801</v>
      </c>
      <c r="CE49" s="389"/>
      <c r="CF49" s="387" t="s">
        <v>802</v>
      </c>
      <c r="CG49" s="388"/>
      <c r="CH49" s="388"/>
      <c r="CI49" s="388"/>
      <c r="CJ49" s="388"/>
      <c r="CK49" s="389"/>
      <c r="CL49" s="390"/>
      <c r="CM49" s="387" t="s">
        <v>676</v>
      </c>
      <c r="CN49" s="388"/>
      <c r="CO49" s="388"/>
      <c r="CP49" s="389"/>
      <c r="CQ49" s="387" t="s">
        <v>803</v>
      </c>
      <c r="CR49" s="388"/>
      <c r="CS49" s="388"/>
      <c r="CT49" s="388"/>
      <c r="CU49" s="389"/>
      <c r="CV49" s="387" t="s">
        <v>804</v>
      </c>
      <c r="CW49" s="389"/>
      <c r="CX49" s="251"/>
      <c r="CY49" s="251"/>
      <c r="CZ49" s="251"/>
      <c r="DA49" s="251"/>
      <c r="DB49" s="251"/>
      <c r="DC49" s="251"/>
      <c r="DD49" s="251"/>
      <c r="DE49" s="251"/>
      <c r="DF49" s="251"/>
      <c r="DG49" s="251"/>
      <c r="DH49" s="251"/>
      <c r="DI49" s="251"/>
      <c r="DJ49" s="251"/>
      <c r="DK49" s="251"/>
      <c r="DL49" s="251"/>
      <c r="DM49" s="251"/>
      <c r="DN49" s="251"/>
      <c r="DO49" s="251"/>
      <c r="DP49" s="251"/>
      <c r="DQ49" s="251"/>
      <c r="DR49" s="251"/>
      <c r="DS49" s="251"/>
      <c r="DT49" s="251"/>
      <c r="DU49" s="251"/>
      <c r="DV49" s="251"/>
      <c r="DW49" s="251"/>
      <c r="DX49" s="251"/>
      <c r="DY49" s="251"/>
      <c r="DZ49" s="251"/>
      <c r="EA49" s="251"/>
    </row>
    <row r="50" spans="1:131" ht="216.75">
      <c r="A50" s="370" t="s">
        <v>702</v>
      </c>
      <c r="B50" s="371" t="s">
        <v>374</v>
      </c>
      <c r="C50" s="247" t="s">
        <v>375</v>
      </c>
      <c r="D50" s="247" t="s">
        <v>805</v>
      </c>
      <c r="E50" s="247" t="s">
        <v>806</v>
      </c>
      <c r="F50" s="247" t="s">
        <v>807</v>
      </c>
      <c r="G50" s="247" t="s">
        <v>808</v>
      </c>
      <c r="H50" s="247" t="s">
        <v>809</v>
      </c>
      <c r="I50" s="247" t="s">
        <v>810</v>
      </c>
      <c r="J50" s="247" t="s">
        <v>811</v>
      </c>
      <c r="K50" s="247" t="s">
        <v>812</v>
      </c>
      <c r="L50" s="247" t="s">
        <v>813</v>
      </c>
      <c r="M50" s="247" t="s">
        <v>814</v>
      </c>
      <c r="N50" s="247" t="s">
        <v>815</v>
      </c>
      <c r="O50" s="247" t="s">
        <v>816</v>
      </c>
      <c r="P50" s="247" t="s">
        <v>817</v>
      </c>
      <c r="Q50" s="247" t="s">
        <v>818</v>
      </c>
      <c r="R50" s="247" t="s">
        <v>819</v>
      </c>
      <c r="S50" s="247" t="s">
        <v>820</v>
      </c>
      <c r="T50" s="247" t="s">
        <v>821</v>
      </c>
      <c r="U50" s="247" t="s">
        <v>727</v>
      </c>
      <c r="V50" s="247" t="s">
        <v>819</v>
      </c>
      <c r="W50" s="247" t="s">
        <v>820</v>
      </c>
      <c r="X50" s="247" t="s">
        <v>821</v>
      </c>
      <c r="Y50" s="247" t="s">
        <v>727</v>
      </c>
      <c r="Z50" s="247" t="s">
        <v>819</v>
      </c>
      <c r="AA50" s="247" t="s">
        <v>820</v>
      </c>
      <c r="AB50" s="247" t="s">
        <v>821</v>
      </c>
      <c r="AC50" s="247" t="s">
        <v>727</v>
      </c>
      <c r="AD50" s="247" t="s">
        <v>819</v>
      </c>
      <c r="AE50" s="247" t="s">
        <v>820</v>
      </c>
      <c r="AF50" s="247" t="s">
        <v>821</v>
      </c>
      <c r="AG50" s="247" t="s">
        <v>727</v>
      </c>
      <c r="AH50" s="247" t="s">
        <v>819</v>
      </c>
      <c r="AI50" s="247" t="s">
        <v>820</v>
      </c>
      <c r="AJ50" s="247" t="s">
        <v>821</v>
      </c>
      <c r="AK50" s="247" t="s">
        <v>727</v>
      </c>
      <c r="AL50" s="247" t="s">
        <v>205</v>
      </c>
      <c r="AM50" s="247" t="s">
        <v>822</v>
      </c>
      <c r="AN50" s="247" t="s">
        <v>823</v>
      </c>
      <c r="AO50" s="247" t="s">
        <v>824</v>
      </c>
      <c r="AP50" s="247" t="s">
        <v>825</v>
      </c>
      <c r="AQ50" s="247" t="s">
        <v>826</v>
      </c>
      <c r="AR50" s="247" t="s">
        <v>827</v>
      </c>
      <c r="AS50" s="247" t="s">
        <v>828</v>
      </c>
      <c r="AT50" s="247" t="s">
        <v>829</v>
      </c>
      <c r="AU50" s="247" t="s">
        <v>830</v>
      </c>
      <c r="AV50" s="247" t="s">
        <v>831</v>
      </c>
      <c r="AW50" s="247" t="s">
        <v>832</v>
      </c>
      <c r="AX50" s="247" t="s">
        <v>833</v>
      </c>
      <c r="AY50" s="247" t="s">
        <v>834</v>
      </c>
      <c r="AZ50" s="247" t="s">
        <v>835</v>
      </c>
      <c r="BA50" s="247" t="s">
        <v>836</v>
      </c>
      <c r="BB50" s="247" t="s">
        <v>837</v>
      </c>
      <c r="BC50" s="247" t="s">
        <v>838</v>
      </c>
      <c r="BD50" s="247" t="s">
        <v>839</v>
      </c>
      <c r="BE50" s="247" t="s">
        <v>840</v>
      </c>
      <c r="BF50" s="247" t="s">
        <v>841</v>
      </c>
      <c r="BG50" s="247" t="s">
        <v>842</v>
      </c>
      <c r="BH50" s="247" t="s">
        <v>843</v>
      </c>
      <c r="BI50" s="247" t="s">
        <v>844</v>
      </c>
      <c r="BJ50" s="247" t="s">
        <v>845</v>
      </c>
      <c r="BK50" s="247" t="s">
        <v>846</v>
      </c>
      <c r="BL50" s="247" t="s">
        <v>847</v>
      </c>
      <c r="BM50" s="247" t="s">
        <v>848</v>
      </c>
      <c r="BN50" s="247" t="s">
        <v>849</v>
      </c>
      <c r="BO50" s="247" t="s">
        <v>850</v>
      </c>
      <c r="BP50" s="247" t="s">
        <v>851</v>
      </c>
      <c r="BQ50" s="247" t="s">
        <v>852</v>
      </c>
      <c r="BR50" s="247" t="s">
        <v>853</v>
      </c>
      <c r="BS50" s="247" t="s">
        <v>854</v>
      </c>
      <c r="BT50" s="247" t="s">
        <v>855</v>
      </c>
      <c r="BU50" s="247" t="s">
        <v>856</v>
      </c>
      <c r="BV50" s="247" t="s">
        <v>857</v>
      </c>
      <c r="BW50" s="247" t="s">
        <v>858</v>
      </c>
      <c r="BX50" s="247" t="s">
        <v>859</v>
      </c>
      <c r="BY50" s="247" t="s">
        <v>860</v>
      </c>
      <c r="BZ50" s="247" t="s">
        <v>861</v>
      </c>
      <c r="CA50" s="247" t="s">
        <v>862</v>
      </c>
      <c r="CB50" s="247" t="s">
        <v>863</v>
      </c>
      <c r="CC50" s="247" t="s">
        <v>864</v>
      </c>
      <c r="CD50" s="247" t="s">
        <v>711</v>
      </c>
      <c r="CE50" s="247" t="s">
        <v>710</v>
      </c>
      <c r="CF50" s="247" t="s">
        <v>865</v>
      </c>
      <c r="CG50" s="247" t="s">
        <v>866</v>
      </c>
      <c r="CH50" s="247" t="s">
        <v>867</v>
      </c>
      <c r="CI50" s="247" t="s">
        <v>868</v>
      </c>
      <c r="CJ50" s="247" t="s">
        <v>869</v>
      </c>
      <c r="CK50" s="247" t="s">
        <v>870</v>
      </c>
      <c r="CL50" s="247"/>
      <c r="CM50" s="247" t="s">
        <v>871</v>
      </c>
      <c r="CN50" s="247" t="s">
        <v>872</v>
      </c>
      <c r="CO50" s="247" t="s">
        <v>873</v>
      </c>
      <c r="CP50" s="247" t="s">
        <v>874</v>
      </c>
      <c r="CQ50" s="247" t="s">
        <v>875</v>
      </c>
      <c r="CR50" s="247" t="s">
        <v>876</v>
      </c>
      <c r="CS50" s="247" t="s">
        <v>877</v>
      </c>
      <c r="CT50" s="247" t="s">
        <v>878</v>
      </c>
      <c r="CU50" s="247" t="s">
        <v>879</v>
      </c>
      <c r="CV50" s="247" t="s">
        <v>880</v>
      </c>
      <c r="CW50" s="247" t="s">
        <v>881</v>
      </c>
      <c r="CX50" s="251"/>
      <c r="CY50" s="251"/>
      <c r="CZ50" s="251"/>
      <c r="DA50" s="251"/>
      <c r="DB50" s="251"/>
      <c r="DC50" s="251"/>
      <c r="DD50" s="251"/>
      <c r="DE50" s="251"/>
      <c r="DF50" s="251"/>
      <c r="DG50" s="251"/>
      <c r="DH50" s="251"/>
      <c r="DI50" s="251"/>
      <c r="DJ50" s="251"/>
      <c r="DK50" s="251"/>
      <c r="DL50" s="251"/>
      <c r="DM50" s="251"/>
      <c r="DN50" s="251"/>
      <c r="DO50" s="251"/>
      <c r="DP50" s="251"/>
      <c r="DQ50" s="251"/>
      <c r="DR50" s="251"/>
      <c r="DS50" s="251"/>
      <c r="DT50" s="251"/>
      <c r="DU50" s="251"/>
      <c r="DV50" s="251"/>
      <c r="DW50" s="251"/>
      <c r="DX50" s="251"/>
      <c r="DY50" s="251"/>
      <c r="DZ50" s="251"/>
      <c r="EA50" s="251"/>
    </row>
    <row r="51" spans="1:131">
      <c r="A51" s="251" t="s">
        <v>700</v>
      </c>
      <c r="B51" s="251"/>
      <c r="C51" s="253">
        <v>15</v>
      </c>
      <c r="D51" s="253">
        <v>4.1286456896631503</v>
      </c>
      <c r="E51" s="253">
        <v>0</v>
      </c>
      <c r="F51" s="253">
        <v>0.16609903093306744</v>
      </c>
      <c r="G51" s="253">
        <v>7.0403136364678882E-3</v>
      </c>
      <c r="H51" s="253">
        <v>0</v>
      </c>
      <c r="I51" s="253"/>
      <c r="J51" s="253"/>
      <c r="K51" s="253"/>
      <c r="L51" s="253">
        <v>4.4347105597087273</v>
      </c>
      <c r="M51" s="253">
        <v>6.2864537280676771E-4</v>
      </c>
      <c r="N51" s="253">
        <v>6.2410809241782866E-4</v>
      </c>
      <c r="O51" s="253">
        <v>0</v>
      </c>
      <c r="P51" s="253">
        <v>0</v>
      </c>
      <c r="Q51" s="253">
        <v>0</v>
      </c>
      <c r="R51" s="253">
        <v>5.0957485542029494E-2</v>
      </c>
      <c r="S51" s="253">
        <v>0.11775499849783116</v>
      </c>
      <c r="T51" s="253">
        <v>0</v>
      </c>
      <c r="U51" s="253">
        <v>4.2030203947297951E-2</v>
      </c>
      <c r="V51" s="253">
        <v>9.9659418559840465E-3</v>
      </c>
      <c r="W51" s="253">
        <v>2.325386433062944E-2</v>
      </c>
      <c r="X51" s="253">
        <v>0</v>
      </c>
      <c r="Y51" s="253">
        <v>0</v>
      </c>
      <c r="Z51" s="253">
        <v>2.8704047967157434E-2</v>
      </c>
      <c r="AA51" s="253">
        <v>6.6976111923367346E-2</v>
      </c>
      <c r="AB51" s="253">
        <v>0</v>
      </c>
      <c r="AC51" s="253">
        <v>0</v>
      </c>
      <c r="AD51" s="253">
        <v>0</v>
      </c>
      <c r="AE51" s="253">
        <v>0</v>
      </c>
      <c r="AF51" s="253">
        <v>0</v>
      </c>
      <c r="AG51" s="253">
        <v>0</v>
      </c>
      <c r="AH51" s="253">
        <v>8.9627475365170975E-2</v>
      </c>
      <c r="AI51" s="253">
        <v>0.20798497475182795</v>
      </c>
      <c r="AJ51" s="253">
        <v>0</v>
      </c>
      <c r="AK51" s="253">
        <v>4.2030203947297951E-2</v>
      </c>
      <c r="AL51" s="253">
        <v>0.33964265406429689</v>
      </c>
      <c r="AM51" s="253">
        <v>2.2577984683137453</v>
      </c>
      <c r="AN51" s="253">
        <v>0.22213089006414402</v>
      </c>
      <c r="AO51" s="253">
        <v>0</v>
      </c>
      <c r="AP51" s="253">
        <v>0</v>
      </c>
      <c r="AQ51" s="253">
        <v>2.4799293583778894</v>
      </c>
      <c r="AR51" s="253">
        <v>8.9627475365170961E-2</v>
      </c>
      <c r="AS51" s="401">
        <v>27.669298373895561</v>
      </c>
      <c r="AT51" s="253">
        <v>2.2577984683137453</v>
      </c>
      <c r="AU51" s="253">
        <v>0.2629368121652999</v>
      </c>
      <c r="AV51" s="253">
        <v>0</v>
      </c>
      <c r="AW51" s="253">
        <v>0</v>
      </c>
      <c r="AX51" s="253">
        <v>2.520735280479045</v>
      </c>
      <c r="AY51" s="253">
        <v>0.20798497475182792</v>
      </c>
      <c r="AZ51" s="401">
        <v>12.119795112540412</v>
      </c>
      <c r="BA51" s="253">
        <v>2.2577984683137453</v>
      </c>
      <c r="BB51" s="253">
        <v>0.48506770222944395</v>
      </c>
      <c r="BC51" s="253">
        <v>0</v>
      </c>
      <c r="BD51" s="253">
        <v>0</v>
      </c>
      <c r="BE51" s="253">
        <v>2.7428661705431892</v>
      </c>
      <c r="BF51" s="253">
        <v>0.29761245011699888</v>
      </c>
      <c r="BG51" s="253">
        <v>-3.1103011962147207</v>
      </c>
      <c r="BH51" s="401">
        <v>9.2162346348914497</v>
      </c>
      <c r="BI51" s="253">
        <v>1.4871199430292696</v>
      </c>
      <c r="BJ51" s="253">
        <v>3.4509351350543027</v>
      </c>
      <c r="BK51" s="253">
        <v>0</v>
      </c>
      <c r="BL51" s="253">
        <v>0.69737493157040542</v>
      </c>
      <c r="BM51" s="253">
        <v>5.6354300096539776</v>
      </c>
      <c r="BN51" s="253">
        <v>2.2577984683137453</v>
      </c>
      <c r="BO51" s="253">
        <v>0</v>
      </c>
      <c r="BP51" s="253">
        <v>0.48506770222944395</v>
      </c>
      <c r="BQ51" s="253">
        <v>0</v>
      </c>
      <c r="BR51" s="253">
        <v>0</v>
      </c>
      <c r="BS51" s="253">
        <v>0</v>
      </c>
      <c r="BT51" s="253">
        <v>0</v>
      </c>
      <c r="BU51" s="253">
        <v>0</v>
      </c>
      <c r="BV51" s="253">
        <v>0</v>
      </c>
      <c r="BW51" s="253">
        <v>0</v>
      </c>
      <c r="BX51" s="253">
        <v>0.21074268798715862</v>
      </c>
      <c r="BY51" s="253">
        <v>3.3219806186613486E-2</v>
      </c>
      <c r="BZ51" s="253">
        <v>9.568015989052478E-2</v>
      </c>
      <c r="CA51" s="253">
        <v>0</v>
      </c>
      <c r="CB51" s="253">
        <v>2.7428661705431892</v>
      </c>
      <c r="CC51" s="253">
        <v>0.33964265406429683</v>
      </c>
      <c r="CD51" s="401">
        <v>8.0757411877482994</v>
      </c>
      <c r="CE51" s="253">
        <v>-2.4129262646443115</v>
      </c>
      <c r="CF51" s="253">
        <v>4.2130188397955536E-2</v>
      </c>
      <c r="CG51" s="253">
        <v>0</v>
      </c>
      <c r="CH51" s="253">
        <v>4.2130188397955536E-2</v>
      </c>
      <c r="CI51" s="253">
        <v>2.1064875158616461E-3</v>
      </c>
      <c r="CJ51" s="253">
        <v>0</v>
      </c>
      <c r="CK51" s="253">
        <v>2.1064875158616461E-3</v>
      </c>
      <c r="CL51" s="253"/>
      <c r="CM51" s="253">
        <v>0</v>
      </c>
      <c r="CN51" s="253"/>
      <c r="CO51" s="253">
        <v>0</v>
      </c>
      <c r="CP51" s="253">
        <v>0</v>
      </c>
      <c r="CQ51" s="253">
        <v>0</v>
      </c>
      <c r="CR51" s="253">
        <v>0</v>
      </c>
      <c r="CS51" s="253">
        <v>0</v>
      </c>
      <c r="CT51" s="253">
        <v>0</v>
      </c>
      <c r="CU51" s="253">
        <v>0</v>
      </c>
      <c r="CV51" s="253">
        <v>9999</v>
      </c>
      <c r="CW51" s="401">
        <v>9999</v>
      </c>
      <c r="CX51" s="251"/>
      <c r="CY51" s="251"/>
      <c r="CZ51" s="251"/>
      <c r="DA51" s="251"/>
      <c r="DB51" s="251"/>
      <c r="DC51" s="251"/>
      <c r="DD51" s="251"/>
      <c r="DE51" s="251"/>
      <c r="DF51" s="251"/>
      <c r="DG51" s="251"/>
      <c r="DH51" s="251"/>
      <c r="DI51" s="251"/>
      <c r="DJ51" s="251"/>
      <c r="DK51" s="251"/>
      <c r="DL51" s="251"/>
      <c r="DM51" s="251"/>
      <c r="DN51" s="251"/>
      <c r="DO51" s="251"/>
      <c r="DP51" s="251"/>
      <c r="DQ51" s="251"/>
      <c r="DR51" s="251"/>
      <c r="DS51" s="251"/>
      <c r="DT51" s="251"/>
      <c r="DU51" s="251"/>
      <c r="DV51" s="251"/>
      <c r="DW51" s="251"/>
      <c r="DX51" s="251"/>
      <c r="DY51" s="251"/>
      <c r="DZ51" s="251"/>
      <c r="EA51" s="251"/>
    </row>
    <row r="52" spans="1:131">
      <c r="A52" s="251" t="s">
        <v>698</v>
      </c>
      <c r="B52" s="251"/>
      <c r="C52" s="253">
        <v>14.999999999999998</v>
      </c>
      <c r="D52" s="253">
        <v>2.4730935753017791</v>
      </c>
      <c r="E52" s="253">
        <v>0</v>
      </c>
      <c r="F52" s="253">
        <v>0.2498478167734684</v>
      </c>
      <c r="G52" s="253">
        <v>3.5201568182339441E-3</v>
      </c>
      <c r="H52" s="253">
        <v>0</v>
      </c>
      <c r="I52" s="253"/>
      <c r="J52" s="253"/>
      <c r="K52" s="253"/>
      <c r="L52" s="253">
        <v>2.6564290127868606</v>
      </c>
      <c r="M52" s="253">
        <v>3.7656387820444201E-4</v>
      </c>
      <c r="N52" s="253">
        <v>3.7384600899921516E-4</v>
      </c>
      <c r="O52" s="253">
        <v>0</v>
      </c>
      <c r="P52" s="253">
        <v>0</v>
      </c>
      <c r="Q52" s="253">
        <v>0</v>
      </c>
      <c r="R52" s="253">
        <v>7.6650757318819526E-2</v>
      </c>
      <c r="S52" s="253">
        <v>0.17712824164941587</v>
      </c>
      <c r="T52" s="253">
        <v>0</v>
      </c>
      <c r="U52" s="253">
        <v>6.3222251423053974E-2</v>
      </c>
      <c r="V52" s="253">
        <v>1.4990869006408104E-2</v>
      </c>
      <c r="W52" s="253">
        <v>3.4978694348285579E-2</v>
      </c>
      <c r="X52" s="253">
        <v>0</v>
      </c>
      <c r="Y52" s="253">
        <v>0</v>
      </c>
      <c r="Z52" s="253">
        <v>1.4352023983578717E-2</v>
      </c>
      <c r="AA52" s="253">
        <v>3.3488055961683673E-2</v>
      </c>
      <c r="AB52" s="253">
        <v>0</v>
      </c>
      <c r="AC52" s="253">
        <v>0</v>
      </c>
      <c r="AD52" s="253">
        <v>0</v>
      </c>
      <c r="AE52" s="253">
        <v>0</v>
      </c>
      <c r="AF52" s="253">
        <v>0</v>
      </c>
      <c r="AG52" s="253">
        <v>0</v>
      </c>
      <c r="AH52" s="253">
        <v>0.10599365030880635</v>
      </c>
      <c r="AI52" s="253">
        <v>0.24559499195938511</v>
      </c>
      <c r="AJ52" s="253">
        <v>0</v>
      </c>
      <c r="AK52" s="253">
        <v>6.3222251423053974E-2</v>
      </c>
      <c r="AL52" s="253">
        <v>0.41481089369124546</v>
      </c>
      <c r="AM52" s="253">
        <v>1.3524403172432291</v>
      </c>
      <c r="AN52" s="253">
        <v>0.13305827585765079</v>
      </c>
      <c r="AO52" s="253">
        <v>0</v>
      </c>
      <c r="AP52" s="253">
        <v>0</v>
      </c>
      <c r="AQ52" s="253">
        <v>1.4854985931008799</v>
      </c>
      <c r="AR52" s="253">
        <v>0.10599365030880635</v>
      </c>
      <c r="AS52" s="401">
        <v>14.014977206398365</v>
      </c>
      <c r="AT52" s="253">
        <v>1.3524403172432291</v>
      </c>
      <c r="AU52" s="253">
        <v>0.15750136721695487</v>
      </c>
      <c r="AV52" s="253">
        <v>0</v>
      </c>
      <c r="AW52" s="253">
        <v>0</v>
      </c>
      <c r="AX52" s="253">
        <v>1.5099416844601841</v>
      </c>
      <c r="AY52" s="253">
        <v>0.24559499195938511</v>
      </c>
      <c r="AZ52" s="401">
        <v>6.1480963940416515</v>
      </c>
      <c r="BA52" s="253">
        <v>1.3524403172432291</v>
      </c>
      <c r="BB52" s="253">
        <v>0.29055964307460569</v>
      </c>
      <c r="BC52" s="253">
        <v>0</v>
      </c>
      <c r="BD52" s="253">
        <v>0</v>
      </c>
      <c r="BE52" s="253">
        <v>1.6429999603178349</v>
      </c>
      <c r="BF52" s="253">
        <v>0.35158864226819153</v>
      </c>
      <c r="BG52" s="253">
        <v>1.6904726457408341</v>
      </c>
      <c r="BH52" s="401">
        <v>4.6730746184473047</v>
      </c>
      <c r="BI52" s="253">
        <v>2.9359709127933522</v>
      </c>
      <c r="BJ52" s="253">
        <v>6.8028580072457752</v>
      </c>
      <c r="BK52" s="253">
        <v>0</v>
      </c>
      <c r="BL52" s="253">
        <v>1.7512246316510971</v>
      </c>
      <c r="BM52" s="253">
        <v>11.490053551690224</v>
      </c>
      <c r="BN52" s="253">
        <v>1.3524403172432291</v>
      </c>
      <c r="BO52" s="253">
        <v>0</v>
      </c>
      <c r="BP52" s="253">
        <v>0.29055964307460569</v>
      </c>
      <c r="BQ52" s="253">
        <v>0</v>
      </c>
      <c r="BR52" s="253">
        <v>0</v>
      </c>
      <c r="BS52" s="253">
        <v>0</v>
      </c>
      <c r="BT52" s="253">
        <v>0</v>
      </c>
      <c r="BU52" s="253">
        <v>0</v>
      </c>
      <c r="BV52" s="253">
        <v>0</v>
      </c>
      <c r="BW52" s="253">
        <v>0</v>
      </c>
      <c r="BX52" s="253">
        <v>0.3170012503912894</v>
      </c>
      <c r="BY52" s="253">
        <v>4.9969563354693686E-2</v>
      </c>
      <c r="BZ52" s="253">
        <v>4.784007994526239E-2</v>
      </c>
      <c r="CA52" s="253">
        <v>0</v>
      </c>
      <c r="CB52" s="253">
        <v>1.6429999603178349</v>
      </c>
      <c r="CC52" s="253">
        <v>0.41481089369124546</v>
      </c>
      <c r="CD52" s="401">
        <v>3.9608409164412217</v>
      </c>
      <c r="CE52" s="253">
        <v>3.4416972773919268</v>
      </c>
      <c r="CF52" s="253">
        <v>2.5236338035521354E-2</v>
      </c>
      <c r="CG52" s="253">
        <v>0</v>
      </c>
      <c r="CH52" s="253">
        <v>2.5236338035521354E-2</v>
      </c>
      <c r="CI52" s="253">
        <v>1.2618037810737592E-3</v>
      </c>
      <c r="CJ52" s="253">
        <v>0</v>
      </c>
      <c r="CK52" s="253">
        <v>1.2618037810737592E-3</v>
      </c>
      <c r="CL52" s="253"/>
      <c r="CM52" s="253">
        <v>0</v>
      </c>
      <c r="CN52" s="253"/>
      <c r="CO52" s="253">
        <v>0</v>
      </c>
      <c r="CP52" s="253">
        <v>0</v>
      </c>
      <c r="CQ52" s="253">
        <v>0</v>
      </c>
      <c r="CR52" s="253">
        <v>0</v>
      </c>
      <c r="CS52" s="253">
        <v>0</v>
      </c>
      <c r="CT52" s="253">
        <v>0</v>
      </c>
      <c r="CU52" s="253">
        <v>0</v>
      </c>
      <c r="CV52" s="253">
        <v>9999</v>
      </c>
      <c r="CW52" s="401">
        <v>9999</v>
      </c>
      <c r="CX52" s="251"/>
      <c r="CY52" s="251"/>
      <c r="CZ52" s="251"/>
      <c r="DA52" s="251"/>
      <c r="DB52" s="251"/>
      <c r="DC52" s="251"/>
      <c r="DD52" s="251"/>
      <c r="DE52" s="251"/>
      <c r="DF52" s="251"/>
      <c r="DG52" s="251"/>
      <c r="DH52" s="251"/>
      <c r="DI52" s="251"/>
      <c r="DJ52" s="251"/>
      <c r="DK52" s="251"/>
      <c r="DL52" s="251"/>
      <c r="DM52" s="251"/>
      <c r="DN52" s="251"/>
      <c r="DO52" s="251"/>
      <c r="DP52" s="251"/>
      <c r="DQ52" s="251"/>
      <c r="DR52" s="251"/>
      <c r="DS52" s="251"/>
      <c r="DT52" s="251"/>
      <c r="DU52" s="251"/>
      <c r="DV52" s="251"/>
      <c r="DW52" s="251"/>
      <c r="DX52" s="251"/>
      <c r="DY52" s="251"/>
      <c r="DZ52" s="251"/>
      <c r="EA52" s="251"/>
    </row>
    <row r="53" spans="1:131">
      <c r="A53" s="251" t="s">
        <v>699</v>
      </c>
      <c r="B53" s="251"/>
      <c r="C53" s="253">
        <v>15</v>
      </c>
      <c r="D53" s="253">
        <v>2.7165086867540036</v>
      </c>
      <c r="E53" s="253">
        <v>0</v>
      </c>
      <c r="F53" s="253">
        <v>1.8020164191833796</v>
      </c>
      <c r="G53" s="253">
        <v>3.5201568182339441E-3</v>
      </c>
      <c r="H53" s="253">
        <v>0</v>
      </c>
      <c r="I53" s="253"/>
      <c r="J53" s="253"/>
      <c r="K53" s="253"/>
      <c r="L53" s="253">
        <v>2.9178889796356824</v>
      </c>
      <c r="M53" s="253">
        <v>4.1362731134640516E-4</v>
      </c>
      <c r="N53" s="253">
        <v>4.106419349016182E-4</v>
      </c>
      <c r="O53" s="253">
        <v>0</v>
      </c>
      <c r="P53" s="253">
        <v>0</v>
      </c>
      <c r="Q53" s="253">
        <v>0</v>
      </c>
      <c r="R53" s="253">
        <v>0.55284022496217844</v>
      </c>
      <c r="S53" s="253">
        <v>1.2775296733640447</v>
      </c>
      <c r="T53" s="253">
        <v>0</v>
      </c>
      <c r="U53" s="253">
        <v>0.45598771521537312</v>
      </c>
      <c r="V53" s="253">
        <v>0.10812098515100278</v>
      </c>
      <c r="W53" s="253">
        <v>0.25228229868567315</v>
      </c>
      <c r="X53" s="253">
        <v>0</v>
      </c>
      <c r="Y53" s="253">
        <v>0</v>
      </c>
      <c r="Z53" s="253">
        <v>1.4352023983578717E-2</v>
      </c>
      <c r="AA53" s="253">
        <v>3.3488055961683673E-2</v>
      </c>
      <c r="AB53" s="253">
        <v>0</v>
      </c>
      <c r="AC53" s="253">
        <v>0</v>
      </c>
      <c r="AD53" s="253">
        <v>0</v>
      </c>
      <c r="AE53" s="253">
        <v>0</v>
      </c>
      <c r="AF53" s="253">
        <v>0</v>
      </c>
      <c r="AG53" s="253">
        <v>0</v>
      </c>
      <c r="AH53" s="253">
        <v>0.67531323409675992</v>
      </c>
      <c r="AI53" s="253">
        <v>1.5633000280114016</v>
      </c>
      <c r="AJ53" s="253">
        <v>0</v>
      </c>
      <c r="AK53" s="253">
        <v>0.45598771521537312</v>
      </c>
      <c r="AL53" s="253">
        <v>2.6946009773235349</v>
      </c>
      <c r="AM53" s="253">
        <v>1.4855547346845785</v>
      </c>
      <c r="AN53" s="253">
        <v>0.14615458380611926</v>
      </c>
      <c r="AO53" s="253">
        <v>0</v>
      </c>
      <c r="AP53" s="253">
        <v>0</v>
      </c>
      <c r="AQ53" s="253">
        <v>1.6317093184906979</v>
      </c>
      <c r="AR53" s="253">
        <v>0.67531323409675992</v>
      </c>
      <c r="AS53" s="401">
        <v>2.4162258876403184</v>
      </c>
      <c r="AT53" s="253">
        <v>1.4855547346845785</v>
      </c>
      <c r="AU53" s="253">
        <v>0.17300349509350096</v>
      </c>
      <c r="AV53" s="253">
        <v>0</v>
      </c>
      <c r="AW53" s="253">
        <v>0</v>
      </c>
      <c r="AX53" s="253">
        <v>1.6585582297780794</v>
      </c>
      <c r="AY53" s="253">
        <v>1.5633000280114016</v>
      </c>
      <c r="AZ53" s="401">
        <v>1.060934049804791</v>
      </c>
      <c r="BA53" s="253">
        <v>1.4855547346845785</v>
      </c>
      <c r="BB53" s="253">
        <v>0.31915807889962022</v>
      </c>
      <c r="BC53" s="253">
        <v>0</v>
      </c>
      <c r="BD53" s="253">
        <v>0</v>
      </c>
      <c r="BE53" s="253">
        <v>1.8047128135841988</v>
      </c>
      <c r="BF53" s="253">
        <v>2.2386132621081614</v>
      </c>
      <c r="BG53" s="253">
        <v>48.403785422801711</v>
      </c>
      <c r="BH53" s="372">
        <v>0.80617444921444492</v>
      </c>
      <c r="BI53" s="253">
        <v>17.029684861804061</v>
      </c>
      <c r="BJ53" s="253">
        <v>39.422456835295947</v>
      </c>
      <c r="BK53" s="253">
        <v>0</v>
      </c>
      <c r="BL53" s="253">
        <v>11.498852234634619</v>
      </c>
      <c r="BM53" s="253">
        <v>67.950993931734644</v>
      </c>
      <c r="BN53" s="253">
        <v>1.4855547346845785</v>
      </c>
      <c r="BO53" s="253">
        <v>0</v>
      </c>
      <c r="BP53" s="253">
        <v>0.31915807889962022</v>
      </c>
      <c r="BQ53" s="253">
        <v>0</v>
      </c>
      <c r="BR53" s="253">
        <v>0</v>
      </c>
      <c r="BS53" s="253">
        <v>0</v>
      </c>
      <c r="BT53" s="253">
        <v>0</v>
      </c>
      <c r="BU53" s="253">
        <v>0</v>
      </c>
      <c r="BV53" s="253">
        <v>0</v>
      </c>
      <c r="BW53" s="253">
        <v>0</v>
      </c>
      <c r="BX53" s="253">
        <v>2.2863576135415964</v>
      </c>
      <c r="BY53" s="253">
        <v>0.36040328383667597</v>
      </c>
      <c r="BZ53" s="253">
        <v>4.784007994526239E-2</v>
      </c>
      <c r="CA53" s="253">
        <v>0</v>
      </c>
      <c r="CB53" s="253">
        <v>1.8047128135841988</v>
      </c>
      <c r="CC53" s="253">
        <v>2.6946009773235344</v>
      </c>
      <c r="CD53" s="372">
        <v>0.66975141357543977</v>
      </c>
      <c r="CE53" s="253">
        <v>59.902637657436337</v>
      </c>
      <c r="CF53" s="253">
        <v>2.7720233548780653E-2</v>
      </c>
      <c r="CG53" s="253">
        <v>0</v>
      </c>
      <c r="CH53" s="253">
        <v>2.7720233548780653E-2</v>
      </c>
      <c r="CI53" s="253">
        <v>1.3859972653269494E-3</v>
      </c>
      <c r="CJ53" s="253">
        <v>0</v>
      </c>
      <c r="CK53" s="253">
        <v>1.3859972653269494E-3</v>
      </c>
      <c r="CL53" s="253"/>
      <c r="CM53" s="253">
        <v>0</v>
      </c>
      <c r="CN53" s="253"/>
      <c r="CO53" s="253">
        <v>0</v>
      </c>
      <c r="CP53" s="253">
        <v>0</v>
      </c>
      <c r="CQ53" s="253">
        <v>0</v>
      </c>
      <c r="CR53" s="253">
        <v>0</v>
      </c>
      <c r="CS53" s="253">
        <v>0</v>
      </c>
      <c r="CT53" s="253">
        <v>0</v>
      </c>
      <c r="CU53" s="253">
        <v>0</v>
      </c>
      <c r="CV53" s="253">
        <v>9999</v>
      </c>
      <c r="CW53" s="401">
        <v>9999</v>
      </c>
      <c r="CX53" s="251"/>
      <c r="CY53" s="251"/>
      <c r="CZ53" s="251"/>
      <c r="DA53" s="251"/>
      <c r="DB53" s="251"/>
      <c r="DC53" s="251"/>
      <c r="DD53" s="251"/>
      <c r="DE53" s="251"/>
      <c r="DF53" s="251"/>
      <c r="DG53" s="251"/>
      <c r="DH53" s="251"/>
      <c r="DI53" s="251"/>
      <c r="DJ53" s="251"/>
      <c r="DK53" s="251"/>
      <c r="DL53" s="251"/>
      <c r="DM53" s="251"/>
      <c r="DN53" s="251"/>
      <c r="DO53" s="251"/>
      <c r="DP53" s="251"/>
      <c r="DQ53" s="251"/>
      <c r="DR53" s="251"/>
      <c r="DS53" s="251"/>
      <c r="DT53" s="251"/>
      <c r="DU53" s="251"/>
      <c r="DV53" s="251"/>
      <c r="DW53" s="251"/>
      <c r="DX53" s="251"/>
      <c r="DY53" s="251"/>
      <c r="DZ53" s="251"/>
      <c r="EA53" s="251"/>
    </row>
    <row r="54" spans="1:131">
      <c r="A54" s="251" t="s">
        <v>380</v>
      </c>
      <c r="B54" s="251"/>
      <c r="C54" s="253">
        <v>15</v>
      </c>
      <c r="D54" s="253">
        <v>1.3922070596964742</v>
      </c>
      <c r="E54" s="253">
        <v>0</v>
      </c>
      <c r="F54" s="253">
        <v>1.3898288793186622</v>
      </c>
      <c r="G54" s="253">
        <v>6.465894455897187E-3</v>
      </c>
      <c r="H54" s="253">
        <v>0</v>
      </c>
      <c r="I54" s="253"/>
      <c r="J54" s="253"/>
      <c r="K54" s="253"/>
      <c r="L54" s="253">
        <v>1.4954141897898539</v>
      </c>
      <c r="M54" s="253">
        <v>2.1198344247808546E-4</v>
      </c>
      <c r="N54" s="253">
        <v>2.1045344105289203E-4</v>
      </c>
      <c r="O54" s="253">
        <v>0</v>
      </c>
      <c r="P54" s="253">
        <v>0</v>
      </c>
      <c r="Q54" s="253">
        <v>0</v>
      </c>
      <c r="R54" s="253">
        <v>0.42638529933576103</v>
      </c>
      <c r="S54" s="253">
        <v>0.98531157392700786</v>
      </c>
      <c r="T54" s="253">
        <v>0</v>
      </c>
      <c r="U54" s="253">
        <v>0.35168652653456606</v>
      </c>
      <c r="V54" s="253">
        <v>8.3389732759119733E-2</v>
      </c>
      <c r="W54" s="253">
        <v>0.19457604310461271</v>
      </c>
      <c r="X54" s="253">
        <v>0</v>
      </c>
      <c r="Y54" s="253">
        <v>0</v>
      </c>
      <c r="Z54" s="253">
        <v>2.6362084730328007E-2</v>
      </c>
      <c r="AA54" s="253">
        <v>6.151153103743201E-2</v>
      </c>
      <c r="AB54" s="253">
        <v>0</v>
      </c>
      <c r="AC54" s="253">
        <v>0</v>
      </c>
      <c r="AD54" s="253">
        <v>0</v>
      </c>
      <c r="AE54" s="253">
        <v>0</v>
      </c>
      <c r="AF54" s="253">
        <v>0</v>
      </c>
      <c r="AG54" s="253">
        <v>0</v>
      </c>
      <c r="AH54" s="253">
        <v>0.53613711682520881</v>
      </c>
      <c r="AI54" s="253">
        <v>1.2413991480690525</v>
      </c>
      <c r="AJ54" s="253">
        <v>0</v>
      </c>
      <c r="AK54" s="253">
        <v>0.35168652653456606</v>
      </c>
      <c r="AL54" s="253">
        <v>2.1292227914288273</v>
      </c>
      <c r="AM54" s="253">
        <v>0.76134480971040663</v>
      </c>
      <c r="AN54" s="253">
        <v>7.490402823817853E-2</v>
      </c>
      <c r="AO54" s="253">
        <v>0</v>
      </c>
      <c r="AP54" s="253">
        <v>0</v>
      </c>
      <c r="AQ54" s="253">
        <v>0.83624883794858518</v>
      </c>
      <c r="AR54" s="253">
        <v>0.53613711682520881</v>
      </c>
      <c r="AS54" s="401">
        <v>1.5597667307582039</v>
      </c>
      <c r="AT54" s="253">
        <v>0.76134480971040663</v>
      </c>
      <c r="AU54" s="253">
        <v>8.86640592742369E-2</v>
      </c>
      <c r="AV54" s="253">
        <v>0</v>
      </c>
      <c r="AW54" s="253">
        <v>0</v>
      </c>
      <c r="AX54" s="253">
        <v>0.85000886898464356</v>
      </c>
      <c r="AY54" s="253">
        <v>1.2413991480690525</v>
      </c>
      <c r="AZ54" s="372">
        <v>0.68471842461532129</v>
      </c>
      <c r="BA54" s="253">
        <v>0.76134480971040663</v>
      </c>
      <c r="BB54" s="253">
        <v>0.16356808751241542</v>
      </c>
      <c r="BC54" s="253">
        <v>0</v>
      </c>
      <c r="BD54" s="253">
        <v>0</v>
      </c>
      <c r="BE54" s="253">
        <v>0.92491289722282211</v>
      </c>
      <c r="BF54" s="253">
        <v>1.7775362648942612</v>
      </c>
      <c r="BG54" s="253">
        <v>79.415190973379694</v>
      </c>
      <c r="BH54" s="372">
        <v>0.5203341926066648</v>
      </c>
      <c r="BI54" s="253">
        <v>26.380589231727974</v>
      </c>
      <c r="BJ54" s="253">
        <v>61.082958015950027</v>
      </c>
      <c r="BK54" s="253">
        <v>0</v>
      </c>
      <c r="BL54" s="253">
        <v>17.304710872808865</v>
      </c>
      <c r="BM54" s="253">
        <v>104.76825812048686</v>
      </c>
      <c r="BN54" s="253">
        <v>0.76134480971040663</v>
      </c>
      <c r="BO54" s="253">
        <v>0</v>
      </c>
      <c r="BP54" s="253">
        <v>0.16356808751241542</v>
      </c>
      <c r="BQ54" s="253">
        <v>0</v>
      </c>
      <c r="BR54" s="253">
        <v>0</v>
      </c>
      <c r="BS54" s="253">
        <v>0</v>
      </c>
      <c r="BT54" s="253">
        <v>0</v>
      </c>
      <c r="BU54" s="253">
        <v>0</v>
      </c>
      <c r="BV54" s="253">
        <v>0</v>
      </c>
      <c r="BW54" s="253">
        <v>0</v>
      </c>
      <c r="BX54" s="253">
        <v>1.7633833997973349</v>
      </c>
      <c r="BY54" s="253">
        <v>0.27796577586373244</v>
      </c>
      <c r="BZ54" s="253">
        <v>8.7873615767760024E-2</v>
      </c>
      <c r="CA54" s="253">
        <v>0</v>
      </c>
      <c r="CB54" s="253">
        <v>0.92491289722282211</v>
      </c>
      <c r="CC54" s="253">
        <v>2.1292227914288273</v>
      </c>
      <c r="CD54" s="372">
        <v>0.43438991022736234</v>
      </c>
      <c r="CE54" s="253">
        <v>96.719901846188563</v>
      </c>
      <c r="CF54" s="253">
        <v>1.4206582526766003E-2</v>
      </c>
      <c r="CG54" s="253">
        <v>0</v>
      </c>
      <c r="CH54" s="253">
        <v>1.4206582526766003E-2</v>
      </c>
      <c r="CI54" s="253">
        <v>7.1032174015018071E-4</v>
      </c>
      <c r="CJ54" s="253">
        <v>0</v>
      </c>
      <c r="CK54" s="253">
        <v>7.1032174015018071E-4</v>
      </c>
      <c r="CL54" s="253"/>
      <c r="CM54" s="253">
        <v>0</v>
      </c>
      <c r="CN54" s="253"/>
      <c r="CO54" s="253">
        <v>0</v>
      </c>
      <c r="CP54" s="253">
        <v>0</v>
      </c>
      <c r="CQ54" s="253">
        <v>0</v>
      </c>
      <c r="CR54" s="253">
        <v>0</v>
      </c>
      <c r="CS54" s="253">
        <v>0</v>
      </c>
      <c r="CT54" s="253">
        <v>0</v>
      </c>
      <c r="CU54" s="253">
        <v>0</v>
      </c>
      <c r="CV54" s="253">
        <v>9999</v>
      </c>
      <c r="CW54" s="401">
        <v>9999</v>
      </c>
      <c r="CX54" s="251"/>
      <c r="CY54" s="251"/>
      <c r="CZ54" s="251"/>
      <c r="DA54" s="251"/>
      <c r="DB54" s="251"/>
      <c r="DC54" s="251"/>
      <c r="DD54" s="251"/>
      <c r="DE54" s="251"/>
      <c r="DF54" s="251"/>
      <c r="DG54" s="251"/>
      <c r="DH54" s="251"/>
      <c r="DI54" s="251"/>
      <c r="DJ54" s="251"/>
      <c r="DK54" s="251"/>
      <c r="DL54" s="251"/>
      <c r="DM54" s="251"/>
      <c r="DN54" s="251"/>
      <c r="DO54" s="251"/>
      <c r="DP54" s="251"/>
      <c r="DQ54" s="251"/>
      <c r="DR54" s="251"/>
      <c r="DS54" s="251"/>
      <c r="DT54" s="251"/>
      <c r="DU54" s="251"/>
      <c r="DV54" s="251"/>
      <c r="DW54" s="251"/>
      <c r="DX54" s="251"/>
      <c r="DY54" s="251"/>
      <c r="DZ54" s="251"/>
      <c r="EA54" s="251"/>
    </row>
    <row r="55" spans="1:131">
      <c r="A55" s="251" t="s">
        <v>381</v>
      </c>
      <c r="B55" s="251"/>
      <c r="C55" s="253">
        <v>15</v>
      </c>
      <c r="D55" s="253">
        <v>0.10783159442643497</v>
      </c>
      <c r="E55" s="253">
        <v>0</v>
      </c>
      <c r="F55" s="253">
        <v>0.35145964490321813</v>
      </c>
      <c r="G55" s="253">
        <v>1.9988226250419985E-4</v>
      </c>
      <c r="H55" s="253">
        <v>0</v>
      </c>
      <c r="I55" s="253"/>
      <c r="J55" s="253"/>
      <c r="K55" s="253"/>
      <c r="L55" s="253">
        <v>0.11582536899942986</v>
      </c>
      <c r="M55" s="253">
        <v>1.6418902946376368E-5</v>
      </c>
      <c r="N55" s="253">
        <v>1.6300398667861005E-5</v>
      </c>
      <c r="O55" s="253">
        <v>0</v>
      </c>
      <c r="P55" s="253">
        <v>0</v>
      </c>
      <c r="Q55" s="253">
        <v>0</v>
      </c>
      <c r="R55" s="253">
        <v>0.10782422795097167</v>
      </c>
      <c r="S55" s="253">
        <v>0.24916539082220177</v>
      </c>
      <c r="T55" s="253">
        <v>0</v>
      </c>
      <c r="U55" s="253">
        <v>8.8934417446901212E-2</v>
      </c>
      <c r="V55" s="253">
        <v>2.1087578694193088E-2</v>
      </c>
      <c r="W55" s="253">
        <v>4.9204350286450538E-2</v>
      </c>
      <c r="X55" s="253">
        <v>0</v>
      </c>
      <c r="Y55" s="253">
        <v>0</v>
      </c>
      <c r="Z55" s="253">
        <v>8.1493955340077192E-4</v>
      </c>
      <c r="AA55" s="253">
        <v>1.9015256246018011E-3</v>
      </c>
      <c r="AB55" s="253">
        <v>0</v>
      </c>
      <c r="AC55" s="253">
        <v>0</v>
      </c>
      <c r="AD55" s="253">
        <v>0</v>
      </c>
      <c r="AE55" s="253">
        <v>0</v>
      </c>
      <c r="AF55" s="253">
        <v>0</v>
      </c>
      <c r="AG55" s="253">
        <v>0</v>
      </c>
      <c r="AH55" s="253">
        <v>0.12972674619856553</v>
      </c>
      <c r="AI55" s="253">
        <v>0.30027126673325411</v>
      </c>
      <c r="AJ55" s="253">
        <v>0</v>
      </c>
      <c r="AK55" s="253">
        <v>8.8934417446901212E-2</v>
      </c>
      <c r="AL55" s="253">
        <v>0.51893243037872083</v>
      </c>
      <c r="AM55" s="253">
        <v>5.8968976035261952E-2</v>
      </c>
      <c r="AN55" s="253">
        <v>5.8015944809577651E-3</v>
      </c>
      <c r="AO55" s="253">
        <v>0</v>
      </c>
      <c r="AP55" s="253">
        <v>0</v>
      </c>
      <c r="AQ55" s="253">
        <v>6.4770570516219719E-2</v>
      </c>
      <c r="AR55" s="253">
        <v>0.12972674619856553</v>
      </c>
      <c r="AS55" s="372">
        <v>0.49928463030344572</v>
      </c>
      <c r="AT55" s="253">
        <v>5.8968976035261952E-2</v>
      </c>
      <c r="AU55" s="253">
        <v>6.8673598609285342E-3</v>
      </c>
      <c r="AV55" s="253">
        <v>0</v>
      </c>
      <c r="AW55" s="253">
        <v>0</v>
      </c>
      <c r="AX55" s="253">
        <v>6.5836335896190493E-2</v>
      </c>
      <c r="AY55" s="253">
        <v>0.30027126673325411</v>
      </c>
      <c r="AZ55" s="372">
        <v>0.21925619661329829</v>
      </c>
      <c r="BA55" s="253">
        <v>5.8968976035261952E-2</v>
      </c>
      <c r="BB55" s="253">
        <v>1.26689543418863E-2</v>
      </c>
      <c r="BC55" s="253">
        <v>0</v>
      </c>
      <c r="BD55" s="253">
        <v>0</v>
      </c>
      <c r="BE55" s="253">
        <v>7.163793037714826E-2</v>
      </c>
      <c r="BF55" s="253">
        <v>0.42999801293181961</v>
      </c>
      <c r="BG55" s="253">
        <v>265.12156066774412</v>
      </c>
      <c r="BH55" s="372">
        <v>0.16660060796259343</v>
      </c>
      <c r="BI55" s="253">
        <v>82.413042429204239</v>
      </c>
      <c r="BJ55" s="253">
        <v>190.75687451283818</v>
      </c>
      <c r="BK55" s="253">
        <v>0</v>
      </c>
      <c r="BL55" s="253">
        <v>56.49841789178457</v>
      </c>
      <c r="BM55" s="253">
        <v>329.66833483382698</v>
      </c>
      <c r="BN55" s="253">
        <v>5.8968976035261952E-2</v>
      </c>
      <c r="BO55" s="253">
        <v>0</v>
      </c>
      <c r="BP55" s="253">
        <v>1.26689543418863E-2</v>
      </c>
      <c r="BQ55" s="253">
        <v>0</v>
      </c>
      <c r="BR55" s="253">
        <v>0</v>
      </c>
      <c r="BS55" s="253">
        <v>0</v>
      </c>
      <c r="BT55" s="253">
        <v>0</v>
      </c>
      <c r="BU55" s="253">
        <v>0</v>
      </c>
      <c r="BV55" s="253">
        <v>0</v>
      </c>
      <c r="BW55" s="253">
        <v>0</v>
      </c>
      <c r="BX55" s="253">
        <v>0.44592403622007465</v>
      </c>
      <c r="BY55" s="253">
        <v>7.0291928980643625E-2</v>
      </c>
      <c r="BZ55" s="253">
        <v>2.7164651780025731E-3</v>
      </c>
      <c r="CA55" s="253">
        <v>0</v>
      </c>
      <c r="CB55" s="253">
        <v>7.163793037714826E-2</v>
      </c>
      <c r="CC55" s="253">
        <v>0.51893243037872083</v>
      </c>
      <c r="CD55" s="372">
        <v>0.13804866719327283</v>
      </c>
      <c r="CE55" s="253">
        <v>321.6199785595287</v>
      </c>
      <c r="CF55" s="253">
        <v>1.1003524472472449E-3</v>
      </c>
      <c r="CG55" s="253">
        <v>0</v>
      </c>
      <c r="CH55" s="253">
        <v>1.1003524472472449E-3</v>
      </c>
      <c r="CI55" s="253">
        <v>5.5017050274729189E-5</v>
      </c>
      <c r="CJ55" s="253">
        <v>0</v>
      </c>
      <c r="CK55" s="253">
        <v>5.5017050274729189E-5</v>
      </c>
      <c r="CL55" s="253"/>
      <c r="CM55" s="253">
        <v>0</v>
      </c>
      <c r="CN55" s="253"/>
      <c r="CO55" s="253">
        <v>0</v>
      </c>
      <c r="CP55" s="253">
        <v>0</v>
      </c>
      <c r="CQ55" s="253">
        <v>0</v>
      </c>
      <c r="CR55" s="253">
        <v>0</v>
      </c>
      <c r="CS55" s="253">
        <v>0</v>
      </c>
      <c r="CT55" s="253">
        <v>0</v>
      </c>
      <c r="CU55" s="253">
        <v>0</v>
      </c>
      <c r="CV55" s="253">
        <v>9999</v>
      </c>
      <c r="CW55" s="401">
        <v>9999</v>
      </c>
      <c r="CX55" s="251"/>
      <c r="CY55" s="251"/>
      <c r="CZ55" s="251"/>
      <c r="DA55" s="251"/>
      <c r="DB55" s="251"/>
      <c r="DC55" s="251"/>
      <c r="DD55" s="251"/>
      <c r="DE55" s="251"/>
      <c r="DF55" s="251"/>
      <c r="DG55" s="251"/>
      <c r="DH55" s="251"/>
      <c r="DI55" s="251"/>
      <c r="DJ55" s="251"/>
      <c r="DK55" s="251"/>
      <c r="DL55" s="251"/>
      <c r="DM55" s="251"/>
      <c r="DN55" s="251"/>
      <c r="DO55" s="251"/>
      <c r="DP55" s="251"/>
      <c r="DQ55" s="251"/>
      <c r="DR55" s="251"/>
      <c r="DS55" s="251"/>
      <c r="DT55" s="251"/>
      <c r="DU55" s="251"/>
      <c r="DV55" s="251"/>
      <c r="DW55" s="251"/>
      <c r="DX55" s="251"/>
      <c r="DY55" s="251"/>
      <c r="DZ55" s="251"/>
      <c r="EA55" s="251"/>
    </row>
    <row r="56" spans="1:131">
      <c r="A56" s="251"/>
      <c r="B56" s="251"/>
      <c r="C56" s="253"/>
      <c r="D56" s="253"/>
      <c r="E56" s="253"/>
      <c r="F56" s="253"/>
      <c r="G56" s="253"/>
      <c r="H56" s="253"/>
      <c r="I56" s="253"/>
      <c r="J56" s="253"/>
      <c r="K56" s="253"/>
      <c r="L56" s="253"/>
      <c r="M56" s="253"/>
      <c r="N56" s="253"/>
      <c r="O56" s="253"/>
      <c r="P56" s="253"/>
      <c r="Q56" s="253"/>
      <c r="R56" s="253"/>
      <c r="S56" s="253"/>
      <c r="T56" s="253"/>
      <c r="U56" s="253"/>
      <c r="V56" s="253"/>
      <c r="W56" s="253"/>
      <c r="X56" s="253"/>
      <c r="Y56" s="253"/>
      <c r="Z56" s="253"/>
      <c r="AA56" s="253"/>
      <c r="AB56" s="253"/>
      <c r="AC56" s="253"/>
      <c r="AD56" s="253"/>
      <c r="AE56" s="253"/>
      <c r="AF56" s="253"/>
      <c r="AG56" s="253"/>
      <c r="AH56" s="253"/>
      <c r="AI56" s="253"/>
      <c r="AJ56" s="253"/>
      <c r="AK56" s="253"/>
      <c r="AL56" s="253"/>
      <c r="AM56" s="253"/>
      <c r="AN56" s="253"/>
      <c r="AO56" s="253"/>
      <c r="AP56" s="253"/>
      <c r="AQ56" s="253"/>
      <c r="AR56" s="253"/>
      <c r="AS56" s="253"/>
      <c r="AT56" s="253"/>
      <c r="AU56" s="253"/>
      <c r="AV56" s="253"/>
      <c r="AW56" s="253"/>
      <c r="AX56" s="253"/>
      <c r="AY56" s="253"/>
      <c r="AZ56" s="253"/>
      <c r="BA56" s="253"/>
      <c r="BB56" s="253"/>
      <c r="BC56" s="253"/>
      <c r="BD56" s="253"/>
      <c r="BE56" s="253"/>
      <c r="BF56" s="253"/>
      <c r="BG56" s="253"/>
      <c r="BH56" s="253"/>
      <c r="BI56" s="253"/>
      <c r="BJ56" s="253"/>
      <c r="BK56" s="253"/>
      <c r="BL56" s="253"/>
      <c r="BM56" s="253"/>
      <c r="BN56" s="253"/>
      <c r="BO56" s="253"/>
      <c r="BP56" s="253"/>
      <c r="BQ56" s="253"/>
      <c r="BR56" s="253"/>
      <c r="BS56" s="253"/>
      <c r="BT56" s="253"/>
      <c r="BU56" s="253"/>
      <c r="BV56" s="253"/>
      <c r="BW56" s="253"/>
      <c r="BX56" s="253"/>
      <c r="BY56" s="253"/>
      <c r="BZ56" s="253"/>
      <c r="CA56" s="253"/>
      <c r="CB56" s="253"/>
      <c r="CC56" s="253"/>
      <c r="CD56" s="253"/>
      <c r="CE56" s="253"/>
      <c r="CF56" s="253"/>
      <c r="CG56" s="253"/>
      <c r="CH56" s="253"/>
      <c r="CI56" s="253"/>
      <c r="CJ56" s="253"/>
      <c r="CK56" s="253"/>
      <c r="CL56" s="253"/>
      <c r="CM56" s="253"/>
      <c r="CN56" s="253"/>
      <c r="CO56" s="253"/>
      <c r="CP56" s="253"/>
      <c r="CQ56" s="253"/>
      <c r="CR56" s="253"/>
      <c r="CS56" s="253"/>
      <c r="CT56" s="253"/>
      <c r="CU56" s="253"/>
      <c r="CV56" s="253"/>
      <c r="CW56" s="253"/>
      <c r="CX56" s="251"/>
      <c r="CY56" s="251"/>
      <c r="CZ56" s="251"/>
      <c r="DA56" s="251"/>
      <c r="DB56" s="251"/>
      <c r="DC56" s="251"/>
      <c r="DD56" s="251"/>
      <c r="DE56" s="251"/>
      <c r="DF56" s="251"/>
      <c r="DG56" s="251"/>
      <c r="DH56" s="251"/>
      <c r="DI56" s="251"/>
      <c r="DJ56" s="251"/>
      <c r="DK56" s="251"/>
      <c r="DL56" s="251"/>
      <c r="DM56" s="251"/>
      <c r="DN56" s="251"/>
      <c r="DO56" s="251"/>
      <c r="DP56" s="251"/>
      <c r="DQ56" s="251"/>
      <c r="DR56" s="251"/>
      <c r="DS56" s="251"/>
      <c r="DT56" s="251"/>
      <c r="DU56" s="251"/>
      <c r="DV56" s="251"/>
      <c r="DW56" s="251"/>
      <c r="DX56" s="251"/>
      <c r="DY56" s="251"/>
      <c r="DZ56" s="251"/>
      <c r="EA56" s="251"/>
    </row>
    <row r="57" spans="1:131">
      <c r="A57" s="251"/>
      <c r="B57" s="251"/>
      <c r="C57" s="253"/>
      <c r="D57" s="253"/>
      <c r="E57" s="253"/>
      <c r="F57" s="253"/>
      <c r="G57" s="253"/>
      <c r="H57" s="253"/>
      <c r="I57" s="253"/>
      <c r="J57" s="253"/>
      <c r="K57" s="253"/>
      <c r="L57" s="253"/>
      <c r="M57" s="253"/>
      <c r="N57" s="253"/>
      <c r="O57" s="253"/>
      <c r="P57" s="253"/>
      <c r="Q57" s="253"/>
      <c r="R57" s="253"/>
      <c r="S57" s="253"/>
      <c r="T57" s="253"/>
      <c r="U57" s="253"/>
      <c r="V57" s="253"/>
      <c r="W57" s="253"/>
      <c r="X57" s="253"/>
      <c r="Y57" s="253"/>
      <c r="Z57" s="253"/>
      <c r="AA57" s="253"/>
      <c r="AB57" s="253"/>
      <c r="AC57" s="253"/>
      <c r="AD57" s="253"/>
      <c r="AE57" s="253"/>
      <c r="AF57" s="253"/>
      <c r="AG57" s="253"/>
      <c r="AH57" s="253"/>
      <c r="AI57" s="253"/>
      <c r="AJ57" s="253"/>
      <c r="AK57" s="253"/>
      <c r="AL57" s="253"/>
      <c r="AM57" s="253"/>
      <c r="AN57" s="253"/>
      <c r="AO57" s="253"/>
      <c r="AP57" s="253"/>
      <c r="AQ57" s="253"/>
      <c r="AR57" s="253"/>
      <c r="AS57" s="253"/>
      <c r="AT57" s="253"/>
      <c r="AU57" s="253"/>
      <c r="AV57" s="253"/>
      <c r="AW57" s="253"/>
      <c r="AX57" s="253"/>
      <c r="AY57" s="253"/>
      <c r="AZ57" s="253"/>
      <c r="BA57" s="253"/>
      <c r="BB57" s="253"/>
      <c r="BC57" s="253"/>
      <c r="BD57" s="253"/>
      <c r="BE57" s="253"/>
      <c r="BF57" s="253"/>
      <c r="BG57" s="253"/>
      <c r="BH57" s="253"/>
      <c r="BI57" s="253"/>
      <c r="BJ57" s="253"/>
      <c r="BK57" s="253"/>
      <c r="BL57" s="253"/>
      <c r="BM57" s="253"/>
      <c r="BN57" s="253"/>
      <c r="BO57" s="253"/>
      <c r="BP57" s="253"/>
      <c r="BQ57" s="253"/>
      <c r="BR57" s="253"/>
      <c r="BS57" s="253"/>
      <c r="BT57" s="253"/>
      <c r="BU57" s="253"/>
      <c r="BV57" s="253"/>
      <c r="BW57" s="253"/>
      <c r="BX57" s="253"/>
      <c r="BY57" s="253"/>
      <c r="BZ57" s="253"/>
      <c r="CA57" s="253"/>
      <c r="CB57" s="253"/>
      <c r="CC57" s="253"/>
      <c r="CD57" s="253"/>
      <c r="CE57" s="253"/>
      <c r="CF57" s="253"/>
      <c r="CG57" s="253"/>
      <c r="CH57" s="253"/>
      <c r="CI57" s="253"/>
      <c r="CJ57" s="253"/>
      <c r="CK57" s="253"/>
      <c r="CL57" s="253"/>
      <c r="CM57" s="253"/>
      <c r="CN57" s="253"/>
      <c r="CO57" s="253"/>
      <c r="CP57" s="253"/>
      <c r="CQ57" s="253"/>
      <c r="CR57" s="253"/>
      <c r="CS57" s="253"/>
      <c r="CT57" s="253"/>
      <c r="CU57" s="253"/>
      <c r="CV57" s="253"/>
      <c r="CW57" s="253"/>
      <c r="CX57" s="251"/>
      <c r="CY57" s="251"/>
      <c r="CZ57" s="251"/>
      <c r="DA57" s="251"/>
      <c r="DB57" s="251"/>
      <c r="DC57" s="251"/>
      <c r="DD57" s="251"/>
      <c r="DE57" s="251"/>
      <c r="DF57" s="251"/>
      <c r="DG57" s="251"/>
      <c r="DH57" s="251"/>
      <c r="DI57" s="251"/>
      <c r="DJ57" s="251"/>
      <c r="DK57" s="251"/>
      <c r="DL57" s="251"/>
      <c r="DM57" s="251"/>
      <c r="DN57" s="251"/>
      <c r="DO57" s="251"/>
      <c r="DP57" s="251"/>
      <c r="DQ57" s="251"/>
      <c r="DR57" s="251"/>
      <c r="DS57" s="251"/>
      <c r="DT57" s="251"/>
      <c r="DU57" s="251"/>
      <c r="DV57" s="251"/>
      <c r="DW57" s="251"/>
      <c r="DX57" s="251"/>
      <c r="DY57" s="251"/>
      <c r="DZ57" s="251"/>
      <c r="EA57" s="251"/>
    </row>
    <row r="58" spans="1:131" ht="13.5" thickBot="1">
      <c r="A58" s="366" t="s">
        <v>884</v>
      </c>
      <c r="B58" s="367"/>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3"/>
      <c r="AI58" s="253"/>
      <c r="AJ58" s="253"/>
      <c r="AK58" s="253"/>
      <c r="AL58" s="253"/>
      <c r="AM58" s="253"/>
      <c r="AN58" s="253"/>
      <c r="AO58" s="253"/>
      <c r="AP58" s="253"/>
      <c r="AQ58" s="253"/>
      <c r="AR58" s="253"/>
      <c r="AS58" s="253"/>
      <c r="AT58" s="253"/>
      <c r="AU58" s="253"/>
      <c r="AV58" s="253"/>
      <c r="AW58" s="253"/>
      <c r="AX58" s="253"/>
      <c r="AY58" s="253"/>
      <c r="AZ58" s="253"/>
      <c r="BA58" s="253"/>
      <c r="BB58" s="253"/>
      <c r="BC58" s="253"/>
      <c r="BD58" s="253"/>
      <c r="BE58" s="253"/>
      <c r="BF58" s="253"/>
      <c r="BG58" s="253"/>
      <c r="BH58" s="253"/>
      <c r="BI58" s="253"/>
      <c r="BJ58" s="253"/>
      <c r="BK58" s="253"/>
      <c r="BL58" s="253"/>
      <c r="BM58" s="253"/>
      <c r="BN58" s="253"/>
      <c r="BO58" s="253"/>
      <c r="BP58" s="253"/>
      <c r="BQ58" s="253"/>
      <c r="BR58" s="253"/>
      <c r="BS58" s="253"/>
      <c r="BT58" s="253"/>
      <c r="BU58" s="253"/>
      <c r="BV58" s="253"/>
      <c r="BW58" s="253"/>
      <c r="BX58" s="253"/>
      <c r="BY58" s="253"/>
      <c r="BZ58" s="253"/>
      <c r="CA58" s="253"/>
      <c r="CB58" s="253"/>
      <c r="CC58" s="253"/>
      <c r="CD58" s="253"/>
      <c r="CE58" s="253"/>
      <c r="CF58" s="253"/>
      <c r="CG58" s="253"/>
      <c r="CH58" s="253"/>
      <c r="CI58" s="253"/>
      <c r="CJ58" s="253"/>
      <c r="CK58" s="253"/>
      <c r="CL58" s="253"/>
      <c r="CM58" s="253"/>
      <c r="CN58" s="253"/>
      <c r="CO58" s="253"/>
      <c r="CP58" s="253"/>
      <c r="CQ58" s="253"/>
      <c r="CR58" s="253"/>
      <c r="CS58" s="253"/>
      <c r="CT58" s="253"/>
      <c r="CU58" s="253"/>
      <c r="CV58" s="253"/>
      <c r="CW58" s="253"/>
      <c r="CX58" s="251"/>
      <c r="CY58" s="251"/>
      <c r="CZ58" s="251"/>
      <c r="DA58" s="251"/>
      <c r="DB58" s="251"/>
      <c r="DC58" s="251"/>
      <c r="DD58" s="251"/>
      <c r="DE58" s="251"/>
      <c r="DF58" s="251"/>
      <c r="DG58" s="251"/>
      <c r="DH58" s="251"/>
      <c r="DI58" s="251"/>
      <c r="DJ58" s="251"/>
      <c r="DK58" s="251"/>
      <c r="DL58" s="251"/>
      <c r="DM58" s="251"/>
      <c r="DN58" s="251"/>
      <c r="DO58" s="251"/>
      <c r="DP58" s="251"/>
      <c r="DQ58" s="251"/>
      <c r="DR58" s="251"/>
      <c r="DS58" s="251"/>
      <c r="DT58" s="251"/>
      <c r="DU58" s="251"/>
      <c r="DV58" s="251"/>
      <c r="DW58" s="251"/>
      <c r="DX58" s="251"/>
      <c r="DY58" s="251"/>
      <c r="DZ58" s="251"/>
      <c r="EA58" s="251"/>
    </row>
    <row r="59" spans="1:131" ht="13.5" thickBot="1">
      <c r="A59" s="392" t="s">
        <v>885</v>
      </c>
      <c r="B59" s="393"/>
      <c r="C59" s="394"/>
      <c r="D59" s="394"/>
      <c r="E59" s="394"/>
      <c r="F59" s="394"/>
      <c r="G59" s="394"/>
      <c r="H59" s="394"/>
      <c r="I59" s="394"/>
      <c r="J59" s="394"/>
      <c r="K59" s="394"/>
      <c r="L59" s="240"/>
      <c r="M59" s="395"/>
      <c r="N59" s="396" t="s">
        <v>886</v>
      </c>
      <c r="O59" s="394"/>
      <c r="P59" s="394"/>
      <c r="Q59" s="394"/>
      <c r="R59" s="394"/>
      <c r="S59" s="394"/>
      <c r="T59" s="394"/>
      <c r="U59" s="394"/>
      <c r="V59" s="394"/>
      <c r="W59" s="394"/>
      <c r="X59" s="394"/>
      <c r="Y59" s="240"/>
      <c r="Z59" s="395"/>
      <c r="AA59" s="396" t="s">
        <v>887</v>
      </c>
      <c r="AB59" s="394"/>
      <c r="AC59" s="394"/>
      <c r="AD59" s="394"/>
      <c r="AE59" s="394"/>
      <c r="AF59" s="394"/>
      <c r="AG59" s="394"/>
      <c r="AH59" s="394"/>
      <c r="AI59" s="394"/>
      <c r="AJ59" s="394"/>
      <c r="AK59" s="394"/>
      <c r="AL59" s="240"/>
      <c r="AM59" s="253"/>
      <c r="AN59" s="253"/>
      <c r="AO59" s="253"/>
      <c r="AP59" s="253"/>
      <c r="AQ59" s="253"/>
      <c r="AR59" s="253"/>
      <c r="AS59" s="253"/>
      <c r="AT59" s="253"/>
      <c r="AU59" s="253"/>
      <c r="AV59" s="253"/>
      <c r="AW59" s="253"/>
      <c r="AX59" s="253"/>
      <c r="AY59" s="253"/>
      <c r="AZ59" s="253"/>
      <c r="BA59" s="253"/>
      <c r="BB59" s="253"/>
      <c r="BC59" s="253"/>
      <c r="BD59" s="253"/>
      <c r="BE59" s="253"/>
      <c r="BF59" s="253"/>
      <c r="BG59" s="253"/>
      <c r="BH59" s="253"/>
      <c r="BI59" s="253"/>
      <c r="BJ59" s="253"/>
      <c r="BK59" s="253"/>
      <c r="BL59" s="253"/>
      <c r="BM59" s="253"/>
      <c r="BN59" s="253"/>
      <c r="BO59" s="253"/>
      <c r="BP59" s="253"/>
      <c r="BQ59" s="253"/>
      <c r="BR59" s="253"/>
      <c r="BS59" s="253"/>
      <c r="BT59" s="253"/>
      <c r="BU59" s="253"/>
      <c r="BV59" s="253"/>
      <c r="BW59" s="253"/>
      <c r="BX59" s="253"/>
      <c r="BY59" s="253"/>
      <c r="BZ59" s="253"/>
      <c r="CA59" s="253"/>
      <c r="CB59" s="253"/>
      <c r="CC59" s="253"/>
      <c r="CD59" s="253"/>
      <c r="CE59" s="253"/>
      <c r="CF59" s="253"/>
      <c r="CG59" s="253"/>
      <c r="CH59" s="253"/>
      <c r="CI59" s="253"/>
      <c r="CJ59" s="253"/>
      <c r="CK59" s="253"/>
      <c r="CL59" s="253"/>
      <c r="CM59" s="253"/>
      <c r="CN59" s="253"/>
      <c r="CO59" s="253"/>
      <c r="CP59" s="253"/>
      <c r="CQ59" s="253"/>
      <c r="CR59" s="253"/>
      <c r="CS59" s="253"/>
      <c r="CT59" s="253"/>
      <c r="CU59" s="253"/>
      <c r="CV59" s="253"/>
      <c r="CW59" s="253"/>
      <c r="CX59" s="251"/>
      <c r="CY59" s="251"/>
      <c r="CZ59" s="251"/>
      <c r="DA59" s="251"/>
      <c r="DB59" s="251"/>
      <c r="DC59" s="251"/>
      <c r="DD59" s="251"/>
      <c r="DE59" s="251"/>
      <c r="DF59" s="251"/>
      <c r="DG59" s="251"/>
      <c r="DH59" s="251"/>
      <c r="DI59" s="251"/>
      <c r="DJ59" s="251"/>
      <c r="DK59" s="251"/>
      <c r="DL59" s="251"/>
      <c r="DM59" s="251"/>
      <c r="DN59" s="251"/>
      <c r="DO59" s="251"/>
      <c r="DP59" s="251"/>
      <c r="DQ59" s="251"/>
      <c r="DR59" s="251"/>
      <c r="DS59" s="251"/>
      <c r="DT59" s="251"/>
      <c r="DU59" s="251"/>
      <c r="DV59" s="251"/>
      <c r="DW59" s="251"/>
      <c r="DX59" s="251"/>
      <c r="DY59" s="251"/>
      <c r="DZ59" s="251"/>
      <c r="EA59" s="251"/>
    </row>
    <row r="60" spans="1:131" ht="102">
      <c r="A60" s="370"/>
      <c r="B60" s="371" t="s">
        <v>888</v>
      </c>
      <c r="C60" s="247" t="s">
        <v>889</v>
      </c>
      <c r="D60" s="247" t="s">
        <v>703</v>
      </c>
      <c r="E60" s="247" t="s">
        <v>704</v>
      </c>
      <c r="F60" s="247" t="s">
        <v>705</v>
      </c>
      <c r="G60" s="247" t="s">
        <v>706</v>
      </c>
      <c r="H60" s="247" t="s">
        <v>707</v>
      </c>
      <c r="I60" s="247" t="s">
        <v>708</v>
      </c>
      <c r="J60" s="247" t="s">
        <v>709</v>
      </c>
      <c r="K60" s="247" t="s">
        <v>710</v>
      </c>
      <c r="L60" s="247" t="s">
        <v>711</v>
      </c>
      <c r="M60" s="247" t="s">
        <v>712</v>
      </c>
      <c r="N60" s="247" t="s">
        <v>521</v>
      </c>
      <c r="O60" s="247" t="s">
        <v>522</v>
      </c>
      <c r="P60" s="247" t="s">
        <v>523</v>
      </c>
      <c r="Q60" s="247" t="s">
        <v>524</v>
      </c>
      <c r="R60" s="247" t="s">
        <v>525</v>
      </c>
      <c r="S60" s="247" t="s">
        <v>526</v>
      </c>
      <c r="T60" s="247" t="s">
        <v>527</v>
      </c>
      <c r="U60" s="247" t="s">
        <v>528</v>
      </c>
      <c r="V60" s="247" t="s">
        <v>529</v>
      </c>
      <c r="W60" s="247" t="s">
        <v>530</v>
      </c>
      <c r="X60" s="247" t="s">
        <v>531</v>
      </c>
      <c r="Y60" s="247" t="s">
        <v>532</v>
      </c>
      <c r="Z60" s="247"/>
      <c r="AA60" s="247" t="s">
        <v>521</v>
      </c>
      <c r="AB60" s="247" t="s">
        <v>522</v>
      </c>
      <c r="AC60" s="247" t="s">
        <v>523</v>
      </c>
      <c r="AD60" s="247" t="s">
        <v>524</v>
      </c>
      <c r="AE60" s="247" t="s">
        <v>525</v>
      </c>
      <c r="AF60" s="247" t="s">
        <v>526</v>
      </c>
      <c r="AG60" s="247" t="s">
        <v>527</v>
      </c>
      <c r="AH60" s="247" t="s">
        <v>528</v>
      </c>
      <c r="AI60" s="247" t="s">
        <v>529</v>
      </c>
      <c r="AJ60" s="247" t="s">
        <v>530</v>
      </c>
      <c r="AK60" s="247" t="s">
        <v>531</v>
      </c>
      <c r="AL60" s="247" t="s">
        <v>532</v>
      </c>
      <c r="AM60" s="253"/>
      <c r="AN60" s="253"/>
      <c r="AO60" s="253"/>
      <c r="AP60" s="253"/>
      <c r="AQ60" s="253"/>
      <c r="AR60" s="253"/>
      <c r="AS60" s="253"/>
      <c r="AT60" s="253"/>
      <c r="AU60" s="253"/>
      <c r="AV60" s="253"/>
      <c r="AW60" s="253"/>
      <c r="AX60" s="253"/>
      <c r="AY60" s="253"/>
      <c r="AZ60" s="253"/>
      <c r="BA60" s="253"/>
      <c r="BB60" s="253"/>
      <c r="BC60" s="253"/>
      <c r="BD60" s="253"/>
      <c r="BE60" s="253"/>
      <c r="BF60" s="253"/>
      <c r="BG60" s="253"/>
      <c r="BH60" s="253"/>
      <c r="BI60" s="253"/>
      <c r="BJ60" s="253"/>
      <c r="BK60" s="253"/>
      <c r="BL60" s="253"/>
      <c r="BM60" s="253"/>
      <c r="BN60" s="253"/>
      <c r="BO60" s="253"/>
      <c r="BP60" s="253"/>
      <c r="BQ60" s="253"/>
      <c r="BR60" s="253"/>
      <c r="BS60" s="253"/>
      <c r="BT60" s="253"/>
      <c r="BU60" s="253"/>
      <c r="BV60" s="253"/>
      <c r="BW60" s="253"/>
      <c r="BX60" s="253"/>
      <c r="BY60" s="253"/>
      <c r="BZ60" s="253"/>
      <c r="CA60" s="253"/>
      <c r="CB60" s="253"/>
      <c r="CC60" s="253"/>
      <c r="CD60" s="253"/>
      <c r="CE60" s="253"/>
      <c r="CF60" s="253"/>
      <c r="CG60" s="253"/>
      <c r="CH60" s="253"/>
      <c r="CI60" s="253"/>
      <c r="CJ60" s="253"/>
      <c r="CK60" s="253"/>
      <c r="CL60" s="253"/>
      <c r="CM60" s="253"/>
      <c r="CN60" s="253"/>
      <c r="CO60" s="253"/>
      <c r="CP60" s="253"/>
      <c r="CQ60" s="253"/>
      <c r="CR60" s="253"/>
      <c r="CS60" s="253"/>
      <c r="CT60" s="253"/>
      <c r="CU60" s="253"/>
      <c r="CV60" s="253"/>
      <c r="CW60" s="253"/>
      <c r="CX60" s="251"/>
      <c r="CY60" s="251"/>
      <c r="CZ60" s="251"/>
      <c r="DA60" s="251"/>
      <c r="DB60" s="251"/>
      <c r="DC60" s="251"/>
      <c r="DD60" s="251"/>
      <c r="DE60" s="251"/>
      <c r="DF60" s="251"/>
      <c r="DG60" s="251"/>
      <c r="DH60" s="251"/>
      <c r="DI60" s="251"/>
      <c r="DJ60" s="251"/>
      <c r="DK60" s="251"/>
      <c r="DL60" s="251"/>
      <c r="DM60" s="251"/>
      <c r="DN60" s="251"/>
      <c r="DO60" s="251"/>
      <c r="DP60" s="251"/>
      <c r="DQ60" s="251"/>
      <c r="DR60" s="251"/>
      <c r="DS60" s="251"/>
      <c r="DT60" s="251"/>
      <c r="DU60" s="251"/>
      <c r="DV60" s="251"/>
      <c r="DW60" s="251"/>
      <c r="DX60" s="251"/>
      <c r="DY60" s="251"/>
      <c r="DZ60" s="251"/>
      <c r="EA60" s="251"/>
    </row>
    <row r="61" spans="1:131">
      <c r="A61" s="251"/>
      <c r="B61" s="397" t="s">
        <v>890</v>
      </c>
      <c r="C61" s="402">
        <v>7.0911395724955879</v>
      </c>
      <c r="D61" s="402">
        <v>0.41594684770653584</v>
      </c>
      <c r="E61" s="402">
        <v>0</v>
      </c>
      <c r="F61" s="402">
        <v>0.41594684770653584</v>
      </c>
      <c r="G61" s="402">
        <v>0.67126417821423523</v>
      </c>
      <c r="H61" s="402">
        <v>4.3858661308610243</v>
      </c>
      <c r="I61" s="402">
        <v>513.83763479174149</v>
      </c>
      <c r="J61" s="402">
        <v>-2.1750924853698734</v>
      </c>
      <c r="K61" s="402">
        <v>-1.0829323588683966</v>
      </c>
      <c r="L61" s="401">
        <v>7.2850001677269649</v>
      </c>
      <c r="M61" s="253">
        <v>6.7366526433476889E-2</v>
      </c>
      <c r="N61" s="287">
        <v>0.40035062304674207</v>
      </c>
      <c r="O61" s="287">
        <v>0.36575873145823656</v>
      </c>
      <c r="P61" s="287">
        <v>0.42590143064163138</v>
      </c>
      <c r="Q61" s="287">
        <v>0.29107618613628605</v>
      </c>
      <c r="R61" s="287">
        <v>0.30269496275297553</v>
      </c>
      <c r="S61" s="287">
        <v>0.30289557465293998</v>
      </c>
      <c r="T61" s="287">
        <v>0.35541619313794609</v>
      </c>
      <c r="U61" s="287">
        <v>0.38267508857942484</v>
      </c>
      <c r="V61" s="287">
        <v>0.33936572106715601</v>
      </c>
      <c r="W61" s="287">
        <v>0.35898521392975441</v>
      </c>
      <c r="X61" s="287">
        <v>0.32191226364853137</v>
      </c>
      <c r="Y61" s="287">
        <v>0.39899994019567986</v>
      </c>
      <c r="Z61" s="287"/>
      <c r="AA61" s="287">
        <v>0.28735453945423362</v>
      </c>
      <c r="AB61" s="287">
        <v>0.25202196434241636</v>
      </c>
      <c r="AC61" s="287">
        <v>0.25375841586681519</v>
      </c>
      <c r="AD61" s="287">
        <v>0.19458048070576769</v>
      </c>
      <c r="AE61" s="287">
        <v>0.19909689322801463</v>
      </c>
      <c r="AF61" s="287">
        <v>0.1828986158269284</v>
      </c>
      <c r="AG61" s="287">
        <v>0.26639511760625023</v>
      </c>
      <c r="AH61" s="287">
        <v>0.23853674757898127</v>
      </c>
      <c r="AI61" s="287">
        <v>0.25945322146516303</v>
      </c>
      <c r="AJ61" s="287">
        <v>0.20068907757601417</v>
      </c>
      <c r="AK61" s="287">
        <v>0.22405569682600232</v>
      </c>
      <c r="AL61" s="287">
        <v>0.28626687277169854</v>
      </c>
      <c r="AM61" s="253"/>
      <c r="AN61" s="253"/>
      <c r="AO61" s="253"/>
      <c r="AP61" s="253"/>
      <c r="AQ61" s="253"/>
      <c r="AR61" s="253"/>
      <c r="AS61" s="253"/>
      <c r="AT61" s="253"/>
      <c r="AU61" s="253"/>
      <c r="AV61" s="253"/>
      <c r="AW61" s="253"/>
      <c r="AX61" s="253"/>
      <c r="AY61" s="253"/>
      <c r="AZ61" s="253"/>
      <c r="BA61" s="253"/>
      <c r="BB61" s="253"/>
      <c r="BC61" s="253"/>
      <c r="BD61" s="253"/>
      <c r="BE61" s="253"/>
      <c r="BF61" s="253"/>
      <c r="BG61" s="253"/>
      <c r="BH61" s="253"/>
      <c r="BI61" s="253"/>
      <c r="BJ61" s="253"/>
      <c r="BK61" s="253"/>
      <c r="BL61" s="253"/>
      <c r="BM61" s="253"/>
      <c r="BN61" s="253"/>
      <c r="BO61" s="253"/>
      <c r="BP61" s="253"/>
      <c r="BQ61" s="253"/>
      <c r="BR61" s="253"/>
      <c r="BS61" s="253"/>
      <c r="BT61" s="253"/>
      <c r="BU61" s="253"/>
      <c r="BV61" s="253"/>
      <c r="BW61" s="253"/>
      <c r="BX61" s="253"/>
      <c r="BY61" s="253"/>
      <c r="BZ61" s="253"/>
      <c r="CA61" s="253"/>
      <c r="CB61" s="253"/>
      <c r="CC61" s="253"/>
      <c r="CD61" s="253"/>
      <c r="CE61" s="253"/>
      <c r="CF61" s="253"/>
      <c r="CG61" s="253"/>
      <c r="CH61" s="253"/>
      <c r="CI61" s="253"/>
      <c r="CJ61" s="253"/>
      <c r="CK61" s="253"/>
      <c r="CL61" s="253"/>
      <c r="CM61" s="253"/>
      <c r="CN61" s="253"/>
      <c r="CO61" s="253"/>
      <c r="CP61" s="253"/>
      <c r="CQ61" s="253"/>
      <c r="CR61" s="253"/>
      <c r="CS61" s="253"/>
      <c r="CT61" s="253"/>
      <c r="CU61" s="253"/>
      <c r="CV61" s="253"/>
      <c r="CW61" s="253"/>
      <c r="CX61" s="251"/>
      <c r="CY61" s="251"/>
      <c r="CZ61" s="251"/>
      <c r="DA61" s="251"/>
      <c r="DB61" s="251"/>
      <c r="DC61" s="251"/>
      <c r="DD61" s="251"/>
      <c r="DE61" s="251"/>
      <c r="DF61" s="251"/>
      <c r="DG61" s="251"/>
      <c r="DH61" s="251"/>
      <c r="DI61" s="251"/>
      <c r="DJ61" s="251"/>
      <c r="DK61" s="251"/>
      <c r="DL61" s="251"/>
      <c r="DM61" s="251"/>
      <c r="DN61" s="251"/>
      <c r="DO61" s="251"/>
      <c r="DP61" s="251"/>
      <c r="DQ61" s="251"/>
      <c r="DR61" s="251"/>
      <c r="DS61" s="251"/>
      <c r="DT61" s="251"/>
      <c r="DU61" s="251"/>
      <c r="DV61" s="251"/>
      <c r="DW61" s="251"/>
      <c r="DX61" s="251"/>
      <c r="DY61" s="251"/>
      <c r="DZ61" s="251"/>
      <c r="EA61" s="251"/>
    </row>
    <row r="62" spans="1:131">
      <c r="A62" s="251"/>
      <c r="B62" s="397" t="s">
        <v>891</v>
      </c>
      <c r="C62" s="402">
        <v>7.0911395724955879</v>
      </c>
      <c r="D62" s="402">
        <v>0.41594684770653584</v>
      </c>
      <c r="E62" s="402">
        <v>8.3189369541307179E-2</v>
      </c>
      <c r="F62" s="402">
        <v>0.49913621724784302</v>
      </c>
      <c r="G62" s="402">
        <v>0.7544535477555423</v>
      </c>
      <c r="H62" s="402">
        <v>4.3858661308610243</v>
      </c>
      <c r="I62" s="402">
        <v>616.60516175008979</v>
      </c>
      <c r="J62" s="402">
        <v>-1.3118716508333654</v>
      </c>
      <c r="K62" s="402">
        <v>-0.21971152433189134</v>
      </c>
      <c r="L62" s="401">
        <v>6.5342484059925292</v>
      </c>
      <c r="M62" s="253">
        <v>6.7366526433476889E-2</v>
      </c>
      <c r="N62" s="287">
        <v>0.29995263792964172</v>
      </c>
      <c r="O62" s="287">
        <v>0.27403553293306226</v>
      </c>
      <c r="P62" s="287">
        <v>0.31909593807238928</v>
      </c>
      <c r="Q62" s="287">
        <v>0.21808151366329914</v>
      </c>
      <c r="R62" s="287">
        <v>0.22678658990164519</v>
      </c>
      <c r="S62" s="287">
        <v>0.22693689332352199</v>
      </c>
      <c r="T62" s="287">
        <v>0.26628664614864644</v>
      </c>
      <c r="U62" s="287">
        <v>0.28670968816240955</v>
      </c>
      <c r="V62" s="287">
        <v>0.25426123352155672</v>
      </c>
      <c r="W62" s="287">
        <v>0.26896064523769908</v>
      </c>
      <c r="X62" s="287">
        <v>0.24118466939916769</v>
      </c>
      <c r="Y62" s="287">
        <v>0.29894067276495867</v>
      </c>
      <c r="Z62" s="287"/>
      <c r="AA62" s="287">
        <v>0.21529316346359581</v>
      </c>
      <c r="AB62" s="287">
        <v>0.18882111996086987</v>
      </c>
      <c r="AC62" s="287">
        <v>0.19012211260430978</v>
      </c>
      <c r="AD62" s="287">
        <v>0.14578453265076724</v>
      </c>
      <c r="AE62" s="287">
        <v>0.14916834117269942</v>
      </c>
      <c r="AF62" s="287">
        <v>0.13703218911829226</v>
      </c>
      <c r="AG62" s="287">
        <v>0.19958984364623469</v>
      </c>
      <c r="AH62" s="287">
        <v>0.17871766037221545</v>
      </c>
      <c r="AI62" s="287">
        <v>0.19438880250907731</v>
      </c>
      <c r="AJ62" s="287">
        <v>0.15036124526166594</v>
      </c>
      <c r="AK62" s="287">
        <v>0.16786809720607565</v>
      </c>
      <c r="AL62" s="287">
        <v>0.21447825654992161</v>
      </c>
      <c r="AM62" s="253"/>
      <c r="AN62" s="253"/>
      <c r="AO62" s="253"/>
      <c r="AP62" s="253"/>
      <c r="AQ62" s="253"/>
      <c r="AR62" s="253"/>
      <c r="AS62" s="253"/>
      <c r="AT62" s="253"/>
      <c r="AU62" s="253"/>
      <c r="AV62" s="253"/>
      <c r="AW62" s="253"/>
      <c r="AX62" s="253"/>
      <c r="AY62" s="253"/>
      <c r="AZ62" s="253"/>
      <c r="BA62" s="253"/>
      <c r="BB62" s="253"/>
      <c r="BC62" s="253"/>
      <c r="BD62" s="253"/>
      <c r="BE62" s="253"/>
      <c r="BF62" s="253"/>
      <c r="BG62" s="253"/>
      <c r="BH62" s="253"/>
      <c r="BI62" s="253"/>
      <c r="BJ62" s="253"/>
      <c r="BK62" s="253"/>
      <c r="BL62" s="253"/>
      <c r="BM62" s="253"/>
      <c r="BN62" s="253"/>
      <c r="BO62" s="253"/>
      <c r="BP62" s="253"/>
      <c r="BQ62" s="253"/>
      <c r="BR62" s="253"/>
      <c r="BS62" s="253"/>
      <c r="BT62" s="253"/>
      <c r="BU62" s="253"/>
      <c r="BV62" s="253"/>
      <c r="BW62" s="253"/>
      <c r="BX62" s="253"/>
      <c r="BY62" s="253"/>
      <c r="BZ62" s="253"/>
      <c r="CA62" s="253"/>
      <c r="CB62" s="253"/>
      <c r="CC62" s="253"/>
      <c r="CD62" s="253"/>
      <c r="CE62" s="253"/>
      <c r="CF62" s="253"/>
      <c r="CG62" s="253"/>
      <c r="CH62" s="253"/>
      <c r="CI62" s="253"/>
      <c r="CJ62" s="253"/>
      <c r="CK62" s="253"/>
      <c r="CL62" s="253"/>
      <c r="CM62" s="253"/>
      <c r="CN62" s="253"/>
      <c r="CO62" s="253"/>
      <c r="CP62" s="253"/>
      <c r="CQ62" s="253"/>
      <c r="CR62" s="253"/>
      <c r="CS62" s="253"/>
      <c r="CT62" s="253"/>
      <c r="CU62" s="253"/>
      <c r="CV62" s="253"/>
      <c r="CW62" s="253"/>
      <c r="CX62" s="251"/>
      <c r="CY62" s="251"/>
      <c r="CZ62" s="251"/>
      <c r="DA62" s="251"/>
      <c r="DB62" s="251"/>
      <c r="DC62" s="251"/>
      <c r="DD62" s="251"/>
      <c r="DE62" s="251"/>
      <c r="DF62" s="251"/>
      <c r="DG62" s="251"/>
      <c r="DH62" s="251"/>
      <c r="DI62" s="251"/>
      <c r="DJ62" s="251"/>
      <c r="DK62" s="251"/>
      <c r="DL62" s="251"/>
      <c r="DM62" s="251"/>
      <c r="DN62" s="251"/>
      <c r="DO62" s="251"/>
      <c r="DP62" s="251"/>
      <c r="DQ62" s="251"/>
      <c r="DR62" s="251"/>
      <c r="DS62" s="251"/>
      <c r="DT62" s="251"/>
      <c r="DU62" s="251"/>
      <c r="DV62" s="251"/>
      <c r="DW62" s="251"/>
      <c r="DX62" s="251"/>
      <c r="DY62" s="251"/>
      <c r="DZ62" s="251"/>
      <c r="EA62" s="251"/>
    </row>
    <row r="63" spans="1:131">
      <c r="A63" s="251"/>
      <c r="B63" s="397" t="s">
        <v>892</v>
      </c>
      <c r="C63" s="398"/>
      <c r="D63" s="398"/>
      <c r="E63" s="398"/>
      <c r="F63" s="398"/>
      <c r="G63" s="398"/>
      <c r="H63" s="398"/>
      <c r="I63" s="398"/>
      <c r="J63" s="398"/>
      <c r="K63" s="398"/>
      <c r="L63" s="372"/>
      <c r="M63" s="399"/>
      <c r="N63" s="399"/>
      <c r="O63" s="399"/>
      <c r="P63" s="399"/>
      <c r="Q63" s="399"/>
      <c r="R63" s="399"/>
      <c r="S63" s="399"/>
      <c r="T63" s="399"/>
      <c r="U63" s="399"/>
      <c r="V63" s="399"/>
      <c r="W63" s="399"/>
      <c r="X63" s="399"/>
      <c r="Y63" s="399"/>
      <c r="Z63" s="399"/>
      <c r="AA63" s="399"/>
      <c r="AB63" s="399"/>
      <c r="AC63" s="399"/>
      <c r="AD63" s="399"/>
      <c r="AE63" s="399"/>
      <c r="AF63" s="399"/>
      <c r="AG63" s="399"/>
      <c r="AH63" s="399"/>
      <c r="AI63" s="399"/>
      <c r="AJ63" s="399"/>
      <c r="AK63" s="399"/>
      <c r="AL63" s="399"/>
      <c r="AM63" s="253"/>
      <c r="AN63" s="253"/>
      <c r="AO63" s="253"/>
      <c r="AP63" s="253"/>
      <c r="AQ63" s="253"/>
      <c r="AR63" s="253"/>
      <c r="AS63" s="253"/>
      <c r="AT63" s="253"/>
      <c r="AU63" s="253"/>
      <c r="AV63" s="253"/>
      <c r="AW63" s="253"/>
      <c r="AX63" s="253"/>
      <c r="AY63" s="253"/>
      <c r="AZ63" s="253"/>
      <c r="BA63" s="253"/>
      <c r="BB63" s="253"/>
      <c r="BC63" s="253"/>
      <c r="BD63" s="253"/>
      <c r="BE63" s="253"/>
      <c r="BF63" s="253"/>
      <c r="BG63" s="253"/>
      <c r="BH63" s="253"/>
      <c r="BI63" s="253"/>
      <c r="BJ63" s="253"/>
      <c r="BK63" s="253"/>
      <c r="BL63" s="253"/>
      <c r="BM63" s="253"/>
      <c r="BN63" s="253"/>
      <c r="BO63" s="253"/>
      <c r="BP63" s="253"/>
      <c r="BQ63" s="253"/>
      <c r="BR63" s="253"/>
      <c r="BS63" s="253"/>
      <c r="BT63" s="253"/>
      <c r="BU63" s="253"/>
      <c r="BV63" s="253"/>
      <c r="BW63" s="253"/>
      <c r="BX63" s="253"/>
      <c r="BY63" s="253"/>
      <c r="BZ63" s="253"/>
      <c r="CA63" s="253"/>
      <c r="CB63" s="253"/>
      <c r="CC63" s="253"/>
      <c r="CD63" s="253"/>
      <c r="CE63" s="253"/>
      <c r="CF63" s="253"/>
      <c r="CG63" s="253"/>
      <c r="CH63" s="253"/>
      <c r="CI63" s="253"/>
      <c r="CJ63" s="253"/>
      <c r="CK63" s="253"/>
      <c r="CL63" s="253"/>
      <c r="CM63" s="253"/>
      <c r="CN63" s="253"/>
      <c r="CO63" s="253"/>
      <c r="CP63" s="253"/>
      <c r="CQ63" s="253"/>
      <c r="CR63" s="253"/>
      <c r="CS63" s="253"/>
      <c r="CT63" s="253"/>
      <c r="CU63" s="253"/>
      <c r="CV63" s="253"/>
      <c r="CW63" s="253"/>
      <c r="CX63" s="251"/>
      <c r="CY63" s="251"/>
      <c r="CZ63" s="251"/>
      <c r="DA63" s="251"/>
      <c r="DB63" s="251"/>
      <c r="DC63" s="251"/>
      <c r="DD63" s="251"/>
      <c r="DE63" s="251"/>
      <c r="DF63" s="251"/>
      <c r="DG63" s="251"/>
      <c r="DH63" s="251"/>
      <c r="DI63" s="251"/>
      <c r="DJ63" s="251"/>
      <c r="DK63" s="251"/>
      <c r="DL63" s="251"/>
      <c r="DM63" s="251"/>
      <c r="DN63" s="251"/>
      <c r="DO63" s="251"/>
      <c r="DP63" s="251"/>
      <c r="DQ63" s="251"/>
      <c r="DR63" s="251"/>
      <c r="DS63" s="251"/>
      <c r="DT63" s="251"/>
      <c r="DU63" s="251"/>
      <c r="DV63" s="251"/>
      <c r="DW63" s="251"/>
      <c r="DX63" s="251"/>
      <c r="DY63" s="251"/>
      <c r="DZ63" s="251"/>
      <c r="EA63" s="251"/>
    </row>
    <row r="64" spans="1:131">
      <c r="A64" s="251"/>
      <c r="B64" s="251" t="s">
        <v>548</v>
      </c>
      <c r="C64" s="253">
        <v>4.4347105597087273</v>
      </c>
      <c r="D64" s="253">
        <v>0.16609903093306744</v>
      </c>
      <c r="E64" s="253">
        <v>3.3219806186613486E-2</v>
      </c>
      <c r="F64" s="253">
        <v>0.19931883711968093</v>
      </c>
      <c r="G64" s="253">
        <v>0.33964265406429683</v>
      </c>
      <c r="H64" s="253">
        <v>2.7428661705431892</v>
      </c>
      <c r="I64" s="253">
        <v>393.71972300331697</v>
      </c>
      <c r="J64" s="253">
        <v>-3.1103011962147207</v>
      </c>
      <c r="K64" s="253">
        <v>-2.4129262646443115</v>
      </c>
      <c r="L64" s="401">
        <v>8.0757411877482994</v>
      </c>
      <c r="M64" s="253">
        <v>4.2130188397955536E-2</v>
      </c>
      <c r="N64" s="287">
        <v>0.25037430408192124</v>
      </c>
      <c r="O64" s="287">
        <v>0.22874096499170543</v>
      </c>
      <c r="P64" s="287">
        <v>0.26635346160543677</v>
      </c>
      <c r="Q64" s="287">
        <v>0.18203542930463648</v>
      </c>
      <c r="R64" s="287">
        <v>0.18930166780215291</v>
      </c>
      <c r="S64" s="287">
        <v>0.189427127991179</v>
      </c>
      <c r="T64" s="287">
        <v>0.22227287006362287</v>
      </c>
      <c r="U64" s="287">
        <v>0.23932024449822009</v>
      </c>
      <c r="V64" s="287">
        <v>0.21223510430637763</v>
      </c>
      <c r="W64" s="287">
        <v>0.22450489131090487</v>
      </c>
      <c r="X64" s="287">
        <v>0.20131992894894754</v>
      </c>
      <c r="Y64" s="287">
        <v>0.2495296038132005</v>
      </c>
      <c r="Z64" s="287"/>
      <c r="AA64" s="287">
        <v>0.1797079577224357</v>
      </c>
      <c r="AB64" s="287">
        <v>0.1576114043619814</v>
      </c>
      <c r="AC64" s="287">
        <v>0.15869735956466033</v>
      </c>
      <c r="AD64" s="287">
        <v>0.12168821438038409</v>
      </c>
      <c r="AE64" s="287">
        <v>0.12451272264166491</v>
      </c>
      <c r="AF64" s="287">
        <v>0.11438252126778228</v>
      </c>
      <c r="AG64" s="287">
        <v>0.1666001957831329</v>
      </c>
      <c r="AH64" s="287">
        <v>0.14917791739287353</v>
      </c>
      <c r="AI64" s="287">
        <v>0.1622588202106244</v>
      </c>
      <c r="AJ64" s="287">
        <v>0.1255084549451812</v>
      </c>
      <c r="AK64" s="287">
        <v>0.1401216482229645</v>
      </c>
      <c r="AL64" s="287">
        <v>0.17902774449673775</v>
      </c>
      <c r="AM64" s="253"/>
      <c r="AN64" s="253"/>
      <c r="AO64" s="253"/>
      <c r="AP64" s="253"/>
      <c r="AQ64" s="253"/>
      <c r="AR64" s="253"/>
      <c r="AS64" s="253"/>
      <c r="AT64" s="253"/>
      <c r="AU64" s="253"/>
      <c r="AV64" s="253"/>
      <c r="AW64" s="253"/>
      <c r="AX64" s="253"/>
      <c r="AY64" s="253"/>
      <c r="AZ64" s="253"/>
      <c r="BA64" s="253"/>
      <c r="BB64" s="253"/>
      <c r="BC64" s="253"/>
      <c r="BD64" s="253"/>
      <c r="BE64" s="253"/>
      <c r="BF64" s="253"/>
      <c r="BG64" s="253"/>
      <c r="BH64" s="253"/>
      <c r="BI64" s="253"/>
      <c r="BJ64" s="253"/>
      <c r="BK64" s="253"/>
      <c r="BL64" s="253"/>
      <c r="BM64" s="253"/>
      <c r="BN64" s="253"/>
      <c r="BO64" s="253"/>
      <c r="BP64" s="253"/>
      <c r="BQ64" s="253"/>
      <c r="BR64" s="253"/>
      <c r="BS64" s="253"/>
      <c r="BT64" s="253"/>
      <c r="BU64" s="253"/>
      <c r="BV64" s="253"/>
      <c r="BW64" s="253"/>
      <c r="BX64" s="253"/>
      <c r="BY64" s="253"/>
      <c r="BZ64" s="253"/>
      <c r="CA64" s="253"/>
      <c r="CB64" s="253"/>
      <c r="CC64" s="253"/>
      <c r="CD64" s="253"/>
      <c r="CE64" s="253"/>
      <c r="CF64" s="253"/>
      <c r="CG64" s="253"/>
      <c r="CH64" s="253"/>
      <c r="CI64" s="253"/>
      <c r="CJ64" s="253"/>
      <c r="CK64" s="253"/>
      <c r="CL64" s="253"/>
      <c r="CM64" s="253"/>
      <c r="CN64" s="253"/>
      <c r="CO64" s="253"/>
      <c r="CP64" s="253"/>
      <c r="CQ64" s="253"/>
      <c r="CR64" s="253"/>
      <c r="CS64" s="253"/>
      <c r="CT64" s="253"/>
      <c r="CU64" s="253"/>
      <c r="CV64" s="253"/>
      <c r="CW64" s="253"/>
      <c r="CX64" s="251"/>
      <c r="CY64" s="251"/>
      <c r="CZ64" s="251"/>
      <c r="DA64" s="251"/>
      <c r="DB64" s="251"/>
      <c r="DC64" s="251"/>
      <c r="DD64" s="251"/>
      <c r="DE64" s="251"/>
      <c r="DF64" s="251"/>
      <c r="DG64" s="251"/>
      <c r="DH64" s="251"/>
      <c r="DI64" s="251"/>
      <c r="DJ64" s="251"/>
      <c r="DK64" s="251"/>
      <c r="DL64" s="251"/>
      <c r="DM64" s="251"/>
      <c r="DN64" s="251"/>
      <c r="DO64" s="251"/>
      <c r="DP64" s="251"/>
      <c r="DQ64" s="251"/>
      <c r="DR64" s="251"/>
      <c r="DS64" s="251"/>
      <c r="DT64" s="251"/>
      <c r="DU64" s="251"/>
      <c r="DV64" s="251"/>
      <c r="DW64" s="251"/>
      <c r="DX64" s="251"/>
      <c r="DY64" s="251"/>
      <c r="DZ64" s="251"/>
      <c r="EA64" s="251"/>
    </row>
    <row r="65" spans="1:131">
      <c r="A65" s="251"/>
      <c r="B65" s="251" t="s">
        <v>551</v>
      </c>
      <c r="C65" s="253">
        <v>2.6564290127868606</v>
      </c>
      <c r="D65" s="253">
        <v>0.2498478167734684</v>
      </c>
      <c r="E65" s="253">
        <v>4.9969563354693686E-2</v>
      </c>
      <c r="F65" s="253">
        <v>0.29981738012816206</v>
      </c>
      <c r="G65" s="253">
        <v>0.41481089369124546</v>
      </c>
      <c r="H65" s="253">
        <v>1.6429999603178349</v>
      </c>
      <c r="I65" s="253">
        <v>988.69581580399256</v>
      </c>
      <c r="J65" s="253">
        <v>1.6904726457408341</v>
      </c>
      <c r="K65" s="253">
        <v>3.4416972773919268</v>
      </c>
      <c r="L65" s="401">
        <v>3.9608409164412217</v>
      </c>
      <c r="M65" s="253">
        <v>2.5236338035521354E-2</v>
      </c>
      <c r="N65" s="287">
        <v>0.14997631896482086</v>
      </c>
      <c r="O65" s="287">
        <v>0.13701776646653113</v>
      </c>
      <c r="P65" s="287">
        <v>0.15954796903619464</v>
      </c>
      <c r="Q65" s="287">
        <v>0.10904075683164957</v>
      </c>
      <c r="R65" s="287">
        <v>0.11339329495082259</v>
      </c>
      <c r="S65" s="287">
        <v>0.11346844666176099</v>
      </c>
      <c r="T65" s="287">
        <v>0.13314332307432322</v>
      </c>
      <c r="U65" s="287">
        <v>0.14335484408120477</v>
      </c>
      <c r="V65" s="287">
        <v>0.12713061676077836</v>
      </c>
      <c r="W65" s="287">
        <v>0.13448032261884954</v>
      </c>
      <c r="X65" s="287">
        <v>0.12059233469958384</v>
      </c>
      <c r="Y65" s="287">
        <v>0.14947033638247934</v>
      </c>
      <c r="Z65" s="287"/>
      <c r="AA65" s="287">
        <v>0.10764658173179791</v>
      </c>
      <c r="AB65" s="287">
        <v>9.4410559980434933E-2</v>
      </c>
      <c r="AC65" s="287">
        <v>9.5061056302154889E-2</v>
      </c>
      <c r="AD65" s="287">
        <v>7.289226632538362E-2</v>
      </c>
      <c r="AE65" s="287">
        <v>7.458417058634971E-2</v>
      </c>
      <c r="AF65" s="287">
        <v>6.8516094559146132E-2</v>
      </c>
      <c r="AG65" s="287">
        <v>9.9794921823117347E-2</v>
      </c>
      <c r="AH65" s="287">
        <v>8.9358830186107727E-2</v>
      </c>
      <c r="AI65" s="287">
        <v>9.7194401254538654E-2</v>
      </c>
      <c r="AJ65" s="287">
        <v>7.5180622630832972E-2</v>
      </c>
      <c r="AK65" s="287">
        <v>8.3934048603037825E-2</v>
      </c>
      <c r="AL65" s="287">
        <v>0.10723912827496081</v>
      </c>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S65" s="253"/>
      <c r="CT65" s="253"/>
      <c r="CU65" s="253"/>
      <c r="CV65" s="253"/>
      <c r="CW65" s="253"/>
      <c r="CX65" s="251"/>
      <c r="CY65" s="251"/>
      <c r="CZ65" s="251"/>
      <c r="DA65" s="251"/>
      <c r="DB65" s="251"/>
      <c r="DC65" s="251"/>
      <c r="DD65" s="251"/>
      <c r="DE65" s="251"/>
      <c r="DF65" s="251"/>
      <c r="DG65" s="251"/>
      <c r="DH65" s="251"/>
      <c r="DI65" s="251"/>
      <c r="DJ65" s="251"/>
      <c r="DK65" s="251"/>
      <c r="DL65" s="251"/>
      <c r="DM65" s="251"/>
      <c r="DN65" s="251"/>
      <c r="DO65" s="251"/>
      <c r="DP65" s="251"/>
      <c r="DQ65" s="251"/>
      <c r="DR65" s="251"/>
      <c r="DS65" s="251"/>
      <c r="DT65" s="251"/>
      <c r="DU65" s="251"/>
      <c r="DV65" s="251"/>
      <c r="DW65" s="251"/>
      <c r="DX65" s="251"/>
      <c r="DY65" s="251"/>
      <c r="DZ65" s="251"/>
      <c r="EA65" s="251"/>
    </row>
    <row r="66" spans="1:131">
      <c r="A66" s="251"/>
      <c r="B66" s="251" t="s">
        <v>554</v>
      </c>
      <c r="C66" s="399">
        <v>0</v>
      </c>
      <c r="D66" s="399">
        <v>0</v>
      </c>
      <c r="E66" s="399">
        <v>0</v>
      </c>
      <c r="F66" s="399">
        <v>0</v>
      </c>
      <c r="G66" s="399">
        <v>0</v>
      </c>
      <c r="H66" s="399">
        <v>0</v>
      </c>
      <c r="I66" s="399">
        <v>0</v>
      </c>
      <c r="J66" s="399">
        <v>0</v>
      </c>
      <c r="K66" s="399">
        <v>0</v>
      </c>
      <c r="L66" s="400">
        <v>0</v>
      </c>
      <c r="M66" s="399">
        <v>0</v>
      </c>
      <c r="N66" s="399">
        <v>0</v>
      </c>
      <c r="O66" s="399">
        <v>0</v>
      </c>
      <c r="P66" s="399">
        <v>0</v>
      </c>
      <c r="Q66" s="399">
        <v>0</v>
      </c>
      <c r="R66" s="399">
        <v>0</v>
      </c>
      <c r="S66" s="399">
        <v>0</v>
      </c>
      <c r="T66" s="399">
        <v>0</v>
      </c>
      <c r="U66" s="399">
        <v>0</v>
      </c>
      <c r="V66" s="399">
        <v>0</v>
      </c>
      <c r="W66" s="399">
        <v>0</v>
      </c>
      <c r="X66" s="399">
        <v>0</v>
      </c>
      <c r="Y66" s="399">
        <v>0</v>
      </c>
      <c r="Z66" s="399"/>
      <c r="AA66" s="399">
        <v>0</v>
      </c>
      <c r="AB66" s="399">
        <v>0</v>
      </c>
      <c r="AC66" s="399">
        <v>0</v>
      </c>
      <c r="AD66" s="399">
        <v>0</v>
      </c>
      <c r="AE66" s="399">
        <v>0</v>
      </c>
      <c r="AF66" s="399">
        <v>0</v>
      </c>
      <c r="AG66" s="399">
        <v>0</v>
      </c>
      <c r="AH66" s="399">
        <v>0</v>
      </c>
      <c r="AI66" s="399">
        <v>0</v>
      </c>
      <c r="AJ66" s="399">
        <v>0</v>
      </c>
      <c r="AK66" s="399">
        <v>0</v>
      </c>
      <c r="AL66" s="399">
        <v>0</v>
      </c>
      <c r="AM66" s="253"/>
      <c r="AN66" s="253"/>
      <c r="AO66" s="253"/>
      <c r="AP66" s="253"/>
      <c r="AQ66" s="253"/>
      <c r="AR66" s="253"/>
      <c r="AS66" s="253"/>
      <c r="AT66" s="253"/>
      <c r="AU66" s="253"/>
      <c r="AV66" s="253"/>
      <c r="AW66" s="253"/>
      <c r="AX66" s="253"/>
      <c r="AY66" s="253"/>
      <c r="AZ66" s="253"/>
      <c r="BA66" s="253"/>
      <c r="BB66" s="253"/>
      <c r="BC66" s="253"/>
      <c r="BD66" s="253"/>
      <c r="BE66" s="253"/>
      <c r="BF66" s="253"/>
      <c r="BG66" s="253"/>
      <c r="BH66" s="253"/>
      <c r="BI66" s="253"/>
      <c r="BJ66" s="253"/>
      <c r="BK66" s="253"/>
      <c r="BL66" s="253"/>
      <c r="BM66" s="253"/>
      <c r="BN66" s="253"/>
      <c r="BO66" s="253"/>
      <c r="BP66" s="253"/>
      <c r="BQ66" s="253"/>
      <c r="BR66" s="253"/>
      <c r="BS66" s="253"/>
      <c r="BT66" s="253"/>
      <c r="BU66" s="253"/>
      <c r="BV66" s="253"/>
      <c r="BW66" s="253"/>
      <c r="BX66" s="253"/>
      <c r="BY66" s="253"/>
      <c r="BZ66" s="253"/>
      <c r="CA66" s="253"/>
      <c r="CB66" s="253"/>
      <c r="CC66" s="253"/>
      <c r="CD66" s="253"/>
      <c r="CE66" s="253"/>
      <c r="CF66" s="253"/>
      <c r="CG66" s="253"/>
      <c r="CH66" s="253"/>
      <c r="CI66" s="253"/>
      <c r="CJ66" s="253"/>
      <c r="CK66" s="253"/>
      <c r="CL66" s="253"/>
      <c r="CM66" s="253"/>
      <c r="CN66" s="253"/>
      <c r="CO66" s="253"/>
      <c r="CP66" s="253"/>
      <c r="CQ66" s="253"/>
      <c r="CR66" s="253"/>
      <c r="CS66" s="253"/>
      <c r="CT66" s="253"/>
      <c r="CU66" s="253"/>
      <c r="CV66" s="253"/>
      <c r="CW66" s="253"/>
      <c r="CX66" s="251"/>
      <c r="CY66" s="251"/>
      <c r="CZ66" s="251"/>
      <c r="DA66" s="251"/>
      <c r="DB66" s="251"/>
      <c r="DC66" s="251"/>
      <c r="DD66" s="251"/>
      <c r="DE66" s="251"/>
      <c r="DF66" s="251"/>
      <c r="DG66" s="251"/>
      <c r="DH66" s="251"/>
      <c r="DI66" s="251"/>
      <c r="DJ66" s="251"/>
      <c r="DK66" s="251"/>
      <c r="DL66" s="251"/>
      <c r="DM66" s="251"/>
      <c r="DN66" s="251"/>
      <c r="DO66" s="251"/>
      <c r="DP66" s="251"/>
      <c r="DQ66" s="251"/>
      <c r="DR66" s="251"/>
      <c r="DS66" s="251"/>
      <c r="DT66" s="251"/>
      <c r="DU66" s="251"/>
      <c r="DV66" s="251"/>
      <c r="DW66" s="251"/>
      <c r="DX66" s="251"/>
      <c r="DY66" s="251"/>
      <c r="DZ66" s="251"/>
      <c r="EA66" s="251"/>
    </row>
    <row r="67" spans="1:131">
      <c r="A67" s="251"/>
      <c r="B67" s="251" t="s">
        <v>557</v>
      </c>
      <c r="C67" s="399">
        <v>0</v>
      </c>
      <c r="D67" s="399">
        <v>0</v>
      </c>
      <c r="E67" s="399">
        <v>0</v>
      </c>
      <c r="F67" s="399">
        <v>0</v>
      </c>
      <c r="G67" s="399">
        <v>0</v>
      </c>
      <c r="H67" s="399">
        <v>0</v>
      </c>
      <c r="I67" s="399">
        <v>0</v>
      </c>
      <c r="J67" s="399">
        <v>0</v>
      </c>
      <c r="K67" s="399">
        <v>0</v>
      </c>
      <c r="L67" s="400">
        <v>0</v>
      </c>
      <c r="M67" s="399">
        <v>0</v>
      </c>
      <c r="N67" s="399">
        <v>0</v>
      </c>
      <c r="O67" s="399">
        <v>0</v>
      </c>
      <c r="P67" s="399">
        <v>0</v>
      </c>
      <c r="Q67" s="399">
        <v>0</v>
      </c>
      <c r="R67" s="399">
        <v>0</v>
      </c>
      <c r="S67" s="399">
        <v>0</v>
      </c>
      <c r="T67" s="399">
        <v>0</v>
      </c>
      <c r="U67" s="399">
        <v>0</v>
      </c>
      <c r="V67" s="399">
        <v>0</v>
      </c>
      <c r="W67" s="399">
        <v>0</v>
      </c>
      <c r="X67" s="399">
        <v>0</v>
      </c>
      <c r="Y67" s="399">
        <v>0</v>
      </c>
      <c r="Z67" s="399"/>
      <c r="AA67" s="399">
        <v>0</v>
      </c>
      <c r="AB67" s="399">
        <v>0</v>
      </c>
      <c r="AC67" s="399">
        <v>0</v>
      </c>
      <c r="AD67" s="399">
        <v>0</v>
      </c>
      <c r="AE67" s="399">
        <v>0</v>
      </c>
      <c r="AF67" s="399">
        <v>0</v>
      </c>
      <c r="AG67" s="399">
        <v>0</v>
      </c>
      <c r="AH67" s="399">
        <v>0</v>
      </c>
      <c r="AI67" s="399">
        <v>0</v>
      </c>
      <c r="AJ67" s="399">
        <v>0</v>
      </c>
      <c r="AK67" s="399">
        <v>0</v>
      </c>
      <c r="AL67" s="399">
        <v>0</v>
      </c>
      <c r="AM67" s="253"/>
      <c r="AN67" s="253"/>
      <c r="AO67" s="253"/>
      <c r="AP67" s="253"/>
      <c r="AQ67" s="253"/>
      <c r="AR67" s="253"/>
      <c r="AS67" s="253"/>
      <c r="AT67" s="253"/>
      <c r="AU67" s="253"/>
      <c r="AV67" s="253"/>
      <c r="AW67" s="253"/>
      <c r="AX67" s="253"/>
      <c r="AY67" s="253"/>
      <c r="AZ67" s="253"/>
      <c r="BA67" s="253"/>
      <c r="BB67" s="253"/>
      <c r="BC67" s="253"/>
      <c r="BD67" s="253"/>
      <c r="BE67" s="253"/>
      <c r="BF67" s="253"/>
      <c r="BG67" s="253"/>
      <c r="BH67" s="253"/>
      <c r="BI67" s="253"/>
      <c r="BJ67" s="253"/>
      <c r="BK67" s="253"/>
      <c r="BL67" s="253"/>
      <c r="BM67" s="253"/>
      <c r="BN67" s="253"/>
      <c r="BO67" s="253"/>
      <c r="BP67" s="253"/>
      <c r="BQ67" s="253"/>
      <c r="BR67" s="253"/>
      <c r="BS67" s="253"/>
      <c r="BT67" s="253"/>
      <c r="BU67" s="253"/>
      <c r="BV67" s="253"/>
      <c r="BW67" s="253"/>
      <c r="BX67" s="253"/>
      <c r="BY67" s="253"/>
      <c r="BZ67" s="253"/>
      <c r="CA67" s="253"/>
      <c r="CB67" s="253"/>
      <c r="CC67" s="253"/>
      <c r="CD67" s="253"/>
      <c r="CE67" s="253"/>
      <c r="CF67" s="253"/>
      <c r="CG67" s="253"/>
      <c r="CH67" s="253"/>
      <c r="CI67" s="253"/>
      <c r="CJ67" s="253"/>
      <c r="CK67" s="253"/>
      <c r="CL67" s="253"/>
      <c r="CM67" s="253"/>
      <c r="CN67" s="253"/>
      <c r="CO67" s="253"/>
      <c r="CP67" s="253"/>
      <c r="CQ67" s="253"/>
      <c r="CR67" s="253"/>
      <c r="CS67" s="253"/>
      <c r="CT67" s="253"/>
      <c r="CU67" s="253"/>
      <c r="CV67" s="253"/>
      <c r="CW67" s="253"/>
      <c r="CX67" s="251"/>
      <c r="CY67" s="251"/>
      <c r="CZ67" s="251"/>
      <c r="DA67" s="251"/>
      <c r="DB67" s="251"/>
      <c r="DC67" s="251"/>
      <c r="DD67" s="251"/>
      <c r="DE67" s="251"/>
      <c r="DF67" s="251"/>
      <c r="DG67" s="251"/>
      <c r="DH67" s="251"/>
      <c r="DI67" s="251"/>
      <c r="DJ67" s="251"/>
      <c r="DK67" s="251"/>
      <c r="DL67" s="251"/>
      <c r="DM67" s="251"/>
      <c r="DN67" s="251"/>
      <c r="DO67" s="251"/>
      <c r="DP67" s="251"/>
      <c r="DQ67" s="251"/>
      <c r="DR67" s="251"/>
      <c r="DS67" s="251"/>
      <c r="DT67" s="251"/>
      <c r="DU67" s="251"/>
      <c r="DV67" s="251"/>
      <c r="DW67" s="251"/>
      <c r="DX67" s="251"/>
      <c r="DY67" s="251"/>
      <c r="DZ67" s="251"/>
      <c r="EA67" s="251"/>
    </row>
    <row r="68" spans="1:131">
      <c r="A68" s="251"/>
      <c r="B68" s="251" t="s">
        <v>560</v>
      </c>
      <c r="C68" s="399">
        <v>0</v>
      </c>
      <c r="D68" s="399">
        <v>0</v>
      </c>
      <c r="E68" s="399">
        <v>0</v>
      </c>
      <c r="F68" s="399">
        <v>0</v>
      </c>
      <c r="G68" s="399">
        <v>0</v>
      </c>
      <c r="H68" s="399">
        <v>0</v>
      </c>
      <c r="I68" s="399">
        <v>0</v>
      </c>
      <c r="J68" s="399">
        <v>0</v>
      </c>
      <c r="K68" s="399">
        <v>0</v>
      </c>
      <c r="L68" s="400">
        <v>0</v>
      </c>
      <c r="M68" s="399">
        <v>0</v>
      </c>
      <c r="N68" s="399">
        <v>0</v>
      </c>
      <c r="O68" s="399">
        <v>0</v>
      </c>
      <c r="P68" s="399">
        <v>0</v>
      </c>
      <c r="Q68" s="399">
        <v>0</v>
      </c>
      <c r="R68" s="399">
        <v>0</v>
      </c>
      <c r="S68" s="399">
        <v>0</v>
      </c>
      <c r="T68" s="399">
        <v>0</v>
      </c>
      <c r="U68" s="399">
        <v>0</v>
      </c>
      <c r="V68" s="399">
        <v>0</v>
      </c>
      <c r="W68" s="399">
        <v>0</v>
      </c>
      <c r="X68" s="399">
        <v>0</v>
      </c>
      <c r="Y68" s="399">
        <v>0</v>
      </c>
      <c r="Z68" s="399"/>
      <c r="AA68" s="399">
        <v>0</v>
      </c>
      <c r="AB68" s="399">
        <v>0</v>
      </c>
      <c r="AC68" s="399">
        <v>0</v>
      </c>
      <c r="AD68" s="399">
        <v>0</v>
      </c>
      <c r="AE68" s="399">
        <v>0</v>
      </c>
      <c r="AF68" s="399">
        <v>0</v>
      </c>
      <c r="AG68" s="399">
        <v>0</v>
      </c>
      <c r="AH68" s="399">
        <v>0</v>
      </c>
      <c r="AI68" s="399">
        <v>0</v>
      </c>
      <c r="AJ68" s="399">
        <v>0</v>
      </c>
      <c r="AK68" s="399">
        <v>0</v>
      </c>
      <c r="AL68" s="399">
        <v>0</v>
      </c>
      <c r="AM68" s="253"/>
      <c r="AN68" s="253"/>
      <c r="AO68" s="253"/>
      <c r="AP68" s="253"/>
      <c r="AQ68" s="253"/>
      <c r="AR68" s="253"/>
      <c r="AS68" s="253"/>
      <c r="AT68" s="253"/>
      <c r="AU68" s="253"/>
      <c r="AV68" s="253"/>
      <c r="AW68" s="253"/>
      <c r="AX68" s="253"/>
      <c r="AY68" s="253"/>
      <c r="AZ68" s="253"/>
      <c r="BA68" s="253"/>
      <c r="BB68" s="253"/>
      <c r="BC68" s="253"/>
      <c r="BD68" s="253"/>
      <c r="BE68" s="253"/>
      <c r="BF68" s="253"/>
      <c r="BG68" s="253"/>
      <c r="BH68" s="253"/>
      <c r="BI68" s="253"/>
      <c r="BJ68" s="253"/>
      <c r="BK68" s="253"/>
      <c r="BL68" s="253"/>
      <c r="BM68" s="253"/>
      <c r="BN68" s="253"/>
      <c r="BO68" s="253"/>
      <c r="BP68" s="253"/>
      <c r="BQ68" s="253"/>
      <c r="BR68" s="253"/>
      <c r="BS68" s="253"/>
      <c r="BT68" s="253"/>
      <c r="BU68" s="253"/>
      <c r="BV68" s="253"/>
      <c r="BW68" s="253"/>
      <c r="BX68" s="253"/>
      <c r="BY68" s="253"/>
      <c r="BZ68" s="253"/>
      <c r="CA68" s="253"/>
      <c r="CB68" s="253"/>
      <c r="CC68" s="253"/>
      <c r="CD68" s="253"/>
      <c r="CE68" s="253"/>
      <c r="CF68" s="253"/>
      <c r="CG68" s="253"/>
      <c r="CH68" s="253"/>
      <c r="CI68" s="253"/>
      <c r="CJ68" s="253"/>
      <c r="CK68" s="253"/>
      <c r="CL68" s="253"/>
      <c r="CM68" s="253"/>
      <c r="CN68" s="253"/>
      <c r="CO68" s="253"/>
      <c r="CP68" s="253"/>
      <c r="CQ68" s="253"/>
      <c r="CR68" s="253"/>
      <c r="CS68" s="253"/>
      <c r="CT68" s="253"/>
      <c r="CU68" s="253"/>
      <c r="CV68" s="253"/>
      <c r="CW68" s="253"/>
      <c r="CX68" s="251"/>
      <c r="CY68" s="251"/>
      <c r="CZ68" s="251"/>
      <c r="DA68" s="251"/>
      <c r="DB68" s="251"/>
      <c r="DC68" s="251"/>
      <c r="DD68" s="251"/>
      <c r="DE68" s="251"/>
      <c r="DF68" s="251"/>
      <c r="DG68" s="251"/>
      <c r="DH68" s="251"/>
      <c r="DI68" s="251"/>
      <c r="DJ68" s="251"/>
      <c r="DK68" s="251"/>
      <c r="DL68" s="251"/>
      <c r="DM68" s="251"/>
      <c r="DN68" s="251"/>
      <c r="DO68" s="251"/>
      <c r="DP68" s="251"/>
      <c r="DQ68" s="251"/>
      <c r="DR68" s="251"/>
      <c r="DS68" s="251"/>
      <c r="DT68" s="251"/>
      <c r="DU68" s="251"/>
      <c r="DV68" s="251"/>
      <c r="DW68" s="251"/>
      <c r="DX68" s="251"/>
      <c r="DY68" s="251"/>
      <c r="DZ68" s="251"/>
      <c r="EA68" s="251"/>
    </row>
    <row r="69" spans="1:131">
      <c r="A69" s="251"/>
      <c r="B69" s="251" t="s">
        <v>563</v>
      </c>
      <c r="C69" s="399">
        <v>0</v>
      </c>
      <c r="D69" s="399">
        <v>0</v>
      </c>
      <c r="E69" s="399">
        <v>0</v>
      </c>
      <c r="F69" s="399">
        <v>0</v>
      </c>
      <c r="G69" s="399">
        <v>0</v>
      </c>
      <c r="H69" s="399">
        <v>0</v>
      </c>
      <c r="I69" s="399">
        <v>0</v>
      </c>
      <c r="J69" s="399">
        <v>0</v>
      </c>
      <c r="K69" s="399">
        <v>0</v>
      </c>
      <c r="L69" s="400">
        <v>0</v>
      </c>
      <c r="M69" s="399">
        <v>0</v>
      </c>
      <c r="N69" s="399">
        <v>0</v>
      </c>
      <c r="O69" s="399">
        <v>0</v>
      </c>
      <c r="P69" s="399">
        <v>0</v>
      </c>
      <c r="Q69" s="399">
        <v>0</v>
      </c>
      <c r="R69" s="399">
        <v>0</v>
      </c>
      <c r="S69" s="399">
        <v>0</v>
      </c>
      <c r="T69" s="399">
        <v>0</v>
      </c>
      <c r="U69" s="399">
        <v>0</v>
      </c>
      <c r="V69" s="399">
        <v>0</v>
      </c>
      <c r="W69" s="399">
        <v>0</v>
      </c>
      <c r="X69" s="399">
        <v>0</v>
      </c>
      <c r="Y69" s="399">
        <v>0</v>
      </c>
      <c r="Z69" s="399"/>
      <c r="AA69" s="399">
        <v>0</v>
      </c>
      <c r="AB69" s="399">
        <v>0</v>
      </c>
      <c r="AC69" s="399">
        <v>0</v>
      </c>
      <c r="AD69" s="399">
        <v>0</v>
      </c>
      <c r="AE69" s="399">
        <v>0</v>
      </c>
      <c r="AF69" s="399">
        <v>0</v>
      </c>
      <c r="AG69" s="399">
        <v>0</v>
      </c>
      <c r="AH69" s="399">
        <v>0</v>
      </c>
      <c r="AI69" s="399">
        <v>0</v>
      </c>
      <c r="AJ69" s="399">
        <v>0</v>
      </c>
      <c r="AK69" s="399">
        <v>0</v>
      </c>
      <c r="AL69" s="399">
        <v>0</v>
      </c>
      <c r="AM69" s="253"/>
      <c r="AN69" s="253"/>
      <c r="AO69" s="253"/>
      <c r="AP69" s="253"/>
      <c r="AQ69" s="253"/>
      <c r="AR69" s="253"/>
      <c r="AS69" s="253"/>
      <c r="AT69" s="253"/>
      <c r="AU69" s="253"/>
      <c r="AV69" s="253"/>
      <c r="AW69" s="253"/>
      <c r="AX69" s="253"/>
      <c r="AY69" s="253"/>
      <c r="AZ69" s="253"/>
      <c r="BA69" s="253"/>
      <c r="BB69" s="253"/>
      <c r="BC69" s="253"/>
      <c r="BD69" s="253"/>
      <c r="BE69" s="253"/>
      <c r="BF69" s="253"/>
      <c r="BG69" s="253"/>
      <c r="BH69" s="253"/>
      <c r="BI69" s="253"/>
      <c r="BJ69" s="253"/>
      <c r="BK69" s="253"/>
      <c r="BL69" s="253"/>
      <c r="BM69" s="253"/>
      <c r="BN69" s="253"/>
      <c r="BO69" s="253"/>
      <c r="BP69" s="253"/>
      <c r="BQ69" s="253"/>
      <c r="BR69" s="253"/>
      <c r="BS69" s="253"/>
      <c r="BT69" s="253"/>
      <c r="BU69" s="253"/>
      <c r="BV69" s="253"/>
      <c r="BW69" s="253"/>
      <c r="BX69" s="253"/>
      <c r="BY69" s="253"/>
      <c r="BZ69" s="253"/>
      <c r="CA69" s="253"/>
      <c r="CB69" s="253"/>
      <c r="CC69" s="253"/>
      <c r="CD69" s="253"/>
      <c r="CE69" s="253"/>
      <c r="CF69" s="253"/>
      <c r="CG69" s="253"/>
      <c r="CH69" s="253"/>
      <c r="CI69" s="253"/>
      <c r="CJ69" s="253"/>
      <c r="CK69" s="253"/>
      <c r="CL69" s="253"/>
      <c r="CM69" s="253"/>
      <c r="CN69" s="253"/>
      <c r="CO69" s="253"/>
      <c r="CP69" s="253"/>
      <c r="CQ69" s="253"/>
      <c r="CR69" s="253"/>
      <c r="CS69" s="253"/>
      <c r="CT69" s="253"/>
      <c r="CU69" s="253"/>
      <c r="CV69" s="253"/>
      <c r="CW69" s="253"/>
      <c r="CX69" s="251"/>
      <c r="CY69" s="251"/>
      <c r="CZ69" s="251"/>
      <c r="DA69" s="251"/>
      <c r="DB69" s="251"/>
      <c r="DC69" s="251"/>
      <c r="DD69" s="251"/>
      <c r="DE69" s="251"/>
      <c r="DF69" s="251"/>
      <c r="DG69" s="251"/>
      <c r="DH69" s="251"/>
      <c r="DI69" s="251"/>
      <c r="DJ69" s="251"/>
      <c r="DK69" s="251"/>
      <c r="DL69" s="251"/>
      <c r="DM69" s="251"/>
      <c r="DN69" s="251"/>
      <c r="DO69" s="251"/>
      <c r="DP69" s="251"/>
      <c r="DQ69" s="251"/>
      <c r="DR69" s="251"/>
      <c r="DS69" s="251"/>
      <c r="DT69" s="251"/>
      <c r="DU69" s="251"/>
      <c r="DV69" s="251"/>
      <c r="DW69" s="251"/>
      <c r="DX69" s="251"/>
      <c r="DY69" s="251"/>
      <c r="DZ69" s="251"/>
      <c r="EA69" s="251"/>
    </row>
    <row r="70" spans="1:131">
      <c r="A70" s="251"/>
      <c r="B70" s="251" t="s">
        <v>566</v>
      </c>
      <c r="C70" s="253">
        <v>2.9178889796356824</v>
      </c>
      <c r="D70" s="253">
        <v>1.8020164191833796</v>
      </c>
      <c r="E70" s="253">
        <v>0.36040328383667597</v>
      </c>
      <c r="F70" s="253">
        <v>2.1624197030200554</v>
      </c>
      <c r="G70" s="253">
        <v>2.6946009773235344</v>
      </c>
      <c r="H70" s="253">
        <v>1.8047128135841988</v>
      </c>
      <c r="I70" s="253">
        <v>6491.9524802553724</v>
      </c>
      <c r="J70" s="253">
        <v>48.403785422801711</v>
      </c>
      <c r="K70" s="253">
        <v>59.902637657436337</v>
      </c>
      <c r="L70" s="372">
        <v>0.66975141357543977</v>
      </c>
      <c r="M70" s="253">
        <v>2.7720233548780653E-2</v>
      </c>
      <c r="N70" s="287">
        <v>0.1647377913007641</v>
      </c>
      <c r="O70" s="287">
        <v>0.15050378868116396</v>
      </c>
      <c r="P70" s="287">
        <v>0.17525153442198169</v>
      </c>
      <c r="Q70" s="287">
        <v>0.11977313195974075</v>
      </c>
      <c r="R70" s="287">
        <v>0.12455407018554915</v>
      </c>
      <c r="S70" s="287">
        <v>0.12463661873026553</v>
      </c>
      <c r="T70" s="287">
        <v>0.14624800182522782</v>
      </c>
      <c r="U70" s="287">
        <v>0.15746459540550906</v>
      </c>
      <c r="V70" s="287">
        <v>0.13964349276226115</v>
      </c>
      <c r="W70" s="287">
        <v>0.14771659602366963</v>
      </c>
      <c r="X70" s="287">
        <v>0.13246167797245262</v>
      </c>
      <c r="Y70" s="287">
        <v>0.1641820072034684</v>
      </c>
      <c r="Z70" s="287"/>
      <c r="AA70" s="287">
        <v>0.11824173468168141</v>
      </c>
      <c r="AB70" s="287">
        <v>0.10370295279945727</v>
      </c>
      <c r="AC70" s="287">
        <v>0.10441747445213599</v>
      </c>
      <c r="AD70" s="287">
        <v>8.0066713466726974E-2</v>
      </c>
      <c r="AE70" s="287">
        <v>8.1925144004079242E-2</v>
      </c>
      <c r="AF70" s="287">
        <v>7.5259815443767558E-2</v>
      </c>
      <c r="AG70" s="287">
        <v>0.10961727236437253</v>
      </c>
      <c r="AH70" s="287">
        <v>9.8154004710119674E-2</v>
      </c>
      <c r="AI70" s="287">
        <v>0.1067607946373765</v>
      </c>
      <c r="AJ70" s="287">
        <v>8.2580302052384494E-2</v>
      </c>
      <c r="AK70" s="287">
        <v>9.219528707754715E-2</v>
      </c>
      <c r="AL70" s="287">
        <v>0.11779417747398017</v>
      </c>
      <c r="AM70" s="253"/>
      <c r="AN70" s="253"/>
      <c r="AO70" s="253"/>
      <c r="AP70" s="253"/>
      <c r="AQ70" s="253"/>
      <c r="AR70" s="253"/>
      <c r="AS70" s="253"/>
      <c r="AT70" s="253"/>
      <c r="AU70" s="253"/>
      <c r="AV70" s="253"/>
      <c r="AW70" s="253"/>
      <c r="AX70" s="253"/>
      <c r="AY70" s="253"/>
      <c r="AZ70" s="253"/>
      <c r="BA70" s="253"/>
      <c r="BB70" s="253"/>
      <c r="BC70" s="253"/>
      <c r="BD70" s="253"/>
      <c r="BE70" s="253"/>
      <c r="BF70" s="253"/>
      <c r="BG70" s="253"/>
      <c r="BH70" s="253"/>
      <c r="BI70" s="253"/>
      <c r="BJ70" s="253"/>
      <c r="BK70" s="253"/>
      <c r="BL70" s="253"/>
      <c r="BM70" s="253"/>
      <c r="BN70" s="253"/>
      <c r="BO70" s="253"/>
      <c r="BP70" s="253"/>
      <c r="BQ70" s="253"/>
      <c r="BR70" s="253"/>
      <c r="BS70" s="253"/>
      <c r="BT70" s="253"/>
      <c r="BU70" s="253"/>
      <c r="BV70" s="253"/>
      <c r="BW70" s="253"/>
      <c r="BX70" s="253"/>
      <c r="BY70" s="253"/>
      <c r="BZ70" s="253"/>
      <c r="CA70" s="253"/>
      <c r="CB70" s="253"/>
      <c r="CC70" s="253"/>
      <c r="CD70" s="253"/>
      <c r="CE70" s="253"/>
      <c r="CF70" s="253"/>
      <c r="CG70" s="253"/>
      <c r="CH70" s="253"/>
      <c r="CI70" s="253"/>
      <c r="CJ70" s="253"/>
      <c r="CK70" s="253"/>
      <c r="CL70" s="253"/>
      <c r="CM70" s="253"/>
      <c r="CN70" s="253"/>
      <c r="CO70" s="253"/>
      <c r="CP70" s="253"/>
      <c r="CQ70" s="253"/>
      <c r="CR70" s="253"/>
      <c r="CS70" s="253"/>
      <c r="CT70" s="253"/>
      <c r="CU70" s="253"/>
      <c r="CV70" s="253"/>
      <c r="CW70" s="253"/>
      <c r="CX70" s="251"/>
      <c r="CY70" s="251"/>
      <c r="CZ70" s="251"/>
      <c r="DA70" s="251"/>
      <c r="DB70" s="251"/>
      <c r="DC70" s="251"/>
      <c r="DD70" s="251"/>
      <c r="DE70" s="251"/>
      <c r="DF70" s="251"/>
      <c r="DG70" s="251"/>
      <c r="DH70" s="251"/>
      <c r="DI70" s="251"/>
      <c r="DJ70" s="251"/>
      <c r="DK70" s="251"/>
      <c r="DL70" s="251"/>
      <c r="DM70" s="251"/>
      <c r="DN70" s="251"/>
      <c r="DO70" s="251"/>
      <c r="DP70" s="251"/>
      <c r="DQ70" s="251"/>
      <c r="DR70" s="251"/>
      <c r="DS70" s="251"/>
      <c r="DT70" s="251"/>
      <c r="DU70" s="251"/>
      <c r="DV70" s="251"/>
      <c r="DW70" s="251"/>
      <c r="DX70" s="251"/>
      <c r="DY70" s="251"/>
      <c r="DZ70" s="251"/>
      <c r="EA70" s="251"/>
    </row>
    <row r="71" spans="1:131">
      <c r="A71" s="251"/>
      <c r="B71" s="251" t="s">
        <v>569</v>
      </c>
      <c r="C71" s="399">
        <v>0</v>
      </c>
      <c r="D71" s="399">
        <v>0</v>
      </c>
      <c r="E71" s="399">
        <v>0</v>
      </c>
      <c r="F71" s="399">
        <v>0</v>
      </c>
      <c r="G71" s="399">
        <v>0</v>
      </c>
      <c r="H71" s="399">
        <v>0</v>
      </c>
      <c r="I71" s="399">
        <v>0</v>
      </c>
      <c r="J71" s="399">
        <v>0</v>
      </c>
      <c r="K71" s="399">
        <v>0</v>
      </c>
      <c r="L71" s="400">
        <v>0</v>
      </c>
      <c r="M71" s="399">
        <v>0</v>
      </c>
      <c r="N71" s="399">
        <v>0</v>
      </c>
      <c r="O71" s="399">
        <v>0</v>
      </c>
      <c r="P71" s="399">
        <v>0</v>
      </c>
      <c r="Q71" s="399">
        <v>0</v>
      </c>
      <c r="R71" s="399">
        <v>0</v>
      </c>
      <c r="S71" s="399">
        <v>0</v>
      </c>
      <c r="T71" s="399">
        <v>0</v>
      </c>
      <c r="U71" s="399">
        <v>0</v>
      </c>
      <c r="V71" s="399">
        <v>0</v>
      </c>
      <c r="W71" s="399">
        <v>0</v>
      </c>
      <c r="X71" s="399">
        <v>0</v>
      </c>
      <c r="Y71" s="399">
        <v>0</v>
      </c>
      <c r="Z71" s="399"/>
      <c r="AA71" s="399">
        <v>0</v>
      </c>
      <c r="AB71" s="399">
        <v>0</v>
      </c>
      <c r="AC71" s="399">
        <v>0</v>
      </c>
      <c r="AD71" s="399">
        <v>0</v>
      </c>
      <c r="AE71" s="399">
        <v>0</v>
      </c>
      <c r="AF71" s="399">
        <v>0</v>
      </c>
      <c r="AG71" s="399">
        <v>0</v>
      </c>
      <c r="AH71" s="399">
        <v>0</v>
      </c>
      <c r="AI71" s="399">
        <v>0</v>
      </c>
      <c r="AJ71" s="399">
        <v>0</v>
      </c>
      <c r="AK71" s="399">
        <v>0</v>
      </c>
      <c r="AL71" s="399">
        <v>0</v>
      </c>
      <c r="AM71" s="253"/>
      <c r="AN71" s="253"/>
      <c r="AO71" s="253"/>
      <c r="AP71" s="253"/>
      <c r="AQ71" s="253"/>
      <c r="AR71" s="253"/>
      <c r="AS71" s="253"/>
      <c r="AT71" s="253"/>
      <c r="AU71" s="253"/>
      <c r="AV71" s="253"/>
      <c r="AW71" s="253"/>
      <c r="AX71" s="253"/>
      <c r="AY71" s="253"/>
      <c r="AZ71" s="253"/>
      <c r="BA71" s="253"/>
      <c r="BB71" s="253"/>
      <c r="BC71" s="253"/>
      <c r="BD71" s="253"/>
      <c r="BE71" s="253"/>
      <c r="BF71" s="253"/>
      <c r="BG71" s="253"/>
      <c r="BH71" s="253"/>
      <c r="BI71" s="253"/>
      <c r="BJ71" s="253"/>
      <c r="BK71" s="253"/>
      <c r="BL71" s="253"/>
      <c r="BM71" s="253"/>
      <c r="BN71" s="253"/>
      <c r="BO71" s="253"/>
      <c r="BP71" s="253"/>
      <c r="BQ71" s="253"/>
      <c r="BR71" s="253"/>
      <c r="BS71" s="253"/>
      <c r="BT71" s="253"/>
      <c r="BU71" s="253"/>
      <c r="BV71" s="253"/>
      <c r="BW71" s="253"/>
      <c r="BX71" s="253"/>
      <c r="BY71" s="253"/>
      <c r="BZ71" s="253"/>
      <c r="CA71" s="253"/>
      <c r="CB71" s="253"/>
      <c r="CC71" s="253"/>
      <c r="CD71" s="253"/>
      <c r="CE71" s="253"/>
      <c r="CF71" s="253"/>
      <c r="CG71" s="253"/>
      <c r="CH71" s="253"/>
      <c r="CI71" s="253"/>
      <c r="CJ71" s="253"/>
      <c r="CK71" s="253"/>
      <c r="CL71" s="253"/>
      <c r="CM71" s="253"/>
      <c r="CN71" s="253"/>
      <c r="CO71" s="253"/>
      <c r="CP71" s="253"/>
      <c r="CQ71" s="253"/>
      <c r="CR71" s="253"/>
      <c r="CS71" s="253"/>
      <c r="CT71" s="253"/>
      <c r="CU71" s="253"/>
      <c r="CV71" s="253"/>
      <c r="CW71" s="253"/>
      <c r="CX71" s="251"/>
      <c r="CY71" s="251"/>
      <c r="CZ71" s="251"/>
      <c r="DA71" s="251"/>
      <c r="DB71" s="251"/>
      <c r="DC71" s="251"/>
      <c r="DD71" s="251"/>
      <c r="DE71" s="251"/>
      <c r="DF71" s="251"/>
      <c r="DG71" s="251"/>
      <c r="DH71" s="251"/>
      <c r="DI71" s="251"/>
      <c r="DJ71" s="251"/>
      <c r="DK71" s="251"/>
      <c r="DL71" s="251"/>
      <c r="DM71" s="251"/>
      <c r="DN71" s="251"/>
      <c r="DO71" s="251"/>
      <c r="DP71" s="251"/>
      <c r="DQ71" s="251"/>
      <c r="DR71" s="251"/>
      <c r="DS71" s="251"/>
      <c r="DT71" s="251"/>
      <c r="DU71" s="251"/>
      <c r="DV71" s="251"/>
      <c r="DW71" s="251"/>
      <c r="DX71" s="251"/>
      <c r="DY71" s="251"/>
      <c r="DZ71" s="251"/>
      <c r="EA71" s="251"/>
    </row>
    <row r="72" spans="1:131">
      <c r="A72" s="251"/>
      <c r="B72" s="251" t="s">
        <v>572</v>
      </c>
      <c r="C72" s="399">
        <v>0</v>
      </c>
      <c r="D72" s="399">
        <v>0</v>
      </c>
      <c r="E72" s="399">
        <v>0</v>
      </c>
      <c r="F72" s="399">
        <v>0</v>
      </c>
      <c r="G72" s="399">
        <v>0</v>
      </c>
      <c r="H72" s="399">
        <v>0</v>
      </c>
      <c r="I72" s="399">
        <v>0</v>
      </c>
      <c r="J72" s="399">
        <v>0</v>
      </c>
      <c r="K72" s="399">
        <v>0</v>
      </c>
      <c r="L72" s="400">
        <v>0</v>
      </c>
      <c r="M72" s="399">
        <v>0</v>
      </c>
      <c r="N72" s="399">
        <v>0</v>
      </c>
      <c r="O72" s="399">
        <v>0</v>
      </c>
      <c r="P72" s="399">
        <v>0</v>
      </c>
      <c r="Q72" s="399">
        <v>0</v>
      </c>
      <c r="R72" s="399">
        <v>0</v>
      </c>
      <c r="S72" s="399">
        <v>0</v>
      </c>
      <c r="T72" s="399">
        <v>0</v>
      </c>
      <c r="U72" s="399">
        <v>0</v>
      </c>
      <c r="V72" s="399">
        <v>0</v>
      </c>
      <c r="W72" s="399">
        <v>0</v>
      </c>
      <c r="X72" s="399">
        <v>0</v>
      </c>
      <c r="Y72" s="399">
        <v>0</v>
      </c>
      <c r="Z72" s="399"/>
      <c r="AA72" s="399">
        <v>0</v>
      </c>
      <c r="AB72" s="399">
        <v>0</v>
      </c>
      <c r="AC72" s="399">
        <v>0</v>
      </c>
      <c r="AD72" s="399">
        <v>0</v>
      </c>
      <c r="AE72" s="399">
        <v>0</v>
      </c>
      <c r="AF72" s="399">
        <v>0</v>
      </c>
      <c r="AG72" s="399">
        <v>0</v>
      </c>
      <c r="AH72" s="399">
        <v>0</v>
      </c>
      <c r="AI72" s="399">
        <v>0</v>
      </c>
      <c r="AJ72" s="399">
        <v>0</v>
      </c>
      <c r="AK72" s="399">
        <v>0</v>
      </c>
      <c r="AL72" s="399">
        <v>0</v>
      </c>
      <c r="AM72" s="253"/>
      <c r="AN72" s="253"/>
      <c r="AO72" s="253"/>
      <c r="AP72" s="253"/>
      <c r="AQ72" s="253"/>
      <c r="AR72" s="253"/>
      <c r="AS72" s="253"/>
      <c r="AT72" s="253"/>
      <c r="AU72" s="253"/>
      <c r="AV72" s="253"/>
      <c r="AW72" s="253"/>
      <c r="AX72" s="253"/>
      <c r="AY72" s="253"/>
      <c r="AZ72" s="253"/>
      <c r="BA72" s="253"/>
      <c r="BB72" s="253"/>
      <c r="BC72" s="253"/>
      <c r="BD72" s="253"/>
      <c r="BE72" s="253"/>
      <c r="BF72" s="253"/>
      <c r="BG72" s="253"/>
      <c r="BH72" s="253"/>
      <c r="BI72" s="253"/>
      <c r="BJ72" s="253"/>
      <c r="BK72" s="253"/>
      <c r="BL72" s="253"/>
      <c r="BM72" s="253"/>
      <c r="BN72" s="253"/>
      <c r="BO72" s="253"/>
      <c r="BP72" s="253"/>
      <c r="BQ72" s="253"/>
      <c r="BR72" s="253"/>
      <c r="BS72" s="253"/>
      <c r="BT72" s="253"/>
      <c r="BU72" s="253"/>
      <c r="BV72" s="253"/>
      <c r="BW72" s="253"/>
      <c r="BX72" s="253"/>
      <c r="BY72" s="253"/>
      <c r="BZ72" s="253"/>
      <c r="CA72" s="253"/>
      <c r="CB72" s="253"/>
      <c r="CC72" s="253"/>
      <c r="CD72" s="253"/>
      <c r="CE72" s="253"/>
      <c r="CF72" s="253"/>
      <c r="CG72" s="253"/>
      <c r="CH72" s="253"/>
      <c r="CI72" s="253"/>
      <c r="CJ72" s="253"/>
      <c r="CK72" s="253"/>
      <c r="CL72" s="253"/>
      <c r="CM72" s="253"/>
      <c r="CN72" s="253"/>
      <c r="CO72" s="253"/>
      <c r="CP72" s="253"/>
      <c r="CQ72" s="253"/>
      <c r="CR72" s="253"/>
      <c r="CS72" s="253"/>
      <c r="CT72" s="253"/>
      <c r="CU72" s="253"/>
      <c r="CV72" s="253"/>
      <c r="CW72" s="253"/>
      <c r="CX72" s="251"/>
      <c r="CY72" s="251"/>
      <c r="CZ72" s="251"/>
      <c r="DA72" s="251"/>
      <c r="DB72" s="251"/>
      <c r="DC72" s="251"/>
      <c r="DD72" s="251"/>
      <c r="DE72" s="251"/>
      <c r="DF72" s="251"/>
      <c r="DG72" s="251"/>
      <c r="DH72" s="251"/>
      <c r="DI72" s="251"/>
      <c r="DJ72" s="251"/>
      <c r="DK72" s="251"/>
      <c r="DL72" s="251"/>
      <c r="DM72" s="251"/>
      <c r="DN72" s="251"/>
      <c r="DO72" s="251"/>
      <c r="DP72" s="251"/>
      <c r="DQ72" s="251"/>
      <c r="DR72" s="251"/>
      <c r="DS72" s="251"/>
      <c r="DT72" s="251"/>
      <c r="DU72" s="251"/>
      <c r="DV72" s="251"/>
      <c r="DW72" s="251"/>
      <c r="DX72" s="251"/>
      <c r="DY72" s="251"/>
      <c r="DZ72" s="251"/>
      <c r="EA72" s="251"/>
    </row>
    <row r="73" spans="1:131">
      <c r="A73" s="251"/>
      <c r="B73" s="251" t="s">
        <v>575</v>
      </c>
      <c r="C73" s="399">
        <v>0</v>
      </c>
      <c r="D73" s="399">
        <v>0</v>
      </c>
      <c r="E73" s="399">
        <v>0</v>
      </c>
      <c r="F73" s="399">
        <v>0</v>
      </c>
      <c r="G73" s="399">
        <v>0</v>
      </c>
      <c r="H73" s="399">
        <v>0</v>
      </c>
      <c r="I73" s="399">
        <v>0</v>
      </c>
      <c r="J73" s="399">
        <v>0</v>
      </c>
      <c r="K73" s="399">
        <v>0</v>
      </c>
      <c r="L73" s="400">
        <v>0</v>
      </c>
      <c r="M73" s="399">
        <v>0</v>
      </c>
      <c r="N73" s="399">
        <v>0</v>
      </c>
      <c r="O73" s="399">
        <v>0</v>
      </c>
      <c r="P73" s="399">
        <v>0</v>
      </c>
      <c r="Q73" s="399">
        <v>0</v>
      </c>
      <c r="R73" s="399">
        <v>0</v>
      </c>
      <c r="S73" s="399">
        <v>0</v>
      </c>
      <c r="T73" s="399">
        <v>0</v>
      </c>
      <c r="U73" s="399">
        <v>0</v>
      </c>
      <c r="V73" s="399">
        <v>0</v>
      </c>
      <c r="W73" s="399">
        <v>0</v>
      </c>
      <c r="X73" s="399">
        <v>0</v>
      </c>
      <c r="Y73" s="399">
        <v>0</v>
      </c>
      <c r="Z73" s="399"/>
      <c r="AA73" s="399">
        <v>0</v>
      </c>
      <c r="AB73" s="399">
        <v>0</v>
      </c>
      <c r="AC73" s="399">
        <v>0</v>
      </c>
      <c r="AD73" s="399">
        <v>0</v>
      </c>
      <c r="AE73" s="399">
        <v>0</v>
      </c>
      <c r="AF73" s="399">
        <v>0</v>
      </c>
      <c r="AG73" s="399">
        <v>0</v>
      </c>
      <c r="AH73" s="399">
        <v>0</v>
      </c>
      <c r="AI73" s="399">
        <v>0</v>
      </c>
      <c r="AJ73" s="399">
        <v>0</v>
      </c>
      <c r="AK73" s="399">
        <v>0</v>
      </c>
      <c r="AL73" s="399">
        <v>0</v>
      </c>
      <c r="AM73" s="253"/>
      <c r="AN73" s="253"/>
      <c r="AO73" s="253"/>
      <c r="AP73" s="253"/>
      <c r="AQ73" s="253"/>
      <c r="AR73" s="253"/>
      <c r="AS73" s="253"/>
      <c r="AT73" s="253"/>
      <c r="AU73" s="253"/>
      <c r="AV73" s="253"/>
      <c r="AW73" s="253"/>
      <c r="AX73" s="253"/>
      <c r="AY73" s="253"/>
      <c r="AZ73" s="253"/>
      <c r="BA73" s="253"/>
      <c r="BB73" s="253"/>
      <c r="BC73" s="253"/>
      <c r="BD73" s="253"/>
      <c r="BE73" s="253"/>
      <c r="BF73" s="253"/>
      <c r="BG73" s="253"/>
      <c r="BH73" s="253"/>
      <c r="BI73" s="253"/>
      <c r="BJ73" s="253"/>
      <c r="BK73" s="253"/>
      <c r="BL73" s="253"/>
      <c r="BM73" s="253"/>
      <c r="BN73" s="253"/>
      <c r="BO73" s="253"/>
      <c r="BP73" s="253"/>
      <c r="BQ73" s="253"/>
      <c r="BR73" s="253"/>
      <c r="BS73" s="253"/>
      <c r="BT73" s="253"/>
      <c r="BU73" s="253"/>
      <c r="BV73" s="253"/>
      <c r="BW73" s="253"/>
      <c r="BX73" s="253"/>
      <c r="BY73" s="253"/>
      <c r="BZ73" s="253"/>
      <c r="CA73" s="253"/>
      <c r="CB73" s="253"/>
      <c r="CC73" s="253"/>
      <c r="CD73" s="253"/>
      <c r="CE73" s="253"/>
      <c r="CF73" s="253"/>
      <c r="CG73" s="253"/>
      <c r="CH73" s="253"/>
      <c r="CI73" s="253"/>
      <c r="CJ73" s="253"/>
      <c r="CK73" s="253"/>
      <c r="CL73" s="253"/>
      <c r="CM73" s="253"/>
      <c r="CN73" s="253"/>
      <c r="CO73" s="253"/>
      <c r="CP73" s="253"/>
      <c r="CQ73" s="253"/>
      <c r="CR73" s="253"/>
      <c r="CS73" s="253"/>
      <c r="CT73" s="253"/>
      <c r="CU73" s="253"/>
      <c r="CV73" s="253"/>
      <c r="CW73" s="253"/>
      <c r="CX73" s="251"/>
      <c r="CY73" s="251"/>
      <c r="CZ73" s="251"/>
      <c r="DA73" s="251"/>
      <c r="DB73" s="251"/>
      <c r="DC73" s="251"/>
      <c r="DD73" s="251"/>
      <c r="DE73" s="251"/>
      <c r="DF73" s="251"/>
      <c r="DG73" s="251"/>
      <c r="DH73" s="251"/>
      <c r="DI73" s="251"/>
      <c r="DJ73" s="251"/>
      <c r="DK73" s="251"/>
      <c r="DL73" s="251"/>
      <c r="DM73" s="251"/>
      <c r="DN73" s="251"/>
      <c r="DO73" s="251"/>
      <c r="DP73" s="251"/>
      <c r="DQ73" s="251"/>
      <c r="DR73" s="251"/>
      <c r="DS73" s="251"/>
      <c r="DT73" s="251"/>
      <c r="DU73" s="251"/>
      <c r="DV73" s="251"/>
      <c r="DW73" s="251"/>
      <c r="DX73" s="251"/>
      <c r="DY73" s="251"/>
      <c r="DZ73" s="251"/>
      <c r="EA73" s="251"/>
    </row>
    <row r="74" spans="1:131">
      <c r="A74" s="251"/>
      <c r="B74" s="251" t="s">
        <v>578</v>
      </c>
      <c r="C74" s="253">
        <v>1.4954141897898539</v>
      </c>
      <c r="D74" s="253">
        <v>1.3898288793186622</v>
      </c>
      <c r="E74" s="253">
        <v>0.27796577586373244</v>
      </c>
      <c r="F74" s="253">
        <v>1.6677946551823946</v>
      </c>
      <c r="G74" s="253">
        <v>2.1292227914288273</v>
      </c>
      <c r="H74" s="253">
        <v>0.92491289722282211</v>
      </c>
      <c r="I74" s="253">
        <v>9769.7890518551649</v>
      </c>
      <c r="J74" s="253">
        <v>79.415190973379694</v>
      </c>
      <c r="K74" s="253">
        <v>96.719901846188563</v>
      </c>
      <c r="L74" s="372">
        <v>0.43438991022736234</v>
      </c>
      <c r="M74" s="253">
        <v>1.4206582526766003E-2</v>
      </c>
      <c r="N74" s="287">
        <v>8.4427897163023929E-2</v>
      </c>
      <c r="O74" s="287">
        <v>7.7132989905272925E-2</v>
      </c>
      <c r="P74" s="287">
        <v>8.9816176415936866E-2</v>
      </c>
      <c r="Q74" s="287">
        <v>6.1383569538869878E-2</v>
      </c>
      <c r="R74" s="287">
        <v>6.3833793969367322E-2</v>
      </c>
      <c r="S74" s="287">
        <v>6.387609998785429E-2</v>
      </c>
      <c r="T74" s="287">
        <v>7.495190484771784E-2</v>
      </c>
      <c r="U74" s="287">
        <v>8.0700394018526744E-2</v>
      </c>
      <c r="V74" s="287">
        <v>7.1567102808200486E-2</v>
      </c>
      <c r="W74" s="287">
        <v>7.5704557405344319E-2</v>
      </c>
      <c r="X74" s="287">
        <v>6.7886432357721849E-2</v>
      </c>
      <c r="Y74" s="287">
        <v>8.4143058558349082E-2</v>
      </c>
      <c r="Z74" s="287"/>
      <c r="AA74" s="287">
        <v>6.0598730487145085E-2</v>
      </c>
      <c r="AB74" s="287">
        <v>5.3147624265943959E-2</v>
      </c>
      <c r="AC74" s="287">
        <v>5.3513815654919035E-2</v>
      </c>
      <c r="AD74" s="287">
        <v>4.1034083299129276E-2</v>
      </c>
      <c r="AE74" s="287">
        <v>4.1986526457759098E-2</v>
      </c>
      <c r="AF74" s="287">
        <v>3.8570554507398547E-2</v>
      </c>
      <c r="AG74" s="287">
        <v>5.6178705113108449E-2</v>
      </c>
      <c r="AH74" s="287">
        <v>5.0303795810126978E-2</v>
      </c>
      <c r="AI74" s="287">
        <v>5.4714764107956886E-2</v>
      </c>
      <c r="AJ74" s="287">
        <v>4.2322294079086838E-2</v>
      </c>
      <c r="AK74" s="287">
        <v>4.7249961012816588E-2</v>
      </c>
      <c r="AL74" s="287">
        <v>6.0369358018277981E-2</v>
      </c>
      <c r="AM74" s="253"/>
      <c r="AN74" s="253"/>
      <c r="AO74" s="253"/>
      <c r="AP74" s="253"/>
      <c r="AQ74" s="253"/>
      <c r="AR74" s="253"/>
      <c r="AS74" s="253"/>
      <c r="AT74" s="253"/>
      <c r="AU74" s="253"/>
      <c r="AV74" s="253"/>
      <c r="AW74" s="253"/>
      <c r="AX74" s="253"/>
      <c r="AY74" s="253"/>
      <c r="AZ74" s="253"/>
      <c r="BA74" s="253"/>
      <c r="BB74" s="253"/>
      <c r="BC74" s="253"/>
      <c r="BD74" s="253"/>
      <c r="BE74" s="253"/>
      <c r="BF74" s="253"/>
      <c r="BG74" s="253"/>
      <c r="BH74" s="253"/>
      <c r="BI74" s="253"/>
      <c r="BJ74" s="253"/>
      <c r="BK74" s="253"/>
      <c r="BL74" s="253"/>
      <c r="BM74" s="253"/>
      <c r="BN74" s="253"/>
      <c r="BO74" s="253"/>
      <c r="BP74" s="253"/>
      <c r="BQ74" s="253"/>
      <c r="BR74" s="253"/>
      <c r="BS74" s="253"/>
      <c r="BT74" s="253"/>
      <c r="BU74" s="253"/>
      <c r="BV74" s="253"/>
      <c r="BW74" s="253"/>
      <c r="BX74" s="253"/>
      <c r="BY74" s="253"/>
      <c r="BZ74" s="253"/>
      <c r="CA74" s="253"/>
      <c r="CB74" s="253"/>
      <c r="CC74" s="253"/>
      <c r="CD74" s="253"/>
      <c r="CE74" s="253"/>
      <c r="CF74" s="253"/>
      <c r="CG74" s="253"/>
      <c r="CH74" s="253"/>
      <c r="CI74" s="253"/>
      <c r="CJ74" s="253"/>
      <c r="CK74" s="253"/>
      <c r="CL74" s="253"/>
      <c r="CM74" s="253"/>
      <c r="CN74" s="253"/>
      <c r="CO74" s="253"/>
      <c r="CP74" s="253"/>
      <c r="CQ74" s="253"/>
      <c r="CR74" s="253"/>
      <c r="CS74" s="253"/>
      <c r="CT74" s="253"/>
      <c r="CU74" s="253"/>
      <c r="CV74" s="253"/>
      <c r="CW74" s="253"/>
      <c r="CX74" s="251"/>
      <c r="CY74" s="251"/>
      <c r="CZ74" s="251"/>
      <c r="DA74" s="251"/>
      <c r="DB74" s="251"/>
      <c r="DC74" s="251"/>
      <c r="DD74" s="251"/>
      <c r="DE74" s="251"/>
      <c r="DF74" s="251"/>
      <c r="DG74" s="251"/>
      <c r="DH74" s="251"/>
      <c r="DI74" s="251"/>
      <c r="DJ74" s="251"/>
      <c r="DK74" s="251"/>
      <c r="DL74" s="251"/>
      <c r="DM74" s="251"/>
      <c r="DN74" s="251"/>
      <c r="DO74" s="251"/>
      <c r="DP74" s="251"/>
      <c r="DQ74" s="251"/>
      <c r="DR74" s="251"/>
      <c r="DS74" s="251"/>
      <c r="DT74" s="251"/>
      <c r="DU74" s="251"/>
      <c r="DV74" s="251"/>
      <c r="DW74" s="251"/>
      <c r="DX74" s="251"/>
      <c r="DY74" s="251"/>
      <c r="DZ74" s="251"/>
      <c r="EA74" s="251"/>
    </row>
    <row r="75" spans="1:131">
      <c r="A75" s="251"/>
      <c r="B75" s="251" t="s">
        <v>581</v>
      </c>
      <c r="C75" s="399">
        <v>0</v>
      </c>
      <c r="D75" s="399">
        <v>0</v>
      </c>
      <c r="E75" s="399">
        <v>0</v>
      </c>
      <c r="F75" s="399">
        <v>0</v>
      </c>
      <c r="G75" s="399">
        <v>0</v>
      </c>
      <c r="H75" s="399">
        <v>0</v>
      </c>
      <c r="I75" s="399">
        <v>0</v>
      </c>
      <c r="J75" s="399">
        <v>0</v>
      </c>
      <c r="K75" s="399">
        <v>0</v>
      </c>
      <c r="L75" s="400">
        <v>0</v>
      </c>
      <c r="M75" s="399">
        <v>0</v>
      </c>
      <c r="N75" s="399">
        <v>0</v>
      </c>
      <c r="O75" s="399">
        <v>0</v>
      </c>
      <c r="P75" s="399">
        <v>0</v>
      </c>
      <c r="Q75" s="399">
        <v>0</v>
      </c>
      <c r="R75" s="399">
        <v>0</v>
      </c>
      <c r="S75" s="399">
        <v>0</v>
      </c>
      <c r="T75" s="399">
        <v>0</v>
      </c>
      <c r="U75" s="399">
        <v>0</v>
      </c>
      <c r="V75" s="399">
        <v>0</v>
      </c>
      <c r="W75" s="399">
        <v>0</v>
      </c>
      <c r="X75" s="399">
        <v>0</v>
      </c>
      <c r="Y75" s="399">
        <v>0</v>
      </c>
      <c r="Z75" s="399"/>
      <c r="AA75" s="399">
        <v>0</v>
      </c>
      <c r="AB75" s="399">
        <v>0</v>
      </c>
      <c r="AC75" s="399">
        <v>0</v>
      </c>
      <c r="AD75" s="399">
        <v>0</v>
      </c>
      <c r="AE75" s="399">
        <v>0</v>
      </c>
      <c r="AF75" s="399">
        <v>0</v>
      </c>
      <c r="AG75" s="399">
        <v>0</v>
      </c>
      <c r="AH75" s="399">
        <v>0</v>
      </c>
      <c r="AI75" s="399">
        <v>0</v>
      </c>
      <c r="AJ75" s="399">
        <v>0</v>
      </c>
      <c r="AK75" s="399">
        <v>0</v>
      </c>
      <c r="AL75" s="399">
        <v>0</v>
      </c>
      <c r="AM75" s="253"/>
      <c r="AN75" s="253"/>
      <c r="AO75" s="253"/>
      <c r="AP75" s="253"/>
      <c r="AQ75" s="253"/>
      <c r="AR75" s="253"/>
      <c r="AS75" s="253"/>
      <c r="AT75" s="253"/>
      <c r="AU75" s="253"/>
      <c r="AV75" s="253"/>
      <c r="AW75" s="253"/>
      <c r="AX75" s="253"/>
      <c r="AY75" s="253"/>
      <c r="AZ75" s="253"/>
      <c r="BA75" s="253"/>
      <c r="BB75" s="253"/>
      <c r="BC75" s="253"/>
      <c r="BD75" s="253"/>
      <c r="BE75" s="253"/>
      <c r="BF75" s="253"/>
      <c r="BG75" s="253"/>
      <c r="BH75" s="253"/>
      <c r="BI75" s="253"/>
      <c r="BJ75" s="253"/>
      <c r="BK75" s="253"/>
      <c r="BL75" s="253"/>
      <c r="BM75" s="253"/>
      <c r="BN75" s="253"/>
      <c r="BO75" s="253"/>
      <c r="BP75" s="253"/>
      <c r="BQ75" s="253"/>
      <c r="BR75" s="253"/>
      <c r="BS75" s="253"/>
      <c r="BT75" s="253"/>
      <c r="BU75" s="253"/>
      <c r="BV75" s="253"/>
      <c r="BW75" s="253"/>
      <c r="BX75" s="253"/>
      <c r="BY75" s="253"/>
      <c r="BZ75" s="253"/>
      <c r="CA75" s="253"/>
      <c r="CB75" s="253"/>
      <c r="CC75" s="253"/>
      <c r="CD75" s="253"/>
      <c r="CE75" s="253"/>
      <c r="CF75" s="253"/>
      <c r="CG75" s="253"/>
      <c r="CH75" s="253"/>
      <c r="CI75" s="253"/>
      <c r="CJ75" s="253"/>
      <c r="CK75" s="253"/>
      <c r="CL75" s="253"/>
      <c r="CM75" s="253"/>
      <c r="CN75" s="253"/>
      <c r="CO75" s="253"/>
      <c r="CP75" s="253"/>
      <c r="CQ75" s="253"/>
      <c r="CR75" s="253"/>
      <c r="CS75" s="253"/>
      <c r="CT75" s="253"/>
      <c r="CU75" s="253"/>
      <c r="CV75" s="253"/>
      <c r="CW75" s="253"/>
      <c r="CX75" s="251"/>
      <c r="CY75" s="251"/>
      <c r="CZ75" s="251"/>
      <c r="DA75" s="251"/>
      <c r="DB75" s="251"/>
      <c r="DC75" s="251"/>
      <c r="DD75" s="251"/>
      <c r="DE75" s="251"/>
      <c r="DF75" s="251"/>
      <c r="DG75" s="251"/>
      <c r="DH75" s="251"/>
      <c r="DI75" s="251"/>
      <c r="DJ75" s="251"/>
      <c r="DK75" s="251"/>
      <c r="DL75" s="251"/>
      <c r="DM75" s="251"/>
      <c r="DN75" s="251"/>
      <c r="DO75" s="251"/>
      <c r="DP75" s="251"/>
      <c r="DQ75" s="251"/>
      <c r="DR75" s="251"/>
      <c r="DS75" s="251"/>
      <c r="DT75" s="251"/>
      <c r="DU75" s="251"/>
      <c r="DV75" s="251"/>
      <c r="DW75" s="251"/>
      <c r="DX75" s="251"/>
      <c r="DY75" s="251"/>
      <c r="DZ75" s="251"/>
      <c r="EA75" s="251"/>
    </row>
    <row r="76" spans="1:131">
      <c r="A76" s="251"/>
      <c r="B76" s="251" t="s">
        <v>584</v>
      </c>
      <c r="C76" s="399">
        <v>0</v>
      </c>
      <c r="D76" s="399">
        <v>0</v>
      </c>
      <c r="E76" s="399">
        <v>0</v>
      </c>
      <c r="F76" s="399">
        <v>0</v>
      </c>
      <c r="G76" s="399">
        <v>0</v>
      </c>
      <c r="H76" s="399">
        <v>0</v>
      </c>
      <c r="I76" s="399">
        <v>0</v>
      </c>
      <c r="J76" s="399">
        <v>0</v>
      </c>
      <c r="K76" s="399">
        <v>0</v>
      </c>
      <c r="L76" s="400">
        <v>0</v>
      </c>
      <c r="M76" s="399">
        <v>0</v>
      </c>
      <c r="N76" s="399">
        <v>0</v>
      </c>
      <c r="O76" s="399">
        <v>0</v>
      </c>
      <c r="P76" s="399">
        <v>0</v>
      </c>
      <c r="Q76" s="399">
        <v>0</v>
      </c>
      <c r="R76" s="399">
        <v>0</v>
      </c>
      <c r="S76" s="399">
        <v>0</v>
      </c>
      <c r="T76" s="399">
        <v>0</v>
      </c>
      <c r="U76" s="399">
        <v>0</v>
      </c>
      <c r="V76" s="399">
        <v>0</v>
      </c>
      <c r="W76" s="399">
        <v>0</v>
      </c>
      <c r="X76" s="399">
        <v>0</v>
      </c>
      <c r="Y76" s="399">
        <v>0</v>
      </c>
      <c r="Z76" s="399"/>
      <c r="AA76" s="399">
        <v>0</v>
      </c>
      <c r="AB76" s="399">
        <v>0</v>
      </c>
      <c r="AC76" s="399">
        <v>0</v>
      </c>
      <c r="AD76" s="399">
        <v>0</v>
      </c>
      <c r="AE76" s="399">
        <v>0</v>
      </c>
      <c r="AF76" s="399">
        <v>0</v>
      </c>
      <c r="AG76" s="399">
        <v>0</v>
      </c>
      <c r="AH76" s="399">
        <v>0</v>
      </c>
      <c r="AI76" s="399">
        <v>0</v>
      </c>
      <c r="AJ76" s="399">
        <v>0</v>
      </c>
      <c r="AK76" s="399">
        <v>0</v>
      </c>
      <c r="AL76" s="399">
        <v>0</v>
      </c>
      <c r="AM76" s="253"/>
      <c r="AN76" s="253"/>
      <c r="AO76" s="253"/>
      <c r="AP76" s="253"/>
      <c r="AQ76" s="253"/>
      <c r="AR76" s="253"/>
      <c r="AS76" s="253"/>
      <c r="AT76" s="253"/>
      <c r="AU76" s="253"/>
      <c r="AV76" s="253"/>
      <c r="AW76" s="253"/>
      <c r="AX76" s="253"/>
      <c r="AY76" s="253"/>
      <c r="AZ76" s="253"/>
      <c r="BA76" s="253"/>
      <c r="BB76" s="253"/>
      <c r="BC76" s="253"/>
      <c r="BD76" s="253"/>
      <c r="BE76" s="253"/>
      <c r="BF76" s="253"/>
      <c r="BG76" s="253"/>
      <c r="BH76" s="253"/>
      <c r="BI76" s="253"/>
      <c r="BJ76" s="253"/>
      <c r="BK76" s="253"/>
      <c r="BL76" s="253"/>
      <c r="BM76" s="253"/>
      <c r="BN76" s="253"/>
      <c r="BO76" s="253"/>
      <c r="BP76" s="253"/>
      <c r="BQ76" s="253"/>
      <c r="BR76" s="253"/>
      <c r="BS76" s="253"/>
      <c r="BT76" s="253"/>
      <c r="BU76" s="253"/>
      <c r="BV76" s="253"/>
      <c r="BW76" s="253"/>
      <c r="BX76" s="253"/>
      <c r="BY76" s="253"/>
      <c r="BZ76" s="253"/>
      <c r="CA76" s="253"/>
      <c r="CB76" s="253"/>
      <c r="CC76" s="253"/>
      <c r="CD76" s="253"/>
      <c r="CE76" s="253"/>
      <c r="CF76" s="253"/>
      <c r="CG76" s="253"/>
      <c r="CH76" s="253"/>
      <c r="CI76" s="253"/>
      <c r="CJ76" s="253"/>
      <c r="CK76" s="253"/>
      <c r="CL76" s="253"/>
      <c r="CM76" s="253"/>
      <c r="CN76" s="253"/>
      <c r="CO76" s="253"/>
      <c r="CP76" s="253"/>
      <c r="CQ76" s="253"/>
      <c r="CR76" s="253"/>
      <c r="CS76" s="253"/>
      <c r="CT76" s="253"/>
      <c r="CU76" s="253"/>
      <c r="CV76" s="253"/>
      <c r="CW76" s="253"/>
      <c r="CX76" s="251"/>
      <c r="CY76" s="251"/>
      <c r="CZ76" s="251"/>
      <c r="DA76" s="251"/>
      <c r="DB76" s="251"/>
      <c r="DC76" s="251"/>
      <c r="DD76" s="251"/>
      <c r="DE76" s="251"/>
      <c r="DF76" s="251"/>
      <c r="DG76" s="251"/>
      <c r="DH76" s="251"/>
      <c r="DI76" s="251"/>
      <c r="DJ76" s="251"/>
      <c r="DK76" s="251"/>
      <c r="DL76" s="251"/>
      <c r="DM76" s="251"/>
      <c r="DN76" s="251"/>
      <c r="DO76" s="251"/>
      <c r="DP76" s="251"/>
      <c r="DQ76" s="251"/>
      <c r="DR76" s="251"/>
      <c r="DS76" s="251"/>
      <c r="DT76" s="251"/>
      <c r="DU76" s="251"/>
      <c r="DV76" s="251"/>
      <c r="DW76" s="251"/>
      <c r="DX76" s="251"/>
      <c r="DY76" s="251"/>
      <c r="DZ76" s="251"/>
      <c r="EA76" s="251"/>
    </row>
    <row r="77" spans="1:131">
      <c r="A77" s="251"/>
      <c r="B77" s="251" t="s">
        <v>587</v>
      </c>
      <c r="C77" s="399">
        <v>0</v>
      </c>
      <c r="D77" s="399">
        <v>0</v>
      </c>
      <c r="E77" s="399">
        <v>0</v>
      </c>
      <c r="F77" s="399">
        <v>0</v>
      </c>
      <c r="G77" s="399">
        <v>0</v>
      </c>
      <c r="H77" s="399">
        <v>0</v>
      </c>
      <c r="I77" s="399">
        <v>0</v>
      </c>
      <c r="J77" s="399">
        <v>0</v>
      </c>
      <c r="K77" s="399">
        <v>0</v>
      </c>
      <c r="L77" s="400">
        <v>0</v>
      </c>
      <c r="M77" s="399">
        <v>0</v>
      </c>
      <c r="N77" s="399">
        <v>0</v>
      </c>
      <c r="O77" s="399">
        <v>0</v>
      </c>
      <c r="P77" s="399">
        <v>0</v>
      </c>
      <c r="Q77" s="399">
        <v>0</v>
      </c>
      <c r="R77" s="399">
        <v>0</v>
      </c>
      <c r="S77" s="399">
        <v>0</v>
      </c>
      <c r="T77" s="399">
        <v>0</v>
      </c>
      <c r="U77" s="399">
        <v>0</v>
      </c>
      <c r="V77" s="399">
        <v>0</v>
      </c>
      <c r="W77" s="399">
        <v>0</v>
      </c>
      <c r="X77" s="399">
        <v>0</v>
      </c>
      <c r="Y77" s="399">
        <v>0</v>
      </c>
      <c r="Z77" s="399"/>
      <c r="AA77" s="399">
        <v>0</v>
      </c>
      <c r="AB77" s="399">
        <v>0</v>
      </c>
      <c r="AC77" s="399">
        <v>0</v>
      </c>
      <c r="AD77" s="399">
        <v>0</v>
      </c>
      <c r="AE77" s="399">
        <v>0</v>
      </c>
      <c r="AF77" s="399">
        <v>0</v>
      </c>
      <c r="AG77" s="399">
        <v>0</v>
      </c>
      <c r="AH77" s="399">
        <v>0</v>
      </c>
      <c r="AI77" s="399">
        <v>0</v>
      </c>
      <c r="AJ77" s="399">
        <v>0</v>
      </c>
      <c r="AK77" s="399">
        <v>0</v>
      </c>
      <c r="AL77" s="399">
        <v>0</v>
      </c>
      <c r="AM77" s="253"/>
      <c r="AN77" s="253"/>
      <c r="AO77" s="253"/>
      <c r="AP77" s="253"/>
      <c r="AQ77" s="253"/>
      <c r="AR77" s="253"/>
      <c r="AS77" s="253"/>
      <c r="AT77" s="253"/>
      <c r="AU77" s="253"/>
      <c r="AV77" s="253"/>
      <c r="AW77" s="253"/>
      <c r="AX77" s="253"/>
      <c r="AY77" s="253"/>
      <c r="AZ77" s="253"/>
      <c r="BA77" s="253"/>
      <c r="BB77" s="253"/>
      <c r="BC77" s="253"/>
      <c r="BD77" s="253"/>
      <c r="BE77" s="253"/>
      <c r="BF77" s="253"/>
      <c r="BG77" s="253"/>
      <c r="BH77" s="253"/>
      <c r="BI77" s="253"/>
      <c r="BJ77" s="253"/>
      <c r="BK77" s="253"/>
      <c r="BL77" s="253"/>
      <c r="BM77" s="253"/>
      <c r="BN77" s="253"/>
      <c r="BO77" s="253"/>
      <c r="BP77" s="253"/>
      <c r="BQ77" s="253"/>
      <c r="BR77" s="253"/>
      <c r="BS77" s="253"/>
      <c r="BT77" s="253"/>
      <c r="BU77" s="253"/>
      <c r="BV77" s="253"/>
      <c r="BW77" s="253"/>
      <c r="BX77" s="253"/>
      <c r="BY77" s="253"/>
      <c r="BZ77" s="253"/>
      <c r="CA77" s="253"/>
      <c r="CB77" s="253"/>
      <c r="CC77" s="253"/>
      <c r="CD77" s="253"/>
      <c r="CE77" s="253"/>
      <c r="CF77" s="253"/>
      <c r="CG77" s="253"/>
      <c r="CH77" s="253"/>
      <c r="CI77" s="253"/>
      <c r="CJ77" s="253"/>
      <c r="CK77" s="253"/>
      <c r="CL77" s="253"/>
      <c r="CM77" s="253"/>
      <c r="CN77" s="253"/>
      <c r="CO77" s="253"/>
      <c r="CP77" s="253"/>
      <c r="CQ77" s="253"/>
      <c r="CR77" s="253"/>
      <c r="CS77" s="253"/>
      <c r="CT77" s="253"/>
      <c r="CU77" s="253"/>
      <c r="CV77" s="253"/>
      <c r="CW77" s="253"/>
      <c r="CX77" s="251"/>
      <c r="CY77" s="251"/>
      <c r="CZ77" s="251"/>
      <c r="DA77" s="251"/>
      <c r="DB77" s="251"/>
      <c r="DC77" s="251"/>
      <c r="DD77" s="251"/>
      <c r="DE77" s="251"/>
      <c r="DF77" s="251"/>
      <c r="DG77" s="251"/>
      <c r="DH77" s="251"/>
      <c r="DI77" s="251"/>
      <c r="DJ77" s="251"/>
      <c r="DK77" s="251"/>
      <c r="DL77" s="251"/>
      <c r="DM77" s="251"/>
      <c r="DN77" s="251"/>
      <c r="DO77" s="251"/>
      <c r="DP77" s="251"/>
      <c r="DQ77" s="251"/>
      <c r="DR77" s="251"/>
      <c r="DS77" s="251"/>
      <c r="DT77" s="251"/>
      <c r="DU77" s="251"/>
      <c r="DV77" s="251"/>
      <c r="DW77" s="251"/>
      <c r="DX77" s="251"/>
      <c r="DY77" s="251"/>
      <c r="DZ77" s="251"/>
      <c r="EA77" s="251"/>
    </row>
    <row r="78" spans="1:131">
      <c r="A78" s="251"/>
      <c r="B78" s="251" t="s">
        <v>590</v>
      </c>
      <c r="C78" s="399">
        <v>0</v>
      </c>
      <c r="D78" s="399">
        <v>0</v>
      </c>
      <c r="E78" s="399">
        <v>0</v>
      </c>
      <c r="F78" s="399">
        <v>0</v>
      </c>
      <c r="G78" s="399">
        <v>0</v>
      </c>
      <c r="H78" s="399">
        <v>0</v>
      </c>
      <c r="I78" s="399">
        <v>0</v>
      </c>
      <c r="J78" s="399">
        <v>0</v>
      </c>
      <c r="K78" s="399">
        <v>0</v>
      </c>
      <c r="L78" s="400">
        <v>0</v>
      </c>
      <c r="M78" s="399">
        <v>0</v>
      </c>
      <c r="N78" s="399">
        <v>0</v>
      </c>
      <c r="O78" s="399">
        <v>0</v>
      </c>
      <c r="P78" s="399">
        <v>0</v>
      </c>
      <c r="Q78" s="399">
        <v>0</v>
      </c>
      <c r="R78" s="399">
        <v>0</v>
      </c>
      <c r="S78" s="399">
        <v>0</v>
      </c>
      <c r="T78" s="399">
        <v>0</v>
      </c>
      <c r="U78" s="399">
        <v>0</v>
      </c>
      <c r="V78" s="399">
        <v>0</v>
      </c>
      <c r="W78" s="399">
        <v>0</v>
      </c>
      <c r="X78" s="399">
        <v>0</v>
      </c>
      <c r="Y78" s="399">
        <v>0</v>
      </c>
      <c r="Z78" s="399"/>
      <c r="AA78" s="399">
        <v>0</v>
      </c>
      <c r="AB78" s="399">
        <v>0</v>
      </c>
      <c r="AC78" s="399">
        <v>0</v>
      </c>
      <c r="AD78" s="399">
        <v>0</v>
      </c>
      <c r="AE78" s="399">
        <v>0</v>
      </c>
      <c r="AF78" s="399">
        <v>0</v>
      </c>
      <c r="AG78" s="399">
        <v>0</v>
      </c>
      <c r="AH78" s="399">
        <v>0</v>
      </c>
      <c r="AI78" s="399">
        <v>0</v>
      </c>
      <c r="AJ78" s="399">
        <v>0</v>
      </c>
      <c r="AK78" s="399">
        <v>0</v>
      </c>
      <c r="AL78" s="399">
        <v>0</v>
      </c>
      <c r="AM78" s="253"/>
      <c r="AN78" s="253"/>
      <c r="AO78" s="253"/>
      <c r="AP78" s="253"/>
      <c r="AQ78" s="253"/>
      <c r="AR78" s="253"/>
      <c r="AS78" s="253"/>
      <c r="AT78" s="253"/>
      <c r="AU78" s="253"/>
      <c r="AV78" s="253"/>
      <c r="AW78" s="253"/>
      <c r="AX78" s="253"/>
      <c r="AY78" s="253"/>
      <c r="AZ78" s="253"/>
      <c r="BA78" s="253"/>
      <c r="BB78" s="253"/>
      <c r="BC78" s="253"/>
      <c r="BD78" s="253"/>
      <c r="BE78" s="253"/>
      <c r="BF78" s="253"/>
      <c r="BG78" s="253"/>
      <c r="BH78" s="253"/>
      <c r="BI78" s="253"/>
      <c r="BJ78" s="253"/>
      <c r="BK78" s="253"/>
      <c r="BL78" s="253"/>
      <c r="BM78" s="253"/>
      <c r="BN78" s="253"/>
      <c r="BO78" s="253"/>
      <c r="BP78" s="253"/>
      <c r="BQ78" s="253"/>
      <c r="BR78" s="253"/>
      <c r="BS78" s="253"/>
      <c r="BT78" s="253"/>
      <c r="BU78" s="253"/>
      <c r="BV78" s="253"/>
      <c r="BW78" s="253"/>
      <c r="BX78" s="253"/>
      <c r="BY78" s="253"/>
      <c r="BZ78" s="253"/>
      <c r="CA78" s="253"/>
      <c r="CB78" s="253"/>
      <c r="CC78" s="253"/>
      <c r="CD78" s="253"/>
      <c r="CE78" s="253"/>
      <c r="CF78" s="253"/>
      <c r="CG78" s="253"/>
      <c r="CH78" s="253"/>
      <c r="CI78" s="253"/>
      <c r="CJ78" s="253"/>
      <c r="CK78" s="253"/>
      <c r="CL78" s="253"/>
      <c r="CM78" s="253"/>
      <c r="CN78" s="253"/>
      <c r="CO78" s="253"/>
      <c r="CP78" s="253"/>
      <c r="CQ78" s="253"/>
      <c r="CR78" s="253"/>
      <c r="CS78" s="253"/>
      <c r="CT78" s="253"/>
      <c r="CU78" s="253"/>
      <c r="CV78" s="253"/>
      <c r="CW78" s="253"/>
      <c r="CX78" s="251"/>
      <c r="CY78" s="251"/>
      <c r="CZ78" s="251"/>
      <c r="DA78" s="251"/>
      <c r="DB78" s="251"/>
      <c r="DC78" s="251"/>
      <c r="DD78" s="251"/>
      <c r="DE78" s="251"/>
      <c r="DF78" s="251"/>
      <c r="DG78" s="251"/>
      <c r="DH78" s="251"/>
      <c r="DI78" s="251"/>
      <c r="DJ78" s="251"/>
      <c r="DK78" s="251"/>
      <c r="DL78" s="251"/>
      <c r="DM78" s="251"/>
      <c r="DN78" s="251"/>
      <c r="DO78" s="251"/>
      <c r="DP78" s="251"/>
      <c r="DQ78" s="251"/>
      <c r="DR78" s="251"/>
      <c r="DS78" s="251"/>
      <c r="DT78" s="251"/>
      <c r="DU78" s="251"/>
      <c r="DV78" s="251"/>
      <c r="DW78" s="251"/>
      <c r="DX78" s="251"/>
      <c r="DY78" s="251"/>
      <c r="DZ78" s="251"/>
      <c r="EA78" s="251"/>
    </row>
    <row r="79" spans="1:131">
      <c r="A79" s="251"/>
      <c r="B79" s="251" t="s">
        <v>593</v>
      </c>
      <c r="C79" s="399">
        <v>0</v>
      </c>
      <c r="D79" s="399">
        <v>0</v>
      </c>
      <c r="E79" s="399">
        <v>0</v>
      </c>
      <c r="F79" s="399">
        <v>0</v>
      </c>
      <c r="G79" s="399">
        <v>0</v>
      </c>
      <c r="H79" s="399">
        <v>0</v>
      </c>
      <c r="I79" s="399">
        <v>0</v>
      </c>
      <c r="J79" s="399">
        <v>0</v>
      </c>
      <c r="K79" s="399">
        <v>0</v>
      </c>
      <c r="L79" s="400">
        <v>0</v>
      </c>
      <c r="M79" s="399">
        <v>0</v>
      </c>
      <c r="N79" s="399">
        <v>0</v>
      </c>
      <c r="O79" s="399">
        <v>0</v>
      </c>
      <c r="P79" s="399">
        <v>0</v>
      </c>
      <c r="Q79" s="399">
        <v>0</v>
      </c>
      <c r="R79" s="399">
        <v>0</v>
      </c>
      <c r="S79" s="399">
        <v>0</v>
      </c>
      <c r="T79" s="399">
        <v>0</v>
      </c>
      <c r="U79" s="399">
        <v>0</v>
      </c>
      <c r="V79" s="399">
        <v>0</v>
      </c>
      <c r="W79" s="399">
        <v>0</v>
      </c>
      <c r="X79" s="399">
        <v>0</v>
      </c>
      <c r="Y79" s="399">
        <v>0</v>
      </c>
      <c r="Z79" s="399"/>
      <c r="AA79" s="399">
        <v>0</v>
      </c>
      <c r="AB79" s="399">
        <v>0</v>
      </c>
      <c r="AC79" s="399">
        <v>0</v>
      </c>
      <c r="AD79" s="399">
        <v>0</v>
      </c>
      <c r="AE79" s="399">
        <v>0</v>
      </c>
      <c r="AF79" s="399">
        <v>0</v>
      </c>
      <c r="AG79" s="399">
        <v>0</v>
      </c>
      <c r="AH79" s="399">
        <v>0</v>
      </c>
      <c r="AI79" s="399">
        <v>0</v>
      </c>
      <c r="AJ79" s="399">
        <v>0</v>
      </c>
      <c r="AK79" s="399">
        <v>0</v>
      </c>
      <c r="AL79" s="399">
        <v>0</v>
      </c>
      <c r="AM79" s="253"/>
      <c r="AN79" s="253"/>
      <c r="AO79" s="253"/>
      <c r="AP79" s="253"/>
      <c r="AQ79" s="253"/>
      <c r="AR79" s="253"/>
      <c r="AS79" s="253"/>
      <c r="AT79" s="253"/>
      <c r="AU79" s="253"/>
      <c r="AV79" s="253"/>
      <c r="AW79" s="253"/>
      <c r="AX79" s="253"/>
      <c r="AY79" s="253"/>
      <c r="AZ79" s="253"/>
      <c r="BA79" s="253"/>
      <c r="BB79" s="253"/>
      <c r="BC79" s="253"/>
      <c r="BD79" s="253"/>
      <c r="BE79" s="253"/>
      <c r="BF79" s="253"/>
      <c r="BG79" s="253"/>
      <c r="BH79" s="253"/>
      <c r="BI79" s="253"/>
      <c r="BJ79" s="253"/>
      <c r="BK79" s="253"/>
      <c r="BL79" s="253"/>
      <c r="BM79" s="253"/>
      <c r="BN79" s="253"/>
      <c r="BO79" s="253"/>
      <c r="BP79" s="253"/>
      <c r="BQ79" s="253"/>
      <c r="BR79" s="253"/>
      <c r="BS79" s="253"/>
      <c r="BT79" s="253"/>
      <c r="BU79" s="253"/>
      <c r="BV79" s="253"/>
      <c r="BW79" s="253"/>
      <c r="BX79" s="253"/>
      <c r="BY79" s="253"/>
      <c r="BZ79" s="253"/>
      <c r="CA79" s="253"/>
      <c r="CB79" s="253"/>
      <c r="CC79" s="253"/>
      <c r="CD79" s="253"/>
      <c r="CE79" s="253"/>
      <c r="CF79" s="253"/>
      <c r="CG79" s="253"/>
      <c r="CH79" s="253"/>
      <c r="CI79" s="253"/>
      <c r="CJ79" s="253"/>
      <c r="CK79" s="253"/>
      <c r="CL79" s="253"/>
      <c r="CM79" s="253"/>
      <c r="CN79" s="253"/>
      <c r="CO79" s="253"/>
      <c r="CP79" s="253"/>
      <c r="CQ79" s="253"/>
      <c r="CR79" s="253"/>
      <c r="CS79" s="253"/>
      <c r="CT79" s="253"/>
      <c r="CU79" s="253"/>
      <c r="CV79" s="253"/>
      <c r="CW79" s="253"/>
      <c r="CX79" s="251"/>
      <c r="CY79" s="251"/>
      <c r="CZ79" s="251"/>
      <c r="DA79" s="251"/>
      <c r="DB79" s="251"/>
      <c r="DC79" s="251"/>
      <c r="DD79" s="251"/>
      <c r="DE79" s="251"/>
      <c r="DF79" s="251"/>
      <c r="DG79" s="251"/>
      <c r="DH79" s="251"/>
      <c r="DI79" s="251"/>
      <c r="DJ79" s="251"/>
      <c r="DK79" s="251"/>
      <c r="DL79" s="251"/>
      <c r="DM79" s="251"/>
      <c r="DN79" s="251"/>
      <c r="DO79" s="251"/>
      <c r="DP79" s="251"/>
      <c r="DQ79" s="251"/>
      <c r="DR79" s="251"/>
      <c r="DS79" s="251"/>
      <c r="DT79" s="251"/>
      <c r="DU79" s="251"/>
      <c r="DV79" s="251"/>
      <c r="DW79" s="251"/>
      <c r="DX79" s="251"/>
      <c r="DY79" s="251"/>
      <c r="DZ79" s="251"/>
      <c r="EA79" s="251"/>
    </row>
    <row r="80" spans="1:131">
      <c r="A80" s="251"/>
      <c r="B80" s="251" t="s">
        <v>596</v>
      </c>
      <c r="C80" s="399">
        <v>0</v>
      </c>
      <c r="D80" s="399">
        <v>0</v>
      </c>
      <c r="E80" s="399">
        <v>0</v>
      </c>
      <c r="F80" s="399">
        <v>0</v>
      </c>
      <c r="G80" s="399">
        <v>0</v>
      </c>
      <c r="H80" s="399">
        <v>0</v>
      </c>
      <c r="I80" s="399">
        <v>0</v>
      </c>
      <c r="J80" s="399">
        <v>0</v>
      </c>
      <c r="K80" s="399">
        <v>0</v>
      </c>
      <c r="L80" s="400">
        <v>0</v>
      </c>
      <c r="M80" s="399">
        <v>0</v>
      </c>
      <c r="N80" s="399">
        <v>0</v>
      </c>
      <c r="O80" s="399">
        <v>0</v>
      </c>
      <c r="P80" s="399">
        <v>0</v>
      </c>
      <c r="Q80" s="399">
        <v>0</v>
      </c>
      <c r="R80" s="399">
        <v>0</v>
      </c>
      <c r="S80" s="399">
        <v>0</v>
      </c>
      <c r="T80" s="399">
        <v>0</v>
      </c>
      <c r="U80" s="399">
        <v>0</v>
      </c>
      <c r="V80" s="399">
        <v>0</v>
      </c>
      <c r="W80" s="399">
        <v>0</v>
      </c>
      <c r="X80" s="399">
        <v>0</v>
      </c>
      <c r="Y80" s="399">
        <v>0</v>
      </c>
      <c r="Z80" s="399"/>
      <c r="AA80" s="399">
        <v>0</v>
      </c>
      <c r="AB80" s="399">
        <v>0</v>
      </c>
      <c r="AC80" s="399">
        <v>0</v>
      </c>
      <c r="AD80" s="399">
        <v>0</v>
      </c>
      <c r="AE80" s="399">
        <v>0</v>
      </c>
      <c r="AF80" s="399">
        <v>0</v>
      </c>
      <c r="AG80" s="399">
        <v>0</v>
      </c>
      <c r="AH80" s="399">
        <v>0</v>
      </c>
      <c r="AI80" s="399">
        <v>0</v>
      </c>
      <c r="AJ80" s="399">
        <v>0</v>
      </c>
      <c r="AK80" s="399">
        <v>0</v>
      </c>
      <c r="AL80" s="399">
        <v>0</v>
      </c>
      <c r="AM80" s="253"/>
      <c r="AN80" s="253"/>
      <c r="AO80" s="253"/>
      <c r="AP80" s="253"/>
      <c r="AQ80" s="253"/>
      <c r="AR80" s="253"/>
      <c r="AS80" s="253"/>
      <c r="AT80" s="253"/>
      <c r="AU80" s="253"/>
      <c r="AV80" s="253"/>
      <c r="AW80" s="253"/>
      <c r="AX80" s="253"/>
      <c r="AY80" s="253"/>
      <c r="AZ80" s="253"/>
      <c r="BA80" s="253"/>
      <c r="BB80" s="253"/>
      <c r="BC80" s="253"/>
      <c r="BD80" s="253"/>
      <c r="BE80" s="253"/>
      <c r="BF80" s="253"/>
      <c r="BG80" s="253"/>
      <c r="BH80" s="253"/>
      <c r="BI80" s="253"/>
      <c r="BJ80" s="253"/>
      <c r="BK80" s="253"/>
      <c r="BL80" s="253"/>
      <c r="BM80" s="253"/>
      <c r="BN80" s="253"/>
      <c r="BO80" s="253"/>
      <c r="BP80" s="253"/>
      <c r="BQ80" s="253"/>
      <c r="BR80" s="253"/>
      <c r="BS80" s="253"/>
      <c r="BT80" s="253"/>
      <c r="BU80" s="253"/>
      <c r="BV80" s="253"/>
      <c r="BW80" s="253"/>
      <c r="BX80" s="253"/>
      <c r="BY80" s="253"/>
      <c r="BZ80" s="253"/>
      <c r="CA80" s="253"/>
      <c r="CB80" s="253"/>
      <c r="CC80" s="253"/>
      <c r="CD80" s="253"/>
      <c r="CE80" s="253"/>
      <c r="CF80" s="253"/>
      <c r="CG80" s="253"/>
      <c r="CH80" s="253"/>
      <c r="CI80" s="253"/>
      <c r="CJ80" s="253"/>
      <c r="CK80" s="253"/>
      <c r="CL80" s="253"/>
      <c r="CM80" s="253"/>
      <c r="CN80" s="253"/>
      <c r="CO80" s="253"/>
      <c r="CP80" s="253"/>
      <c r="CQ80" s="253"/>
      <c r="CR80" s="253"/>
      <c r="CS80" s="253"/>
      <c r="CT80" s="253"/>
      <c r="CU80" s="253"/>
      <c r="CV80" s="253"/>
      <c r="CW80" s="253"/>
      <c r="CX80" s="251"/>
      <c r="CY80" s="251"/>
      <c r="CZ80" s="251"/>
      <c r="DA80" s="251"/>
      <c r="DB80" s="251"/>
      <c r="DC80" s="251"/>
      <c r="DD80" s="251"/>
      <c r="DE80" s="251"/>
      <c r="DF80" s="251"/>
      <c r="DG80" s="251"/>
      <c r="DH80" s="251"/>
      <c r="DI80" s="251"/>
      <c r="DJ80" s="251"/>
      <c r="DK80" s="251"/>
      <c r="DL80" s="251"/>
      <c r="DM80" s="251"/>
      <c r="DN80" s="251"/>
      <c r="DO80" s="251"/>
      <c r="DP80" s="251"/>
      <c r="DQ80" s="251"/>
      <c r="DR80" s="251"/>
      <c r="DS80" s="251"/>
      <c r="DT80" s="251"/>
      <c r="DU80" s="251"/>
      <c r="DV80" s="251"/>
      <c r="DW80" s="251"/>
      <c r="DX80" s="251"/>
      <c r="DY80" s="251"/>
      <c r="DZ80" s="251"/>
      <c r="EA80" s="251"/>
    </row>
    <row r="81" spans="1:131">
      <c r="A81" s="251"/>
      <c r="B81" s="251" t="s">
        <v>599</v>
      </c>
      <c r="C81" s="399">
        <v>0</v>
      </c>
      <c r="D81" s="399">
        <v>0</v>
      </c>
      <c r="E81" s="399">
        <v>0</v>
      </c>
      <c r="F81" s="399">
        <v>0</v>
      </c>
      <c r="G81" s="399">
        <v>0</v>
      </c>
      <c r="H81" s="399">
        <v>0</v>
      </c>
      <c r="I81" s="399">
        <v>0</v>
      </c>
      <c r="J81" s="399">
        <v>0</v>
      </c>
      <c r="K81" s="399">
        <v>0</v>
      </c>
      <c r="L81" s="400">
        <v>0</v>
      </c>
      <c r="M81" s="399">
        <v>0</v>
      </c>
      <c r="N81" s="399">
        <v>0</v>
      </c>
      <c r="O81" s="399">
        <v>0</v>
      </c>
      <c r="P81" s="399">
        <v>0</v>
      </c>
      <c r="Q81" s="399">
        <v>0</v>
      </c>
      <c r="R81" s="399">
        <v>0</v>
      </c>
      <c r="S81" s="399">
        <v>0</v>
      </c>
      <c r="T81" s="399">
        <v>0</v>
      </c>
      <c r="U81" s="399">
        <v>0</v>
      </c>
      <c r="V81" s="399">
        <v>0</v>
      </c>
      <c r="W81" s="399">
        <v>0</v>
      </c>
      <c r="X81" s="399">
        <v>0</v>
      </c>
      <c r="Y81" s="399">
        <v>0</v>
      </c>
      <c r="Z81" s="399"/>
      <c r="AA81" s="399">
        <v>0</v>
      </c>
      <c r="AB81" s="399">
        <v>0</v>
      </c>
      <c r="AC81" s="399">
        <v>0</v>
      </c>
      <c r="AD81" s="399">
        <v>0</v>
      </c>
      <c r="AE81" s="399">
        <v>0</v>
      </c>
      <c r="AF81" s="399">
        <v>0</v>
      </c>
      <c r="AG81" s="399">
        <v>0</v>
      </c>
      <c r="AH81" s="399">
        <v>0</v>
      </c>
      <c r="AI81" s="399">
        <v>0</v>
      </c>
      <c r="AJ81" s="399">
        <v>0</v>
      </c>
      <c r="AK81" s="399">
        <v>0</v>
      </c>
      <c r="AL81" s="399">
        <v>0</v>
      </c>
      <c r="AM81" s="253"/>
      <c r="AN81" s="253"/>
      <c r="AO81" s="253"/>
      <c r="AP81" s="253"/>
      <c r="AQ81" s="253"/>
      <c r="AR81" s="253"/>
      <c r="AS81" s="253"/>
      <c r="AT81" s="253"/>
      <c r="AU81" s="253"/>
      <c r="AV81" s="253"/>
      <c r="AW81" s="253"/>
      <c r="AX81" s="253"/>
      <c r="AY81" s="253"/>
      <c r="AZ81" s="253"/>
      <c r="BA81" s="253"/>
      <c r="BB81" s="253"/>
      <c r="BC81" s="253"/>
      <c r="BD81" s="253"/>
      <c r="BE81" s="253"/>
      <c r="BF81" s="253"/>
      <c r="BG81" s="253"/>
      <c r="BH81" s="253"/>
      <c r="BI81" s="253"/>
      <c r="BJ81" s="253"/>
      <c r="BK81" s="253"/>
      <c r="BL81" s="253"/>
      <c r="BM81" s="253"/>
      <c r="BN81" s="253"/>
      <c r="BO81" s="253"/>
      <c r="BP81" s="253"/>
      <c r="BQ81" s="253"/>
      <c r="BR81" s="253"/>
      <c r="BS81" s="253"/>
      <c r="BT81" s="253"/>
      <c r="BU81" s="253"/>
      <c r="BV81" s="253"/>
      <c r="BW81" s="253"/>
      <c r="BX81" s="253"/>
      <c r="BY81" s="253"/>
      <c r="BZ81" s="253"/>
      <c r="CA81" s="253"/>
      <c r="CB81" s="253"/>
      <c r="CC81" s="253"/>
      <c r="CD81" s="253"/>
      <c r="CE81" s="253"/>
      <c r="CF81" s="253"/>
      <c r="CG81" s="253"/>
      <c r="CH81" s="253"/>
      <c r="CI81" s="253"/>
      <c r="CJ81" s="253"/>
      <c r="CK81" s="253"/>
      <c r="CL81" s="253"/>
      <c r="CM81" s="253"/>
      <c r="CN81" s="253"/>
      <c r="CO81" s="253"/>
      <c r="CP81" s="253"/>
      <c r="CQ81" s="253"/>
      <c r="CR81" s="253"/>
      <c r="CS81" s="253"/>
      <c r="CT81" s="253"/>
      <c r="CU81" s="253"/>
      <c r="CV81" s="253"/>
      <c r="CW81" s="253"/>
      <c r="CX81" s="251"/>
      <c r="CY81" s="251"/>
      <c r="CZ81" s="251"/>
      <c r="DA81" s="251"/>
      <c r="DB81" s="251"/>
      <c r="DC81" s="251"/>
      <c r="DD81" s="251"/>
      <c r="DE81" s="251"/>
      <c r="DF81" s="251"/>
      <c r="DG81" s="251"/>
      <c r="DH81" s="251"/>
      <c r="DI81" s="251"/>
      <c r="DJ81" s="251"/>
      <c r="DK81" s="251"/>
      <c r="DL81" s="251"/>
      <c r="DM81" s="251"/>
      <c r="DN81" s="251"/>
      <c r="DO81" s="251"/>
      <c r="DP81" s="251"/>
      <c r="DQ81" s="251"/>
      <c r="DR81" s="251"/>
      <c r="DS81" s="251"/>
      <c r="DT81" s="251"/>
      <c r="DU81" s="251"/>
      <c r="DV81" s="251"/>
      <c r="DW81" s="251"/>
      <c r="DX81" s="251"/>
      <c r="DY81" s="251"/>
      <c r="DZ81" s="251"/>
      <c r="EA81" s="251"/>
    </row>
    <row r="82" spans="1:131">
      <c r="A82" s="251"/>
      <c r="B82" s="251" t="s">
        <v>602</v>
      </c>
      <c r="C82" s="399">
        <v>0</v>
      </c>
      <c r="D82" s="399">
        <v>0</v>
      </c>
      <c r="E82" s="399">
        <v>0</v>
      </c>
      <c r="F82" s="399">
        <v>0</v>
      </c>
      <c r="G82" s="399">
        <v>0</v>
      </c>
      <c r="H82" s="399">
        <v>0</v>
      </c>
      <c r="I82" s="399">
        <v>0</v>
      </c>
      <c r="J82" s="399">
        <v>0</v>
      </c>
      <c r="K82" s="399">
        <v>0</v>
      </c>
      <c r="L82" s="400">
        <v>0</v>
      </c>
      <c r="M82" s="399">
        <v>0</v>
      </c>
      <c r="N82" s="399">
        <v>0</v>
      </c>
      <c r="O82" s="399">
        <v>0</v>
      </c>
      <c r="P82" s="399">
        <v>0</v>
      </c>
      <c r="Q82" s="399">
        <v>0</v>
      </c>
      <c r="R82" s="399">
        <v>0</v>
      </c>
      <c r="S82" s="399">
        <v>0</v>
      </c>
      <c r="T82" s="399">
        <v>0</v>
      </c>
      <c r="U82" s="399">
        <v>0</v>
      </c>
      <c r="V82" s="399">
        <v>0</v>
      </c>
      <c r="W82" s="399">
        <v>0</v>
      </c>
      <c r="X82" s="399">
        <v>0</v>
      </c>
      <c r="Y82" s="399">
        <v>0</v>
      </c>
      <c r="Z82" s="399"/>
      <c r="AA82" s="399">
        <v>0</v>
      </c>
      <c r="AB82" s="399">
        <v>0</v>
      </c>
      <c r="AC82" s="399">
        <v>0</v>
      </c>
      <c r="AD82" s="399">
        <v>0</v>
      </c>
      <c r="AE82" s="399">
        <v>0</v>
      </c>
      <c r="AF82" s="399">
        <v>0</v>
      </c>
      <c r="AG82" s="399">
        <v>0</v>
      </c>
      <c r="AH82" s="399">
        <v>0</v>
      </c>
      <c r="AI82" s="399">
        <v>0</v>
      </c>
      <c r="AJ82" s="399">
        <v>0</v>
      </c>
      <c r="AK82" s="399">
        <v>0</v>
      </c>
      <c r="AL82" s="399">
        <v>0</v>
      </c>
      <c r="AM82" s="253"/>
      <c r="AN82" s="253"/>
      <c r="AO82" s="253"/>
      <c r="AP82" s="253"/>
      <c r="AQ82" s="253"/>
      <c r="AR82" s="253"/>
      <c r="AS82" s="253"/>
      <c r="AT82" s="253"/>
      <c r="AU82" s="253"/>
      <c r="AV82" s="253"/>
      <c r="AW82" s="253"/>
      <c r="AX82" s="253"/>
      <c r="AY82" s="253"/>
      <c r="AZ82" s="253"/>
      <c r="BA82" s="253"/>
      <c r="BB82" s="253"/>
      <c r="BC82" s="253"/>
      <c r="BD82" s="253"/>
      <c r="BE82" s="253"/>
      <c r="BF82" s="253"/>
      <c r="BG82" s="253"/>
      <c r="BH82" s="253"/>
      <c r="BI82" s="253"/>
      <c r="BJ82" s="253"/>
      <c r="BK82" s="253"/>
      <c r="BL82" s="253"/>
      <c r="BM82" s="253"/>
      <c r="BN82" s="253"/>
      <c r="BO82" s="253"/>
      <c r="BP82" s="253"/>
      <c r="BQ82" s="253"/>
      <c r="BR82" s="253"/>
      <c r="BS82" s="253"/>
      <c r="BT82" s="253"/>
      <c r="BU82" s="253"/>
      <c r="BV82" s="253"/>
      <c r="BW82" s="253"/>
      <c r="BX82" s="253"/>
      <c r="BY82" s="253"/>
      <c r="BZ82" s="253"/>
      <c r="CA82" s="253"/>
      <c r="CB82" s="253"/>
      <c r="CC82" s="253"/>
      <c r="CD82" s="253"/>
      <c r="CE82" s="253"/>
      <c r="CF82" s="253"/>
      <c r="CG82" s="253"/>
      <c r="CH82" s="253"/>
      <c r="CI82" s="253"/>
      <c r="CJ82" s="253"/>
      <c r="CK82" s="253"/>
      <c r="CL82" s="253"/>
      <c r="CM82" s="253"/>
      <c r="CN82" s="253"/>
      <c r="CO82" s="253"/>
      <c r="CP82" s="253"/>
      <c r="CQ82" s="253"/>
      <c r="CR82" s="253"/>
      <c r="CS82" s="253"/>
      <c r="CT82" s="253"/>
      <c r="CU82" s="253"/>
      <c r="CV82" s="253"/>
      <c r="CW82" s="253"/>
      <c r="CX82" s="251"/>
      <c r="CY82" s="251"/>
      <c r="CZ82" s="251"/>
      <c r="DA82" s="251"/>
      <c r="DB82" s="251"/>
      <c r="DC82" s="251"/>
      <c r="DD82" s="251"/>
      <c r="DE82" s="251"/>
      <c r="DF82" s="251"/>
      <c r="DG82" s="251"/>
      <c r="DH82" s="251"/>
      <c r="DI82" s="251"/>
      <c r="DJ82" s="251"/>
      <c r="DK82" s="251"/>
      <c r="DL82" s="251"/>
      <c r="DM82" s="251"/>
      <c r="DN82" s="251"/>
      <c r="DO82" s="251"/>
      <c r="DP82" s="251"/>
      <c r="DQ82" s="251"/>
      <c r="DR82" s="251"/>
      <c r="DS82" s="251"/>
      <c r="DT82" s="251"/>
      <c r="DU82" s="251"/>
      <c r="DV82" s="251"/>
      <c r="DW82" s="251"/>
      <c r="DX82" s="251"/>
      <c r="DY82" s="251"/>
      <c r="DZ82" s="251"/>
      <c r="EA82" s="251"/>
    </row>
    <row r="83" spans="1:131">
      <c r="A83" s="251"/>
      <c r="B83" s="251" t="s">
        <v>605</v>
      </c>
      <c r="C83" s="399">
        <v>0</v>
      </c>
      <c r="D83" s="399">
        <v>0</v>
      </c>
      <c r="E83" s="399">
        <v>0</v>
      </c>
      <c r="F83" s="399">
        <v>0</v>
      </c>
      <c r="G83" s="399">
        <v>0</v>
      </c>
      <c r="H83" s="399">
        <v>0</v>
      </c>
      <c r="I83" s="399">
        <v>0</v>
      </c>
      <c r="J83" s="399">
        <v>0</v>
      </c>
      <c r="K83" s="399">
        <v>0</v>
      </c>
      <c r="L83" s="400">
        <v>0</v>
      </c>
      <c r="M83" s="399">
        <v>0</v>
      </c>
      <c r="N83" s="399">
        <v>0</v>
      </c>
      <c r="O83" s="399">
        <v>0</v>
      </c>
      <c r="P83" s="399">
        <v>0</v>
      </c>
      <c r="Q83" s="399">
        <v>0</v>
      </c>
      <c r="R83" s="399">
        <v>0</v>
      </c>
      <c r="S83" s="399">
        <v>0</v>
      </c>
      <c r="T83" s="399">
        <v>0</v>
      </c>
      <c r="U83" s="399">
        <v>0</v>
      </c>
      <c r="V83" s="399">
        <v>0</v>
      </c>
      <c r="W83" s="399">
        <v>0</v>
      </c>
      <c r="X83" s="399">
        <v>0</v>
      </c>
      <c r="Y83" s="399">
        <v>0</v>
      </c>
      <c r="Z83" s="399"/>
      <c r="AA83" s="399">
        <v>0</v>
      </c>
      <c r="AB83" s="399">
        <v>0</v>
      </c>
      <c r="AC83" s="399">
        <v>0</v>
      </c>
      <c r="AD83" s="399">
        <v>0</v>
      </c>
      <c r="AE83" s="399">
        <v>0</v>
      </c>
      <c r="AF83" s="399">
        <v>0</v>
      </c>
      <c r="AG83" s="399">
        <v>0</v>
      </c>
      <c r="AH83" s="399">
        <v>0</v>
      </c>
      <c r="AI83" s="399">
        <v>0</v>
      </c>
      <c r="AJ83" s="399">
        <v>0</v>
      </c>
      <c r="AK83" s="399">
        <v>0</v>
      </c>
      <c r="AL83" s="399">
        <v>0</v>
      </c>
      <c r="AM83" s="253"/>
      <c r="AN83" s="253"/>
      <c r="AO83" s="253"/>
      <c r="AP83" s="253"/>
      <c r="AQ83" s="253"/>
      <c r="AR83" s="253"/>
      <c r="AS83" s="253"/>
      <c r="AT83" s="253"/>
      <c r="AU83" s="253"/>
      <c r="AV83" s="253"/>
      <c r="AW83" s="253"/>
      <c r="AX83" s="253"/>
      <c r="AY83" s="253"/>
      <c r="AZ83" s="253"/>
      <c r="BA83" s="253"/>
      <c r="BB83" s="253"/>
      <c r="BC83" s="253"/>
      <c r="BD83" s="253"/>
      <c r="BE83" s="253"/>
      <c r="BF83" s="253"/>
      <c r="BG83" s="253"/>
      <c r="BH83" s="253"/>
      <c r="BI83" s="253"/>
      <c r="BJ83" s="253"/>
      <c r="BK83" s="253"/>
      <c r="BL83" s="253"/>
      <c r="BM83" s="253"/>
      <c r="BN83" s="253"/>
      <c r="BO83" s="253"/>
      <c r="BP83" s="253"/>
      <c r="BQ83" s="253"/>
      <c r="BR83" s="253"/>
      <c r="BS83" s="253"/>
      <c r="BT83" s="253"/>
      <c r="BU83" s="253"/>
      <c r="BV83" s="253"/>
      <c r="BW83" s="253"/>
      <c r="BX83" s="253"/>
      <c r="BY83" s="253"/>
      <c r="BZ83" s="253"/>
      <c r="CA83" s="253"/>
      <c r="CB83" s="253"/>
      <c r="CC83" s="253"/>
      <c r="CD83" s="253"/>
      <c r="CE83" s="253"/>
      <c r="CF83" s="253"/>
      <c r="CG83" s="253"/>
      <c r="CH83" s="253"/>
      <c r="CI83" s="253"/>
      <c r="CJ83" s="253"/>
      <c r="CK83" s="253"/>
      <c r="CL83" s="253"/>
      <c r="CM83" s="253"/>
      <c r="CN83" s="253"/>
      <c r="CO83" s="253"/>
      <c r="CP83" s="253"/>
      <c r="CQ83" s="253"/>
      <c r="CR83" s="253"/>
      <c r="CS83" s="253"/>
      <c r="CT83" s="253"/>
      <c r="CU83" s="253"/>
      <c r="CV83" s="253"/>
      <c r="CW83" s="253"/>
      <c r="CX83" s="251"/>
      <c r="CY83" s="251"/>
      <c r="CZ83" s="251"/>
      <c r="DA83" s="251"/>
      <c r="DB83" s="251"/>
      <c r="DC83" s="251"/>
      <c r="DD83" s="251"/>
      <c r="DE83" s="251"/>
      <c r="DF83" s="251"/>
      <c r="DG83" s="251"/>
      <c r="DH83" s="251"/>
      <c r="DI83" s="251"/>
      <c r="DJ83" s="251"/>
      <c r="DK83" s="251"/>
      <c r="DL83" s="251"/>
      <c r="DM83" s="251"/>
      <c r="DN83" s="251"/>
      <c r="DO83" s="251"/>
      <c r="DP83" s="251"/>
      <c r="DQ83" s="251"/>
      <c r="DR83" s="251"/>
      <c r="DS83" s="251"/>
      <c r="DT83" s="251"/>
      <c r="DU83" s="251"/>
      <c r="DV83" s="251"/>
      <c r="DW83" s="251"/>
      <c r="DX83" s="251"/>
      <c r="DY83" s="251"/>
      <c r="DZ83" s="251"/>
      <c r="EA83" s="251"/>
    </row>
    <row r="84" spans="1:131">
      <c r="A84" s="251"/>
      <c r="B84" s="251" t="s">
        <v>608</v>
      </c>
      <c r="C84" s="399">
        <v>0</v>
      </c>
      <c r="D84" s="399">
        <v>0</v>
      </c>
      <c r="E84" s="399">
        <v>0</v>
      </c>
      <c r="F84" s="399">
        <v>0</v>
      </c>
      <c r="G84" s="399">
        <v>0</v>
      </c>
      <c r="H84" s="399">
        <v>0</v>
      </c>
      <c r="I84" s="399">
        <v>0</v>
      </c>
      <c r="J84" s="399">
        <v>0</v>
      </c>
      <c r="K84" s="399">
        <v>0</v>
      </c>
      <c r="L84" s="400">
        <v>0</v>
      </c>
      <c r="M84" s="399">
        <v>0</v>
      </c>
      <c r="N84" s="399">
        <v>0</v>
      </c>
      <c r="O84" s="399">
        <v>0</v>
      </c>
      <c r="P84" s="399">
        <v>0</v>
      </c>
      <c r="Q84" s="399">
        <v>0</v>
      </c>
      <c r="R84" s="399">
        <v>0</v>
      </c>
      <c r="S84" s="399">
        <v>0</v>
      </c>
      <c r="T84" s="399">
        <v>0</v>
      </c>
      <c r="U84" s="399">
        <v>0</v>
      </c>
      <c r="V84" s="399">
        <v>0</v>
      </c>
      <c r="W84" s="399">
        <v>0</v>
      </c>
      <c r="X84" s="399">
        <v>0</v>
      </c>
      <c r="Y84" s="399">
        <v>0</v>
      </c>
      <c r="Z84" s="399"/>
      <c r="AA84" s="399">
        <v>0</v>
      </c>
      <c r="AB84" s="399">
        <v>0</v>
      </c>
      <c r="AC84" s="399">
        <v>0</v>
      </c>
      <c r="AD84" s="399">
        <v>0</v>
      </c>
      <c r="AE84" s="399">
        <v>0</v>
      </c>
      <c r="AF84" s="399">
        <v>0</v>
      </c>
      <c r="AG84" s="399">
        <v>0</v>
      </c>
      <c r="AH84" s="399">
        <v>0</v>
      </c>
      <c r="AI84" s="399">
        <v>0</v>
      </c>
      <c r="AJ84" s="399">
        <v>0</v>
      </c>
      <c r="AK84" s="399">
        <v>0</v>
      </c>
      <c r="AL84" s="399">
        <v>0</v>
      </c>
      <c r="AM84" s="253"/>
      <c r="AN84" s="253"/>
      <c r="AO84" s="253"/>
      <c r="AP84" s="253"/>
      <c r="AQ84" s="253"/>
      <c r="AR84" s="253"/>
      <c r="AS84" s="253"/>
      <c r="AT84" s="253"/>
      <c r="AU84" s="253"/>
      <c r="AV84" s="253"/>
      <c r="AW84" s="253"/>
      <c r="AX84" s="253"/>
      <c r="AY84" s="253"/>
      <c r="AZ84" s="253"/>
      <c r="BA84" s="253"/>
      <c r="BB84" s="253"/>
      <c r="BC84" s="253"/>
      <c r="BD84" s="253"/>
      <c r="BE84" s="253"/>
      <c r="BF84" s="253"/>
      <c r="BG84" s="253"/>
      <c r="BH84" s="253"/>
      <c r="BI84" s="253"/>
      <c r="BJ84" s="253"/>
      <c r="BK84" s="253"/>
      <c r="BL84" s="253"/>
      <c r="BM84" s="253"/>
      <c r="BN84" s="253"/>
      <c r="BO84" s="253"/>
      <c r="BP84" s="253"/>
      <c r="BQ84" s="253"/>
      <c r="BR84" s="253"/>
      <c r="BS84" s="253"/>
      <c r="BT84" s="253"/>
      <c r="BU84" s="253"/>
      <c r="BV84" s="253"/>
      <c r="BW84" s="253"/>
      <c r="BX84" s="253"/>
      <c r="BY84" s="253"/>
      <c r="BZ84" s="253"/>
      <c r="CA84" s="253"/>
      <c r="CB84" s="253"/>
      <c r="CC84" s="253"/>
      <c r="CD84" s="253"/>
      <c r="CE84" s="253"/>
      <c r="CF84" s="253"/>
      <c r="CG84" s="253"/>
      <c r="CH84" s="253"/>
      <c r="CI84" s="253"/>
      <c r="CJ84" s="253"/>
      <c r="CK84" s="253"/>
      <c r="CL84" s="253"/>
      <c r="CM84" s="253"/>
      <c r="CN84" s="253"/>
      <c r="CO84" s="253"/>
      <c r="CP84" s="253"/>
      <c r="CQ84" s="253"/>
      <c r="CR84" s="253"/>
      <c r="CS84" s="253"/>
      <c r="CT84" s="253"/>
      <c r="CU84" s="253"/>
      <c r="CV84" s="253"/>
      <c r="CW84" s="253"/>
      <c r="CX84" s="251"/>
      <c r="CY84" s="251"/>
      <c r="CZ84" s="251"/>
      <c r="DA84" s="251"/>
      <c r="DB84" s="251"/>
      <c r="DC84" s="251"/>
      <c r="DD84" s="251"/>
      <c r="DE84" s="251"/>
      <c r="DF84" s="251"/>
      <c r="DG84" s="251"/>
      <c r="DH84" s="251"/>
      <c r="DI84" s="251"/>
      <c r="DJ84" s="251"/>
      <c r="DK84" s="251"/>
      <c r="DL84" s="251"/>
      <c r="DM84" s="251"/>
      <c r="DN84" s="251"/>
      <c r="DO84" s="251"/>
      <c r="DP84" s="251"/>
      <c r="DQ84" s="251"/>
      <c r="DR84" s="251"/>
      <c r="DS84" s="251"/>
      <c r="DT84" s="251"/>
      <c r="DU84" s="251"/>
      <c r="DV84" s="251"/>
      <c r="DW84" s="251"/>
      <c r="DX84" s="251"/>
      <c r="DY84" s="251"/>
      <c r="DZ84" s="251"/>
      <c r="EA84" s="251"/>
    </row>
    <row r="85" spans="1:131">
      <c r="A85" s="251"/>
      <c r="B85" s="251" t="s">
        <v>893</v>
      </c>
      <c r="C85" s="253">
        <v>0.11582536899942986</v>
      </c>
      <c r="D85" s="253">
        <v>0.35145964490321813</v>
      </c>
      <c r="E85" s="253">
        <v>7.0291928980643625E-2</v>
      </c>
      <c r="F85" s="253">
        <v>0.42175157388386175</v>
      </c>
      <c r="G85" s="253">
        <v>0.51893243037872083</v>
      </c>
      <c r="H85" s="253">
        <v>7.163793037714826E-2</v>
      </c>
      <c r="I85" s="253">
        <v>31897.535221673374</v>
      </c>
      <c r="J85" s="253">
        <v>265.12156066774412</v>
      </c>
      <c r="K85" s="253">
        <v>321.6199785595287</v>
      </c>
      <c r="L85" s="372">
        <v>0.13804866719327283</v>
      </c>
      <c r="M85" s="253">
        <v>1.1003524472472449E-3</v>
      </c>
      <c r="N85" s="287">
        <v>6.539253411877389E-3</v>
      </c>
      <c r="O85" s="287">
        <v>5.9742358196179729E-3</v>
      </c>
      <c r="P85" s="287">
        <v>6.9565956017547739E-3</v>
      </c>
      <c r="Q85" s="287">
        <v>4.7543848660021619E-3</v>
      </c>
      <c r="R85" s="287">
        <v>4.9441638253911093E-3</v>
      </c>
      <c r="S85" s="287">
        <v>4.9474405832523128E-3</v>
      </c>
      <c r="T85" s="287">
        <v>5.8053027017331135E-3</v>
      </c>
      <c r="U85" s="287">
        <v>6.2505444842065917E-3</v>
      </c>
      <c r="V85" s="287">
        <v>5.5431372442338684E-3</v>
      </c>
      <c r="W85" s="287">
        <v>5.8635984306426425E-3</v>
      </c>
      <c r="X85" s="287">
        <v>5.2580556822139878E-3</v>
      </c>
      <c r="Y85" s="287">
        <v>6.5171916067153128E-3</v>
      </c>
      <c r="Z85" s="287"/>
      <c r="AA85" s="287">
        <v>4.6935961738847213E-3</v>
      </c>
      <c r="AB85" s="287">
        <v>4.1164803932421381E-3</v>
      </c>
      <c r="AC85" s="287">
        <v>4.1448432729326223E-3</v>
      </c>
      <c r="AD85" s="287">
        <v>3.1782417688191694E-3</v>
      </c>
      <c r="AE85" s="287">
        <v>3.2520120199325308E-3</v>
      </c>
      <c r="AF85" s="287">
        <v>2.9874323373645772E-3</v>
      </c>
      <c r="AG85" s="287">
        <v>4.3512488339771211E-3</v>
      </c>
      <c r="AH85" s="287">
        <v>3.8962153439233479E-3</v>
      </c>
      <c r="AI85" s="287">
        <v>4.2378611797253551E-3</v>
      </c>
      <c r="AJ85" s="287">
        <v>3.2780184661090322E-3</v>
      </c>
      <c r="AK85" s="287">
        <v>3.6596845254539302E-3</v>
      </c>
      <c r="AL85" s="287">
        <v>4.6758304264240954E-3</v>
      </c>
      <c r="AM85" s="253"/>
      <c r="AN85" s="253"/>
      <c r="AO85" s="253"/>
      <c r="AP85" s="253"/>
      <c r="AQ85" s="253"/>
      <c r="AR85" s="253"/>
      <c r="AS85" s="253"/>
      <c r="AT85" s="253"/>
      <c r="AU85" s="253"/>
      <c r="AV85" s="253"/>
      <c r="AW85" s="253"/>
      <c r="AX85" s="253"/>
      <c r="AY85" s="253"/>
      <c r="AZ85" s="253"/>
      <c r="BA85" s="253"/>
      <c r="BB85" s="253"/>
      <c r="BC85" s="253"/>
      <c r="BD85" s="253"/>
      <c r="BE85" s="253"/>
      <c r="BF85" s="253"/>
      <c r="BG85" s="253"/>
      <c r="BH85" s="253"/>
      <c r="BI85" s="253"/>
      <c r="BJ85" s="253"/>
      <c r="BK85" s="253"/>
      <c r="BL85" s="253"/>
      <c r="BM85" s="253"/>
      <c r="BN85" s="253"/>
      <c r="BO85" s="253"/>
      <c r="BP85" s="253"/>
      <c r="BQ85" s="253"/>
      <c r="BR85" s="253"/>
      <c r="BS85" s="253"/>
      <c r="BT85" s="253"/>
      <c r="BU85" s="253"/>
      <c r="BV85" s="253"/>
      <c r="BW85" s="253"/>
      <c r="BX85" s="253"/>
      <c r="BY85" s="253"/>
      <c r="BZ85" s="253"/>
      <c r="CA85" s="253"/>
      <c r="CB85" s="253"/>
      <c r="CC85" s="253"/>
      <c r="CD85" s="253"/>
      <c r="CE85" s="253"/>
      <c r="CF85" s="253"/>
      <c r="CG85" s="253"/>
      <c r="CH85" s="253"/>
      <c r="CI85" s="253"/>
      <c r="CJ85" s="253"/>
      <c r="CK85" s="253"/>
      <c r="CL85" s="253"/>
      <c r="CM85" s="253"/>
      <c r="CN85" s="253"/>
      <c r="CO85" s="253"/>
      <c r="CP85" s="253"/>
      <c r="CQ85" s="253"/>
      <c r="CR85" s="253"/>
      <c r="CS85" s="253"/>
      <c r="CT85" s="253"/>
      <c r="CU85" s="253"/>
      <c r="CV85" s="253"/>
      <c r="CW85" s="253"/>
      <c r="CX85" s="251"/>
      <c r="CY85" s="251"/>
      <c r="CZ85" s="251"/>
      <c r="DA85" s="251"/>
      <c r="DB85" s="251"/>
      <c r="DC85" s="251"/>
      <c r="DD85" s="251"/>
      <c r="DE85" s="251"/>
      <c r="DF85" s="251"/>
      <c r="DG85" s="251"/>
      <c r="DH85" s="251"/>
      <c r="DI85" s="251"/>
      <c r="DJ85" s="251"/>
      <c r="DK85" s="251"/>
      <c r="DL85" s="251"/>
      <c r="DM85" s="251"/>
      <c r="DN85" s="251"/>
      <c r="DO85" s="251"/>
      <c r="DP85" s="251"/>
      <c r="DQ85" s="251"/>
      <c r="DR85" s="251"/>
      <c r="DS85" s="251"/>
      <c r="DT85" s="251"/>
      <c r="DU85" s="251"/>
      <c r="DV85" s="251"/>
      <c r="DW85" s="251"/>
      <c r="DX85" s="251"/>
      <c r="DY85" s="251"/>
      <c r="DZ85" s="251"/>
      <c r="EA85" s="251"/>
    </row>
    <row r="86" spans="1:131">
      <c r="A86" s="251"/>
      <c r="B86" s="251"/>
      <c r="C86" s="253"/>
      <c r="D86" s="253"/>
      <c r="E86" s="253"/>
      <c r="F86" s="253"/>
      <c r="G86" s="253"/>
      <c r="H86" s="253"/>
      <c r="I86" s="253"/>
      <c r="J86" s="253"/>
      <c r="K86" s="253"/>
      <c r="L86" s="253"/>
      <c r="M86" s="253"/>
      <c r="N86" s="253"/>
      <c r="O86" s="253"/>
      <c r="P86" s="253"/>
      <c r="Q86" s="253"/>
      <c r="R86" s="253"/>
      <c r="S86" s="253"/>
      <c r="T86" s="253"/>
      <c r="U86" s="253"/>
      <c r="V86" s="253"/>
      <c r="W86" s="253"/>
      <c r="X86" s="253"/>
      <c r="Y86" s="253"/>
      <c r="Z86" s="253"/>
      <c r="AA86" s="253"/>
      <c r="AB86" s="253"/>
      <c r="AC86" s="253"/>
      <c r="AD86" s="253"/>
      <c r="AE86" s="253"/>
      <c r="AF86" s="253"/>
      <c r="AG86" s="253"/>
      <c r="AH86" s="253"/>
      <c r="AI86" s="253"/>
      <c r="AJ86" s="253"/>
      <c r="AK86" s="253"/>
      <c r="AL86" s="253"/>
      <c r="AM86" s="253"/>
      <c r="AN86" s="253"/>
      <c r="AO86" s="253"/>
      <c r="AP86" s="253"/>
      <c r="AQ86" s="253"/>
      <c r="AR86" s="253"/>
      <c r="AS86" s="253"/>
      <c r="AT86" s="253"/>
      <c r="AU86" s="253"/>
      <c r="AV86" s="253"/>
      <c r="AW86" s="253"/>
      <c r="AX86" s="253"/>
      <c r="AY86" s="253"/>
      <c r="AZ86" s="253"/>
      <c r="BA86" s="253"/>
      <c r="BB86" s="253"/>
      <c r="BC86" s="253"/>
      <c r="BD86" s="253"/>
      <c r="BE86" s="253"/>
      <c r="BF86" s="253"/>
      <c r="BG86" s="253"/>
      <c r="BH86" s="253"/>
      <c r="BI86" s="253"/>
      <c r="BJ86" s="253"/>
      <c r="BK86" s="253"/>
      <c r="BL86" s="253"/>
      <c r="BM86" s="253"/>
      <c r="BN86" s="253"/>
      <c r="BO86" s="253"/>
      <c r="BP86" s="253"/>
      <c r="BQ86" s="253"/>
      <c r="BR86" s="253"/>
      <c r="BS86" s="253"/>
      <c r="BT86" s="253"/>
      <c r="BU86" s="253"/>
      <c r="BV86" s="253"/>
      <c r="BW86" s="253"/>
      <c r="BX86" s="253"/>
      <c r="BY86" s="253"/>
      <c r="BZ86" s="253"/>
      <c r="CA86" s="253"/>
      <c r="CB86" s="253"/>
      <c r="CC86" s="253"/>
      <c r="CD86" s="253"/>
      <c r="CE86" s="253"/>
      <c r="CF86" s="253"/>
      <c r="CG86" s="253"/>
      <c r="CH86" s="253"/>
      <c r="CI86" s="253"/>
      <c r="CJ86" s="253"/>
      <c r="CK86" s="253"/>
      <c r="CL86" s="253"/>
      <c r="CM86" s="253"/>
      <c r="CN86" s="253"/>
      <c r="CO86" s="253"/>
      <c r="CP86" s="253"/>
      <c r="CQ86" s="253"/>
      <c r="CR86" s="253"/>
      <c r="CS86" s="253"/>
      <c r="CT86" s="253"/>
      <c r="CU86" s="253"/>
      <c r="CV86" s="253"/>
      <c r="CW86" s="253"/>
      <c r="CX86" s="251"/>
      <c r="CY86" s="251"/>
      <c r="CZ86" s="251"/>
      <c r="DA86" s="251"/>
      <c r="DB86" s="251"/>
      <c r="DC86" s="251"/>
      <c r="DD86" s="251"/>
      <c r="DE86" s="251"/>
      <c r="DF86" s="251"/>
      <c r="DG86" s="251"/>
      <c r="DH86" s="251"/>
      <c r="DI86" s="251"/>
      <c r="DJ86" s="251"/>
      <c r="DK86" s="251"/>
      <c r="DL86" s="251"/>
      <c r="DM86" s="251"/>
      <c r="DN86" s="251"/>
      <c r="DO86" s="251"/>
      <c r="DP86" s="251"/>
      <c r="DQ86" s="251"/>
      <c r="DR86" s="251"/>
      <c r="DS86" s="251"/>
      <c r="DT86" s="251"/>
      <c r="DU86" s="251"/>
      <c r="DV86" s="251"/>
      <c r="DW86" s="251"/>
      <c r="DX86" s="251"/>
      <c r="DY86" s="251"/>
      <c r="DZ86" s="251"/>
      <c r="EA86" s="251"/>
    </row>
    <row r="87" spans="1:131">
      <c r="A87" s="251"/>
      <c r="B87" s="251"/>
      <c r="C87" s="253"/>
      <c r="D87" s="253"/>
      <c r="E87" s="253"/>
      <c r="F87" s="253"/>
      <c r="G87" s="253"/>
      <c r="H87" s="253"/>
      <c r="I87" s="253"/>
      <c r="J87" s="253"/>
      <c r="K87" s="253"/>
      <c r="L87" s="253"/>
      <c r="M87" s="253"/>
      <c r="N87" s="253"/>
      <c r="O87" s="253"/>
      <c r="P87" s="253"/>
      <c r="Q87" s="253"/>
      <c r="R87" s="253"/>
      <c r="S87" s="253"/>
      <c r="T87" s="253"/>
      <c r="U87" s="253"/>
      <c r="V87" s="253"/>
      <c r="W87" s="253"/>
      <c r="X87" s="253"/>
      <c r="Y87" s="253"/>
      <c r="Z87" s="253"/>
      <c r="AA87" s="253"/>
      <c r="AB87" s="253"/>
      <c r="AC87" s="253"/>
      <c r="AD87" s="253"/>
      <c r="AE87" s="253"/>
      <c r="AF87" s="253"/>
      <c r="AG87" s="253"/>
      <c r="AH87" s="253"/>
      <c r="AI87" s="253"/>
      <c r="AJ87" s="253"/>
      <c r="AK87" s="253"/>
      <c r="AL87" s="253"/>
      <c r="AM87" s="253"/>
      <c r="AN87" s="253"/>
      <c r="AO87" s="253"/>
      <c r="AP87" s="253"/>
      <c r="AQ87" s="253"/>
      <c r="AR87" s="253"/>
      <c r="AS87" s="253"/>
      <c r="AT87" s="253"/>
      <c r="AU87" s="253"/>
      <c r="AV87" s="253"/>
      <c r="AW87" s="253"/>
      <c r="AX87" s="253"/>
      <c r="AY87" s="253"/>
      <c r="AZ87" s="253"/>
      <c r="BA87" s="253"/>
      <c r="BB87" s="253"/>
      <c r="BC87" s="253"/>
      <c r="BD87" s="253"/>
      <c r="BE87" s="253"/>
      <c r="BF87" s="253"/>
      <c r="BG87" s="253"/>
      <c r="BH87" s="253"/>
      <c r="BI87" s="253"/>
      <c r="BJ87" s="253"/>
      <c r="BK87" s="253"/>
      <c r="BL87" s="253"/>
      <c r="BM87" s="253"/>
      <c r="BN87" s="253"/>
      <c r="BO87" s="253"/>
      <c r="BP87" s="253"/>
      <c r="BQ87" s="253"/>
      <c r="BR87" s="253"/>
      <c r="BS87" s="253"/>
      <c r="BT87" s="253"/>
      <c r="BU87" s="253"/>
      <c r="BV87" s="253"/>
      <c r="BW87" s="253"/>
      <c r="BX87" s="253"/>
      <c r="BY87" s="253"/>
      <c r="BZ87" s="253"/>
      <c r="CA87" s="253"/>
      <c r="CB87" s="253"/>
      <c r="CC87" s="253"/>
      <c r="CD87" s="253"/>
      <c r="CE87" s="253"/>
      <c r="CF87" s="253"/>
      <c r="CG87" s="253"/>
      <c r="CH87" s="253"/>
      <c r="CI87" s="253"/>
      <c r="CJ87" s="253"/>
      <c r="CK87" s="253"/>
      <c r="CL87" s="253"/>
      <c r="CM87" s="253"/>
      <c r="CN87" s="253"/>
      <c r="CO87" s="253"/>
      <c r="CP87" s="253"/>
      <c r="CQ87" s="253"/>
      <c r="CR87" s="253"/>
      <c r="CS87" s="253"/>
      <c r="CT87" s="253"/>
      <c r="CU87" s="253"/>
      <c r="CV87" s="253"/>
      <c r="CW87" s="253"/>
      <c r="CX87" s="251"/>
      <c r="CY87" s="251"/>
      <c r="CZ87" s="251"/>
      <c r="DA87" s="251"/>
      <c r="DB87" s="251"/>
      <c r="DC87" s="251"/>
      <c r="DD87" s="251"/>
      <c r="DE87" s="251"/>
      <c r="DF87" s="251"/>
      <c r="DG87" s="251"/>
      <c r="DH87" s="251"/>
      <c r="DI87" s="251"/>
      <c r="DJ87" s="251"/>
      <c r="DK87" s="251"/>
      <c r="DL87" s="251"/>
      <c r="DM87" s="251"/>
      <c r="DN87" s="251"/>
      <c r="DO87" s="251"/>
      <c r="DP87" s="251"/>
      <c r="DQ87" s="251"/>
      <c r="DR87" s="251"/>
      <c r="DS87" s="251"/>
      <c r="DT87" s="251"/>
      <c r="DU87" s="251"/>
      <c r="DV87" s="251"/>
      <c r="DW87" s="251"/>
      <c r="DX87" s="251"/>
      <c r="DY87" s="251"/>
      <c r="DZ87" s="251"/>
      <c r="EA87" s="251"/>
    </row>
    <row r="88" spans="1:131" ht="13.5" thickBot="1">
      <c r="A88" s="366" t="s">
        <v>701</v>
      </c>
      <c r="B88" s="367"/>
      <c r="C88" s="253"/>
      <c r="D88" s="253"/>
      <c r="E88" s="253"/>
      <c r="F88" s="253"/>
      <c r="G88" s="253"/>
      <c r="H88" s="253"/>
      <c r="I88" s="253"/>
      <c r="J88" s="253"/>
      <c r="K88" s="253"/>
      <c r="L88" s="253"/>
      <c r="M88" s="253"/>
      <c r="N88" s="253"/>
      <c r="O88" s="253"/>
      <c r="P88" s="253"/>
      <c r="Q88" s="253"/>
      <c r="R88" s="253"/>
      <c r="S88" s="253"/>
      <c r="T88" s="253"/>
      <c r="U88" s="253"/>
      <c r="V88" s="253"/>
      <c r="W88" s="253"/>
      <c r="X88" s="253"/>
      <c r="Y88" s="253"/>
      <c r="Z88" s="253"/>
      <c r="AA88" s="253"/>
      <c r="AB88" s="253"/>
      <c r="AC88" s="253"/>
      <c r="AD88" s="253"/>
      <c r="AE88" s="253"/>
      <c r="AF88" s="253"/>
      <c r="AG88" s="253"/>
      <c r="AH88" s="253"/>
      <c r="AI88" s="253"/>
      <c r="AJ88" s="253"/>
      <c r="AK88" s="253"/>
      <c r="AL88" s="253"/>
      <c r="AM88" s="253"/>
      <c r="AN88" s="253"/>
      <c r="AO88" s="253"/>
      <c r="AP88" s="253"/>
      <c r="AQ88" s="253"/>
      <c r="AR88" s="253"/>
      <c r="AS88" s="253"/>
      <c r="AT88" s="253"/>
      <c r="AU88" s="253"/>
      <c r="AV88" s="253"/>
      <c r="AW88" s="253"/>
      <c r="AX88" s="253"/>
      <c r="AY88" s="253"/>
      <c r="AZ88" s="253"/>
      <c r="BA88" s="253"/>
      <c r="BB88" s="253"/>
      <c r="BC88" s="253"/>
      <c r="BD88" s="253"/>
      <c r="BE88" s="253"/>
      <c r="BF88" s="253"/>
      <c r="BG88" s="253"/>
      <c r="BH88" s="253"/>
      <c r="BI88" s="253"/>
      <c r="BJ88" s="253"/>
      <c r="BK88" s="253"/>
      <c r="BL88" s="253"/>
      <c r="BM88" s="253"/>
      <c r="BN88" s="253"/>
      <c r="BO88" s="253"/>
      <c r="BP88" s="253"/>
      <c r="BQ88" s="253"/>
      <c r="BR88" s="253"/>
      <c r="BS88" s="253"/>
      <c r="BT88" s="253"/>
      <c r="BU88" s="253"/>
      <c r="BV88" s="253"/>
      <c r="BW88" s="253"/>
      <c r="BX88" s="253"/>
      <c r="BY88" s="253"/>
      <c r="BZ88" s="253"/>
      <c r="CA88" s="253"/>
      <c r="CB88" s="253"/>
      <c r="CC88" s="253"/>
      <c r="CD88" s="253"/>
      <c r="CE88" s="253"/>
      <c r="CF88" s="253"/>
      <c r="CG88" s="253"/>
      <c r="CH88" s="253"/>
      <c r="CI88" s="253"/>
      <c r="CJ88" s="253"/>
      <c r="CK88" s="253"/>
      <c r="CL88" s="253"/>
      <c r="CM88" s="253"/>
      <c r="CN88" s="253"/>
      <c r="CO88" s="253"/>
      <c r="CP88" s="253"/>
      <c r="CQ88" s="253"/>
      <c r="CR88" s="253"/>
      <c r="CS88" s="253"/>
      <c r="CT88" s="253"/>
      <c r="CU88" s="253"/>
      <c r="CV88" s="253"/>
      <c r="CW88" s="253"/>
      <c r="CX88" s="251"/>
      <c r="CY88" s="251"/>
      <c r="CZ88" s="251"/>
      <c r="DA88" s="251"/>
      <c r="DB88" s="251"/>
      <c r="DC88" s="251"/>
      <c r="DD88" s="251"/>
      <c r="DE88" s="251"/>
      <c r="DF88" s="251"/>
      <c r="DG88" s="251"/>
      <c r="DH88" s="251"/>
      <c r="DI88" s="251"/>
      <c r="DJ88" s="251"/>
      <c r="DK88" s="251"/>
      <c r="DL88" s="251"/>
      <c r="DM88" s="251"/>
      <c r="DN88" s="251"/>
      <c r="DO88" s="251"/>
      <c r="DP88" s="251"/>
      <c r="DQ88" s="251"/>
      <c r="DR88" s="251"/>
      <c r="DS88" s="251"/>
      <c r="DT88" s="251"/>
      <c r="DU88" s="251"/>
      <c r="DV88" s="251"/>
      <c r="DW88" s="251"/>
      <c r="DX88" s="251"/>
      <c r="DY88" s="251"/>
      <c r="DZ88" s="251"/>
      <c r="EA88" s="251"/>
    </row>
    <row r="89" spans="1:131" ht="13.5" thickBot="1">
      <c r="A89" s="368"/>
      <c r="B89" s="369"/>
      <c r="C89" s="241"/>
      <c r="D89" s="241"/>
      <c r="E89" s="241"/>
      <c r="F89" s="241"/>
      <c r="G89" s="241"/>
      <c r="H89" s="241"/>
      <c r="I89" s="241"/>
      <c r="J89" s="241"/>
      <c r="K89" s="241"/>
      <c r="L89" s="241"/>
      <c r="M89" s="241"/>
      <c r="N89" s="241"/>
      <c r="O89" s="238" t="s">
        <v>516</v>
      </c>
      <c r="P89" s="239"/>
      <c r="Q89" s="239"/>
      <c r="R89" s="239"/>
      <c r="S89" s="239"/>
      <c r="T89" s="239"/>
      <c r="U89" s="239"/>
      <c r="V89" s="239"/>
      <c r="W89" s="239"/>
      <c r="X89" s="239"/>
      <c r="Y89" s="239"/>
      <c r="Z89" s="240"/>
      <c r="AA89" s="241"/>
      <c r="AB89" s="238" t="s">
        <v>517</v>
      </c>
      <c r="AC89" s="239"/>
      <c r="AD89" s="239"/>
      <c r="AE89" s="239"/>
      <c r="AF89" s="239"/>
      <c r="AG89" s="239"/>
      <c r="AH89" s="239"/>
      <c r="AI89" s="239"/>
      <c r="AJ89" s="239"/>
      <c r="AK89" s="239"/>
      <c r="AL89" s="239"/>
      <c r="AM89" s="240"/>
      <c r="AN89" s="253"/>
      <c r="AO89" s="253"/>
      <c r="AP89" s="253"/>
      <c r="AQ89" s="253"/>
      <c r="AR89" s="253"/>
      <c r="AS89" s="253"/>
      <c r="AT89" s="253"/>
      <c r="AU89" s="253"/>
      <c r="AV89" s="253"/>
      <c r="AW89" s="253"/>
      <c r="AX89" s="253"/>
      <c r="AY89" s="253"/>
      <c r="AZ89" s="253"/>
      <c r="BA89" s="253"/>
      <c r="BB89" s="253"/>
      <c r="BC89" s="253"/>
      <c r="BD89" s="253"/>
      <c r="BE89" s="253"/>
      <c r="BF89" s="253"/>
      <c r="BG89" s="253"/>
      <c r="BH89" s="253"/>
      <c r="BI89" s="253"/>
      <c r="BJ89" s="253"/>
      <c r="BK89" s="253"/>
      <c r="BL89" s="253"/>
      <c r="BM89" s="253"/>
      <c r="BN89" s="253"/>
      <c r="BO89" s="253"/>
      <c r="BP89" s="253"/>
      <c r="BQ89" s="253"/>
      <c r="BR89" s="253"/>
      <c r="BS89" s="253"/>
      <c r="BT89" s="253"/>
      <c r="BU89" s="253"/>
      <c r="BV89" s="253"/>
      <c r="BW89" s="253"/>
      <c r="BX89" s="253"/>
      <c r="BY89" s="253"/>
      <c r="BZ89" s="253"/>
      <c r="CA89" s="253"/>
      <c r="CB89" s="253"/>
      <c r="CC89" s="253"/>
      <c r="CD89" s="253"/>
      <c r="CE89" s="253"/>
      <c r="CF89" s="253"/>
      <c r="CG89" s="253"/>
      <c r="CH89" s="253"/>
      <c r="CI89" s="253"/>
      <c r="CJ89" s="253"/>
      <c r="CK89" s="253"/>
      <c r="CL89" s="253"/>
      <c r="CM89" s="253"/>
      <c r="CN89" s="253"/>
      <c r="CO89" s="253"/>
      <c r="CP89" s="253"/>
      <c r="CQ89" s="253"/>
      <c r="CR89" s="253"/>
      <c r="CS89" s="253"/>
      <c r="CT89" s="253"/>
      <c r="CU89" s="253"/>
      <c r="CV89" s="253"/>
      <c r="CW89" s="253"/>
      <c r="CX89" s="251"/>
      <c r="CY89" s="251"/>
      <c r="CZ89" s="251"/>
      <c r="DA89" s="251"/>
      <c r="DB89" s="251"/>
      <c r="DC89" s="251"/>
      <c r="DD89" s="251"/>
      <c r="DE89" s="251"/>
      <c r="DF89" s="251"/>
      <c r="DG89" s="251"/>
      <c r="DH89" s="251"/>
      <c r="DI89" s="251"/>
      <c r="DJ89" s="251"/>
      <c r="DK89" s="251"/>
      <c r="DL89" s="251"/>
      <c r="DM89" s="251"/>
      <c r="DN89" s="251"/>
      <c r="DO89" s="251"/>
      <c r="DP89" s="251"/>
      <c r="DQ89" s="251"/>
      <c r="DR89" s="251"/>
      <c r="DS89" s="251"/>
      <c r="DT89" s="251"/>
      <c r="DU89" s="251"/>
      <c r="DV89" s="251"/>
      <c r="DW89" s="251"/>
      <c r="DX89" s="251"/>
      <c r="DY89" s="251"/>
      <c r="DZ89" s="251"/>
      <c r="EA89" s="251"/>
    </row>
    <row r="90" spans="1:131" ht="102">
      <c r="A90" s="370" t="s">
        <v>702</v>
      </c>
      <c r="B90" s="371" t="s">
        <v>374</v>
      </c>
      <c r="C90" s="247" t="s">
        <v>519</v>
      </c>
      <c r="D90" s="247" t="s">
        <v>703</v>
      </c>
      <c r="E90" s="247" t="s">
        <v>704</v>
      </c>
      <c r="F90" s="247" t="s">
        <v>705</v>
      </c>
      <c r="G90" s="247" t="s">
        <v>706</v>
      </c>
      <c r="H90" s="247" t="s">
        <v>707</v>
      </c>
      <c r="I90" s="247" t="s">
        <v>708</v>
      </c>
      <c r="J90" s="247" t="s">
        <v>709</v>
      </c>
      <c r="K90" s="247" t="s">
        <v>710</v>
      </c>
      <c r="L90" s="247" t="s">
        <v>711</v>
      </c>
      <c r="M90" s="247" t="s">
        <v>712</v>
      </c>
      <c r="N90" s="247" t="s">
        <v>518</v>
      </c>
      <c r="O90" s="247" t="s">
        <v>521</v>
      </c>
      <c r="P90" s="247" t="s">
        <v>522</v>
      </c>
      <c r="Q90" s="247" t="s">
        <v>523</v>
      </c>
      <c r="R90" s="247" t="s">
        <v>524</v>
      </c>
      <c r="S90" s="247" t="s">
        <v>525</v>
      </c>
      <c r="T90" s="247" t="s">
        <v>526</v>
      </c>
      <c r="U90" s="247" t="s">
        <v>527</v>
      </c>
      <c r="V90" s="247" t="s">
        <v>528</v>
      </c>
      <c r="W90" s="247" t="s">
        <v>529</v>
      </c>
      <c r="X90" s="247" t="s">
        <v>530</v>
      </c>
      <c r="Y90" s="247" t="s">
        <v>531</v>
      </c>
      <c r="Z90" s="247" t="s">
        <v>532</v>
      </c>
      <c r="AA90" s="247"/>
      <c r="AB90" s="247" t="s">
        <v>521</v>
      </c>
      <c r="AC90" s="247" t="s">
        <v>522</v>
      </c>
      <c r="AD90" s="247" t="s">
        <v>523</v>
      </c>
      <c r="AE90" s="247" t="s">
        <v>524</v>
      </c>
      <c r="AF90" s="247" t="s">
        <v>525</v>
      </c>
      <c r="AG90" s="247" t="s">
        <v>526</v>
      </c>
      <c r="AH90" s="247" t="s">
        <v>527</v>
      </c>
      <c r="AI90" s="247" t="s">
        <v>528</v>
      </c>
      <c r="AJ90" s="247" t="s">
        <v>529</v>
      </c>
      <c r="AK90" s="247" t="s">
        <v>530</v>
      </c>
      <c r="AL90" s="247" t="s">
        <v>531</v>
      </c>
      <c r="AM90" s="247" t="s">
        <v>532</v>
      </c>
      <c r="AN90" s="253"/>
      <c r="AO90" s="253"/>
      <c r="AP90" s="253"/>
      <c r="AQ90" s="253"/>
      <c r="AR90" s="253"/>
      <c r="AS90" s="253"/>
      <c r="AT90" s="253"/>
      <c r="AU90" s="253"/>
      <c r="AV90" s="253"/>
      <c r="AW90" s="253"/>
      <c r="AX90" s="253"/>
      <c r="AY90" s="253"/>
      <c r="AZ90" s="253"/>
      <c r="BA90" s="253"/>
      <c r="BB90" s="253"/>
      <c r="BC90" s="253"/>
      <c r="BD90" s="253"/>
      <c r="BE90" s="253"/>
      <c r="BF90" s="253"/>
      <c r="BG90" s="253"/>
      <c r="BH90" s="253"/>
      <c r="BI90" s="253"/>
      <c r="BJ90" s="253"/>
      <c r="BK90" s="253"/>
      <c r="BL90" s="253"/>
      <c r="BM90" s="253"/>
      <c r="BN90" s="253"/>
      <c r="BO90" s="253"/>
      <c r="BP90" s="253"/>
      <c r="BQ90" s="253"/>
      <c r="BR90" s="253"/>
      <c r="BS90" s="253"/>
      <c r="BT90" s="253"/>
      <c r="BU90" s="253"/>
      <c r="BV90" s="253"/>
      <c r="BW90" s="253"/>
      <c r="BX90" s="253"/>
      <c r="BY90" s="253"/>
      <c r="BZ90" s="253"/>
      <c r="CA90" s="253"/>
      <c r="CB90" s="253"/>
      <c r="CC90" s="253"/>
      <c r="CD90" s="253"/>
      <c r="CE90" s="253"/>
      <c r="CF90" s="253"/>
      <c r="CG90" s="253"/>
      <c r="CH90" s="253"/>
      <c r="CI90" s="253"/>
      <c r="CJ90" s="253"/>
      <c r="CK90" s="253"/>
      <c r="CL90" s="253"/>
      <c r="CM90" s="253"/>
      <c r="CN90" s="253"/>
      <c r="CO90" s="253"/>
      <c r="CP90" s="253"/>
      <c r="CQ90" s="253"/>
      <c r="CR90" s="253"/>
      <c r="CS90" s="253"/>
      <c r="CT90" s="253"/>
      <c r="CU90" s="253"/>
      <c r="CV90" s="253"/>
      <c r="CW90" s="253"/>
      <c r="CX90" s="251"/>
      <c r="CY90" s="251"/>
      <c r="CZ90" s="251"/>
      <c r="DA90" s="251"/>
      <c r="DB90" s="251"/>
      <c r="DC90" s="251"/>
      <c r="DD90" s="251"/>
      <c r="DE90" s="251"/>
      <c r="DF90" s="251"/>
      <c r="DG90" s="251"/>
      <c r="DH90" s="251"/>
      <c r="DI90" s="251"/>
      <c r="DJ90" s="251"/>
      <c r="DK90" s="251"/>
      <c r="DL90" s="251"/>
      <c r="DM90" s="251"/>
      <c r="DN90" s="251"/>
      <c r="DO90" s="251"/>
      <c r="DP90" s="251"/>
      <c r="DQ90" s="251"/>
      <c r="DR90" s="251"/>
      <c r="DS90" s="251"/>
      <c r="DT90" s="251"/>
      <c r="DU90" s="251"/>
      <c r="DV90" s="251"/>
      <c r="DW90" s="251"/>
      <c r="DX90" s="251"/>
      <c r="DY90" s="251"/>
      <c r="DZ90" s="251"/>
      <c r="EA90" s="251"/>
    </row>
    <row r="91" spans="1:131">
      <c r="A91" s="251" t="s">
        <v>700</v>
      </c>
      <c r="B91" s="251"/>
      <c r="C91" s="287">
        <v>4.4347105597087273</v>
      </c>
      <c r="D91" s="287">
        <v>0.16609903093306744</v>
      </c>
      <c r="E91" s="287">
        <v>3.3219806186613486E-2</v>
      </c>
      <c r="F91" s="287">
        <v>0.19931883711968093</v>
      </c>
      <c r="G91" s="287">
        <v>0.33964265406429683</v>
      </c>
      <c r="H91" s="287">
        <v>2.7428661705431892</v>
      </c>
      <c r="I91" s="287">
        <v>393.71972300331697</v>
      </c>
      <c r="J91" s="287">
        <v>-3.1103011962147207</v>
      </c>
      <c r="K91" s="287">
        <v>-2.4129262646443115</v>
      </c>
      <c r="L91" s="401">
        <v>8.0757411877482994</v>
      </c>
      <c r="M91" s="287">
        <v>4.2130188397955536E-2</v>
      </c>
      <c r="N91" s="287">
        <v>6.2864537280676771E-4</v>
      </c>
      <c r="O91" s="287">
        <v>0.25037430408192124</v>
      </c>
      <c r="P91" s="287">
        <v>0.22874096499170543</v>
      </c>
      <c r="Q91" s="287">
        <v>0.26635346160543677</v>
      </c>
      <c r="R91" s="287">
        <v>0.18203542930463648</v>
      </c>
      <c r="S91" s="287">
        <v>0.18930166780215291</v>
      </c>
      <c r="T91" s="287">
        <v>0.189427127991179</v>
      </c>
      <c r="U91" s="287">
        <v>0.22227287006362287</v>
      </c>
      <c r="V91" s="287">
        <v>0.23932024449822009</v>
      </c>
      <c r="W91" s="287">
        <v>0.21223510430637763</v>
      </c>
      <c r="X91" s="287">
        <v>0.22450489131090487</v>
      </c>
      <c r="Y91" s="287">
        <v>0.20131992894894754</v>
      </c>
      <c r="Z91" s="287">
        <v>0.2495296038132005</v>
      </c>
      <c r="AA91" s="287"/>
      <c r="AB91" s="287">
        <v>0.1797079577224357</v>
      </c>
      <c r="AC91" s="287">
        <v>0.1576114043619814</v>
      </c>
      <c r="AD91" s="287">
        <v>0.15869735956466033</v>
      </c>
      <c r="AE91" s="287">
        <v>0.12168821438038409</v>
      </c>
      <c r="AF91" s="287">
        <v>0.12451272264166491</v>
      </c>
      <c r="AG91" s="287">
        <v>0.11438252126778228</v>
      </c>
      <c r="AH91" s="287">
        <v>0.1666001957831329</v>
      </c>
      <c r="AI91" s="287">
        <v>0.14917791739287353</v>
      </c>
      <c r="AJ91" s="287">
        <v>0.1622588202106244</v>
      </c>
      <c r="AK91" s="287">
        <v>0.1255084549451812</v>
      </c>
      <c r="AL91" s="287">
        <v>0.1401216482229645</v>
      </c>
      <c r="AM91" s="253">
        <v>0.17902774449673775</v>
      </c>
      <c r="AN91" s="253"/>
      <c r="AO91" s="253"/>
      <c r="AP91" s="253"/>
      <c r="AQ91" s="253"/>
      <c r="AR91" s="253"/>
      <c r="AS91" s="253"/>
      <c r="AT91" s="253"/>
      <c r="AU91" s="253"/>
      <c r="AV91" s="253"/>
      <c r="AW91" s="253"/>
      <c r="AX91" s="253"/>
      <c r="AY91" s="253"/>
      <c r="AZ91" s="253"/>
      <c r="BA91" s="253"/>
      <c r="BB91" s="253"/>
      <c r="BC91" s="253"/>
      <c r="BD91" s="253"/>
      <c r="BE91" s="253"/>
      <c r="BF91" s="253"/>
      <c r="BG91" s="253"/>
      <c r="BH91" s="253"/>
      <c r="BI91" s="253"/>
      <c r="BJ91" s="253"/>
      <c r="BK91" s="253"/>
      <c r="BL91" s="253"/>
      <c r="BM91" s="253"/>
      <c r="BN91" s="253"/>
      <c r="BO91" s="253"/>
      <c r="BP91" s="253"/>
      <c r="BQ91" s="253"/>
      <c r="BR91" s="253"/>
      <c r="BS91" s="253"/>
      <c r="BT91" s="253"/>
      <c r="BU91" s="253"/>
      <c r="BV91" s="253"/>
      <c r="BW91" s="253"/>
      <c r="BX91" s="253"/>
      <c r="BY91" s="253"/>
      <c r="BZ91" s="253"/>
      <c r="CA91" s="253"/>
      <c r="CB91" s="253"/>
      <c r="CC91" s="253"/>
      <c r="CD91" s="253"/>
      <c r="CE91" s="253"/>
      <c r="CF91" s="253"/>
      <c r="CG91" s="253"/>
      <c r="CH91" s="253"/>
      <c r="CI91" s="253"/>
      <c r="CJ91" s="253"/>
      <c r="CK91" s="253"/>
      <c r="CL91" s="253"/>
      <c r="CM91" s="253"/>
      <c r="CN91" s="253"/>
      <c r="CO91" s="253"/>
      <c r="CP91" s="253"/>
      <c r="CQ91" s="253"/>
      <c r="CR91" s="253"/>
      <c r="CS91" s="253"/>
      <c r="CT91" s="253"/>
      <c r="CU91" s="253"/>
      <c r="CV91" s="253"/>
      <c r="CW91" s="253"/>
      <c r="CX91" s="251"/>
      <c r="CY91" s="251"/>
      <c r="CZ91" s="251"/>
      <c r="DA91" s="251"/>
      <c r="DB91" s="251"/>
      <c r="DC91" s="251"/>
      <c r="DD91" s="251"/>
      <c r="DE91" s="251"/>
      <c r="DF91" s="251"/>
      <c r="DG91" s="251"/>
      <c r="DH91" s="251"/>
      <c r="DI91" s="251"/>
      <c r="DJ91" s="251"/>
      <c r="DK91" s="251"/>
      <c r="DL91" s="251"/>
      <c r="DM91" s="251"/>
      <c r="DN91" s="251"/>
      <c r="DO91" s="251"/>
      <c r="DP91" s="251"/>
      <c r="DQ91" s="251"/>
      <c r="DR91" s="251"/>
      <c r="DS91" s="251"/>
      <c r="DT91" s="251"/>
      <c r="DU91" s="251"/>
      <c r="DV91" s="251"/>
      <c r="DW91" s="251"/>
      <c r="DX91" s="251"/>
      <c r="DY91" s="251"/>
      <c r="DZ91" s="251"/>
      <c r="EA91" s="251"/>
    </row>
    <row r="92" spans="1:131">
      <c r="A92" s="251" t="s">
        <v>698</v>
      </c>
      <c r="B92" s="251"/>
      <c r="C92" s="287">
        <v>2.6564290127868606</v>
      </c>
      <c r="D92" s="287">
        <v>0.2498478167734684</v>
      </c>
      <c r="E92" s="287">
        <v>4.9969563354693686E-2</v>
      </c>
      <c r="F92" s="287">
        <v>0.29981738012816206</v>
      </c>
      <c r="G92" s="287">
        <v>0.41481089369124546</v>
      </c>
      <c r="H92" s="287">
        <v>1.6429999603178349</v>
      </c>
      <c r="I92" s="287">
        <v>988.69581580399256</v>
      </c>
      <c r="J92" s="287">
        <v>1.6904726457408341</v>
      </c>
      <c r="K92" s="287">
        <v>3.4416972773919268</v>
      </c>
      <c r="L92" s="401">
        <v>3.9608409164412217</v>
      </c>
      <c r="M92" s="287">
        <v>2.5236338035521354E-2</v>
      </c>
      <c r="N92" s="287">
        <v>3.7656387820444201E-4</v>
      </c>
      <c r="O92" s="287">
        <v>0.14997631896482086</v>
      </c>
      <c r="P92" s="287">
        <v>0.13701776646653113</v>
      </c>
      <c r="Q92" s="287">
        <v>0.15954796903619464</v>
      </c>
      <c r="R92" s="287">
        <v>0.10904075683164957</v>
      </c>
      <c r="S92" s="287">
        <v>0.11339329495082259</v>
      </c>
      <c r="T92" s="287">
        <v>0.11346844666176099</v>
      </c>
      <c r="U92" s="287">
        <v>0.13314332307432322</v>
      </c>
      <c r="V92" s="287">
        <v>0.14335484408120477</v>
      </c>
      <c r="W92" s="287">
        <v>0.12713061676077836</v>
      </c>
      <c r="X92" s="287">
        <v>0.13448032261884954</v>
      </c>
      <c r="Y92" s="287">
        <v>0.12059233469958384</v>
      </c>
      <c r="Z92" s="287">
        <v>0.14947033638247934</v>
      </c>
      <c r="AA92" s="287"/>
      <c r="AB92" s="287">
        <v>0.10764658173179791</v>
      </c>
      <c r="AC92" s="287">
        <v>9.4410559980434933E-2</v>
      </c>
      <c r="AD92" s="287">
        <v>9.5061056302154889E-2</v>
      </c>
      <c r="AE92" s="287">
        <v>7.289226632538362E-2</v>
      </c>
      <c r="AF92" s="287">
        <v>7.458417058634971E-2</v>
      </c>
      <c r="AG92" s="287">
        <v>6.8516094559146132E-2</v>
      </c>
      <c r="AH92" s="287">
        <v>9.9794921823117347E-2</v>
      </c>
      <c r="AI92" s="287">
        <v>8.9358830186107727E-2</v>
      </c>
      <c r="AJ92" s="287">
        <v>9.7194401254538654E-2</v>
      </c>
      <c r="AK92" s="287">
        <v>7.5180622630832972E-2</v>
      </c>
      <c r="AL92" s="287">
        <v>8.3934048603037825E-2</v>
      </c>
      <c r="AM92" s="253">
        <v>0.10723912827496081</v>
      </c>
      <c r="AN92" s="253"/>
      <c r="AO92" s="253"/>
      <c r="AP92" s="253"/>
      <c r="AQ92" s="253"/>
      <c r="AR92" s="253"/>
      <c r="AS92" s="253"/>
      <c r="AT92" s="253"/>
      <c r="AU92" s="253"/>
      <c r="AV92" s="253"/>
      <c r="AW92" s="253"/>
      <c r="AX92" s="253"/>
      <c r="AY92" s="253"/>
      <c r="AZ92" s="253"/>
      <c r="BA92" s="253"/>
      <c r="BB92" s="253"/>
      <c r="BC92" s="253"/>
      <c r="BD92" s="253"/>
      <c r="BE92" s="253"/>
      <c r="BF92" s="253"/>
      <c r="BG92" s="253"/>
      <c r="BH92" s="253"/>
      <c r="BI92" s="253"/>
      <c r="BJ92" s="253"/>
      <c r="BK92" s="253"/>
      <c r="BL92" s="253"/>
      <c r="BM92" s="253"/>
      <c r="BN92" s="253"/>
      <c r="BO92" s="253"/>
      <c r="BP92" s="253"/>
      <c r="BQ92" s="253"/>
      <c r="BR92" s="253"/>
      <c r="BS92" s="253"/>
      <c r="BT92" s="253"/>
      <c r="BU92" s="253"/>
      <c r="BV92" s="253"/>
      <c r="BW92" s="253"/>
      <c r="BX92" s="253"/>
      <c r="BY92" s="253"/>
      <c r="BZ92" s="253"/>
      <c r="CA92" s="253"/>
      <c r="CB92" s="253"/>
      <c r="CC92" s="253"/>
      <c r="CD92" s="253"/>
      <c r="CE92" s="253"/>
      <c r="CF92" s="253"/>
      <c r="CG92" s="253"/>
      <c r="CH92" s="253"/>
      <c r="CI92" s="253"/>
      <c r="CJ92" s="253"/>
      <c r="CK92" s="253"/>
      <c r="CL92" s="253"/>
      <c r="CM92" s="253"/>
      <c r="CN92" s="253"/>
      <c r="CO92" s="253"/>
      <c r="CP92" s="253"/>
      <c r="CQ92" s="253"/>
      <c r="CR92" s="253"/>
      <c r="CS92" s="253"/>
      <c r="CT92" s="253"/>
      <c r="CU92" s="253"/>
      <c r="CV92" s="253"/>
      <c r="CW92" s="253"/>
      <c r="CX92" s="251"/>
      <c r="CY92" s="251"/>
      <c r="CZ92" s="251"/>
      <c r="DA92" s="251"/>
      <c r="DB92" s="251"/>
      <c r="DC92" s="251"/>
      <c r="DD92" s="251"/>
      <c r="DE92" s="251"/>
      <c r="DF92" s="251"/>
      <c r="DG92" s="251"/>
      <c r="DH92" s="251"/>
      <c r="DI92" s="251"/>
      <c r="DJ92" s="251"/>
      <c r="DK92" s="251"/>
      <c r="DL92" s="251"/>
      <c r="DM92" s="251"/>
      <c r="DN92" s="251"/>
      <c r="DO92" s="251"/>
      <c r="DP92" s="251"/>
      <c r="DQ92" s="251"/>
      <c r="DR92" s="251"/>
      <c r="DS92" s="251"/>
      <c r="DT92" s="251"/>
      <c r="DU92" s="251"/>
      <c r="DV92" s="251"/>
      <c r="DW92" s="251"/>
      <c r="DX92" s="251"/>
      <c r="DY92" s="251"/>
      <c r="DZ92" s="251"/>
      <c r="EA92" s="251"/>
    </row>
    <row r="93" spans="1:131">
      <c r="A93" s="251" t="s">
        <v>699</v>
      </c>
      <c r="B93" s="251"/>
      <c r="C93" s="287">
        <v>2.9178889796356824</v>
      </c>
      <c r="D93" s="287">
        <v>1.8020164191833796</v>
      </c>
      <c r="E93" s="287">
        <v>0.36040328383667597</v>
      </c>
      <c r="F93" s="287">
        <v>2.1624197030200554</v>
      </c>
      <c r="G93" s="287">
        <v>2.6946009773235344</v>
      </c>
      <c r="H93" s="287">
        <v>1.8047128135841988</v>
      </c>
      <c r="I93" s="287">
        <v>6491.9524802553724</v>
      </c>
      <c r="J93" s="287">
        <v>48.403785422801711</v>
      </c>
      <c r="K93" s="287">
        <v>59.902637657436337</v>
      </c>
      <c r="L93" s="372">
        <v>0.66975141357543977</v>
      </c>
      <c r="M93" s="287">
        <v>2.7720233548780653E-2</v>
      </c>
      <c r="N93" s="287">
        <v>4.1362731134640516E-4</v>
      </c>
      <c r="O93" s="287">
        <v>0.1647377913007641</v>
      </c>
      <c r="P93" s="287">
        <v>0.15050378868116396</v>
      </c>
      <c r="Q93" s="287">
        <v>0.17525153442198169</v>
      </c>
      <c r="R93" s="287">
        <v>0.11977313195974075</v>
      </c>
      <c r="S93" s="287">
        <v>0.12455407018554915</v>
      </c>
      <c r="T93" s="287">
        <v>0.12463661873026553</v>
      </c>
      <c r="U93" s="287">
        <v>0.14624800182522782</v>
      </c>
      <c r="V93" s="287">
        <v>0.15746459540550906</v>
      </c>
      <c r="W93" s="287">
        <v>0.13964349276226115</v>
      </c>
      <c r="X93" s="287">
        <v>0.14771659602366963</v>
      </c>
      <c r="Y93" s="287">
        <v>0.13246167797245262</v>
      </c>
      <c r="Z93" s="287">
        <v>0.1641820072034684</v>
      </c>
      <c r="AA93" s="287"/>
      <c r="AB93" s="287">
        <v>0.11824173468168141</v>
      </c>
      <c r="AC93" s="287">
        <v>0.10370295279945727</v>
      </c>
      <c r="AD93" s="287">
        <v>0.10441747445213599</v>
      </c>
      <c r="AE93" s="287">
        <v>8.0066713466726974E-2</v>
      </c>
      <c r="AF93" s="287">
        <v>8.1925144004079242E-2</v>
      </c>
      <c r="AG93" s="287">
        <v>7.5259815443767558E-2</v>
      </c>
      <c r="AH93" s="287">
        <v>0.10961727236437253</v>
      </c>
      <c r="AI93" s="287">
        <v>9.8154004710119674E-2</v>
      </c>
      <c r="AJ93" s="287">
        <v>0.1067607946373765</v>
      </c>
      <c r="AK93" s="287">
        <v>8.2580302052384494E-2</v>
      </c>
      <c r="AL93" s="287">
        <v>9.219528707754715E-2</v>
      </c>
      <c r="AM93" s="253">
        <v>0.11779417747398017</v>
      </c>
      <c r="AN93" s="253"/>
      <c r="AO93" s="253"/>
      <c r="AP93" s="253"/>
      <c r="AQ93" s="253"/>
      <c r="AR93" s="253"/>
      <c r="AS93" s="253"/>
      <c r="AT93" s="253"/>
      <c r="AU93" s="253"/>
      <c r="AV93" s="253"/>
      <c r="AW93" s="253"/>
      <c r="AX93" s="253"/>
      <c r="AY93" s="253"/>
      <c r="AZ93" s="253"/>
      <c r="BA93" s="253"/>
      <c r="BB93" s="253"/>
      <c r="BC93" s="253"/>
      <c r="BD93" s="253"/>
      <c r="BE93" s="253"/>
      <c r="BF93" s="253"/>
      <c r="BG93" s="253"/>
      <c r="BH93" s="253"/>
      <c r="BI93" s="253"/>
      <c r="BJ93" s="253"/>
      <c r="BK93" s="253"/>
      <c r="BL93" s="253"/>
      <c r="BM93" s="253"/>
      <c r="BN93" s="253"/>
      <c r="BO93" s="253"/>
      <c r="BP93" s="253"/>
      <c r="BQ93" s="253"/>
      <c r="BR93" s="253"/>
      <c r="BS93" s="253"/>
      <c r="BT93" s="253"/>
      <c r="BU93" s="253"/>
      <c r="BV93" s="253"/>
      <c r="BW93" s="253"/>
      <c r="BX93" s="253"/>
      <c r="BY93" s="253"/>
      <c r="BZ93" s="253"/>
      <c r="CA93" s="253"/>
      <c r="CB93" s="253"/>
      <c r="CC93" s="253"/>
      <c r="CD93" s="253"/>
      <c r="CE93" s="253"/>
      <c r="CF93" s="253"/>
      <c r="CG93" s="253"/>
      <c r="CH93" s="253"/>
      <c r="CI93" s="253"/>
      <c r="CJ93" s="253"/>
      <c r="CK93" s="253"/>
      <c r="CL93" s="253"/>
      <c r="CM93" s="253"/>
      <c r="CN93" s="253"/>
      <c r="CO93" s="253"/>
      <c r="CP93" s="253"/>
      <c r="CQ93" s="253"/>
      <c r="CR93" s="253"/>
      <c r="CS93" s="253"/>
      <c r="CT93" s="253"/>
      <c r="CU93" s="253"/>
      <c r="CV93" s="253"/>
      <c r="CW93" s="253"/>
      <c r="CX93" s="251"/>
      <c r="CY93" s="251"/>
      <c r="CZ93" s="251"/>
      <c r="DA93" s="251"/>
      <c r="DB93" s="251"/>
      <c r="DC93" s="251"/>
      <c r="DD93" s="251"/>
      <c r="DE93" s="251"/>
      <c r="DF93" s="251"/>
      <c r="DG93" s="251"/>
      <c r="DH93" s="251"/>
      <c r="DI93" s="251"/>
      <c r="DJ93" s="251"/>
      <c r="DK93" s="251"/>
      <c r="DL93" s="251"/>
      <c r="DM93" s="251"/>
      <c r="DN93" s="251"/>
      <c r="DO93" s="251"/>
      <c r="DP93" s="251"/>
      <c r="DQ93" s="251"/>
      <c r="DR93" s="251"/>
      <c r="DS93" s="251"/>
      <c r="DT93" s="251"/>
      <c r="DU93" s="251"/>
      <c r="DV93" s="251"/>
      <c r="DW93" s="251"/>
      <c r="DX93" s="251"/>
      <c r="DY93" s="251"/>
      <c r="DZ93" s="251"/>
      <c r="EA93" s="251"/>
    </row>
    <row r="94" spans="1:131">
      <c r="A94" s="251" t="s">
        <v>380</v>
      </c>
      <c r="B94" s="251"/>
      <c r="C94" s="287">
        <v>1.4954141897898539</v>
      </c>
      <c r="D94" s="287">
        <v>1.3898288793186622</v>
      </c>
      <c r="E94" s="287">
        <v>0.27796577586373244</v>
      </c>
      <c r="F94" s="287">
        <v>1.6677946551823946</v>
      </c>
      <c r="G94" s="287">
        <v>2.1292227914288273</v>
      </c>
      <c r="H94" s="287">
        <v>0.92491289722282211</v>
      </c>
      <c r="I94" s="287">
        <v>9769.7890518551649</v>
      </c>
      <c r="J94" s="287">
        <v>79.415190973379694</v>
      </c>
      <c r="K94" s="287">
        <v>96.719901846188563</v>
      </c>
      <c r="L94" s="372">
        <v>0.43438991022736234</v>
      </c>
      <c r="M94" s="287">
        <v>1.4206582526766003E-2</v>
      </c>
      <c r="N94" s="287">
        <v>2.1198344247808546E-4</v>
      </c>
      <c r="O94" s="287">
        <v>8.4427897163023929E-2</v>
      </c>
      <c r="P94" s="287">
        <v>7.7132989905272925E-2</v>
      </c>
      <c r="Q94" s="287">
        <v>8.9816176415936866E-2</v>
      </c>
      <c r="R94" s="287">
        <v>6.1383569538869878E-2</v>
      </c>
      <c r="S94" s="287">
        <v>6.3833793969367322E-2</v>
      </c>
      <c r="T94" s="287">
        <v>6.387609998785429E-2</v>
      </c>
      <c r="U94" s="287">
        <v>7.495190484771784E-2</v>
      </c>
      <c r="V94" s="287">
        <v>8.0700394018526744E-2</v>
      </c>
      <c r="W94" s="287">
        <v>7.1567102808200486E-2</v>
      </c>
      <c r="X94" s="287">
        <v>7.5704557405344319E-2</v>
      </c>
      <c r="Y94" s="287">
        <v>6.7886432357721849E-2</v>
      </c>
      <c r="Z94" s="287">
        <v>8.4143058558349082E-2</v>
      </c>
      <c r="AA94" s="287"/>
      <c r="AB94" s="287">
        <v>6.0598730487145085E-2</v>
      </c>
      <c r="AC94" s="287">
        <v>5.3147624265943959E-2</v>
      </c>
      <c r="AD94" s="287">
        <v>5.3513815654919035E-2</v>
      </c>
      <c r="AE94" s="287">
        <v>4.1034083299129276E-2</v>
      </c>
      <c r="AF94" s="287">
        <v>4.1986526457759098E-2</v>
      </c>
      <c r="AG94" s="287">
        <v>3.8570554507398547E-2</v>
      </c>
      <c r="AH94" s="287">
        <v>5.6178705113108449E-2</v>
      </c>
      <c r="AI94" s="287">
        <v>5.0303795810126978E-2</v>
      </c>
      <c r="AJ94" s="287">
        <v>5.4714764107956886E-2</v>
      </c>
      <c r="AK94" s="287">
        <v>4.2322294079086838E-2</v>
      </c>
      <c r="AL94" s="287">
        <v>4.7249961012816588E-2</v>
      </c>
      <c r="AM94" s="253">
        <v>6.0369358018277981E-2</v>
      </c>
      <c r="AN94" s="253"/>
      <c r="AO94" s="253"/>
      <c r="AP94" s="253"/>
      <c r="AQ94" s="253"/>
      <c r="AR94" s="253"/>
      <c r="AS94" s="253"/>
      <c r="AT94" s="253"/>
      <c r="AU94" s="253"/>
      <c r="AV94" s="253"/>
      <c r="AW94" s="253"/>
      <c r="AX94" s="253"/>
      <c r="AY94" s="253"/>
      <c r="AZ94" s="253"/>
      <c r="BA94" s="253"/>
      <c r="BB94" s="253"/>
      <c r="BC94" s="253"/>
      <c r="BD94" s="253"/>
      <c r="BE94" s="253"/>
      <c r="BF94" s="253"/>
      <c r="BG94" s="253"/>
      <c r="BH94" s="253"/>
      <c r="BI94" s="253"/>
      <c r="BJ94" s="253"/>
      <c r="BK94" s="253"/>
      <c r="BL94" s="253"/>
      <c r="BM94" s="253"/>
      <c r="BN94" s="253"/>
      <c r="BO94" s="253"/>
      <c r="BP94" s="253"/>
      <c r="BQ94" s="253"/>
      <c r="BR94" s="253"/>
      <c r="BS94" s="253"/>
      <c r="BT94" s="253"/>
      <c r="BU94" s="253"/>
      <c r="BV94" s="253"/>
      <c r="BW94" s="253"/>
      <c r="BX94" s="253"/>
      <c r="BY94" s="253"/>
      <c r="BZ94" s="253"/>
      <c r="CA94" s="253"/>
      <c r="CB94" s="253"/>
      <c r="CC94" s="253"/>
      <c r="CD94" s="253"/>
      <c r="CE94" s="253"/>
      <c r="CF94" s="253"/>
      <c r="CG94" s="253"/>
      <c r="CH94" s="253"/>
      <c r="CI94" s="253"/>
      <c r="CJ94" s="253"/>
      <c r="CK94" s="253"/>
      <c r="CL94" s="253"/>
      <c r="CM94" s="253"/>
      <c r="CN94" s="253"/>
      <c r="CO94" s="253"/>
      <c r="CP94" s="253"/>
      <c r="CQ94" s="253"/>
      <c r="CR94" s="253"/>
      <c r="CS94" s="253"/>
      <c r="CT94" s="253"/>
      <c r="CU94" s="253"/>
      <c r="CV94" s="253"/>
      <c r="CW94" s="253"/>
      <c r="CX94" s="251"/>
      <c r="CY94" s="251"/>
      <c r="CZ94" s="251"/>
      <c r="DA94" s="251"/>
      <c r="DB94" s="251"/>
      <c r="DC94" s="251"/>
      <c r="DD94" s="251"/>
      <c r="DE94" s="251"/>
      <c r="DF94" s="251"/>
      <c r="DG94" s="251"/>
      <c r="DH94" s="251"/>
      <c r="DI94" s="251"/>
      <c r="DJ94" s="251"/>
      <c r="DK94" s="251"/>
      <c r="DL94" s="251"/>
      <c r="DM94" s="251"/>
      <c r="DN94" s="251"/>
      <c r="DO94" s="251"/>
      <c r="DP94" s="251"/>
      <c r="DQ94" s="251"/>
      <c r="DR94" s="251"/>
      <c r="DS94" s="251"/>
      <c r="DT94" s="251"/>
      <c r="DU94" s="251"/>
      <c r="DV94" s="251"/>
      <c r="DW94" s="251"/>
      <c r="DX94" s="251"/>
      <c r="DY94" s="251"/>
      <c r="DZ94" s="251"/>
      <c r="EA94" s="251"/>
    </row>
    <row r="95" spans="1:131">
      <c r="A95" s="251" t="s">
        <v>381</v>
      </c>
      <c r="B95" s="251"/>
      <c r="C95" s="287">
        <v>0.11582536899942986</v>
      </c>
      <c r="D95" s="287">
        <v>0.35145964490321813</v>
      </c>
      <c r="E95" s="287">
        <v>7.0291928980643625E-2</v>
      </c>
      <c r="F95" s="287">
        <v>0.42175157388386175</v>
      </c>
      <c r="G95" s="287">
        <v>0.51893243037872083</v>
      </c>
      <c r="H95" s="287">
        <v>7.163793037714826E-2</v>
      </c>
      <c r="I95" s="287">
        <v>31897.535221673374</v>
      </c>
      <c r="J95" s="287">
        <v>265.12156066774412</v>
      </c>
      <c r="K95" s="287">
        <v>321.6199785595287</v>
      </c>
      <c r="L95" s="372">
        <v>0.13804866719327283</v>
      </c>
      <c r="M95" s="287">
        <v>1.1003524472472449E-3</v>
      </c>
      <c r="N95" s="287">
        <v>1.6418902946376368E-5</v>
      </c>
      <c r="O95" s="287">
        <v>6.539253411877389E-3</v>
      </c>
      <c r="P95" s="287">
        <v>5.9742358196179729E-3</v>
      </c>
      <c r="Q95" s="287">
        <v>6.9565956017547739E-3</v>
      </c>
      <c r="R95" s="287">
        <v>4.7543848660021619E-3</v>
      </c>
      <c r="S95" s="287">
        <v>4.9441638253911093E-3</v>
      </c>
      <c r="T95" s="287">
        <v>4.9474405832523128E-3</v>
      </c>
      <c r="U95" s="287">
        <v>5.8053027017331135E-3</v>
      </c>
      <c r="V95" s="287">
        <v>6.2505444842065917E-3</v>
      </c>
      <c r="W95" s="287">
        <v>5.5431372442338684E-3</v>
      </c>
      <c r="X95" s="287">
        <v>5.8635984306426425E-3</v>
      </c>
      <c r="Y95" s="287">
        <v>5.2580556822139878E-3</v>
      </c>
      <c r="Z95" s="287">
        <v>6.5171916067153128E-3</v>
      </c>
      <c r="AA95" s="287"/>
      <c r="AB95" s="287">
        <v>4.6935961738847213E-3</v>
      </c>
      <c r="AC95" s="287">
        <v>4.1164803932421381E-3</v>
      </c>
      <c r="AD95" s="287">
        <v>4.1448432729326223E-3</v>
      </c>
      <c r="AE95" s="287">
        <v>3.1782417688191694E-3</v>
      </c>
      <c r="AF95" s="287">
        <v>3.2520120199325308E-3</v>
      </c>
      <c r="AG95" s="287">
        <v>2.9874323373645772E-3</v>
      </c>
      <c r="AH95" s="287">
        <v>4.3512488339771211E-3</v>
      </c>
      <c r="AI95" s="287">
        <v>3.8962153439233479E-3</v>
      </c>
      <c r="AJ95" s="287">
        <v>4.2378611797253551E-3</v>
      </c>
      <c r="AK95" s="287">
        <v>3.2780184661090322E-3</v>
      </c>
      <c r="AL95" s="287">
        <v>3.6596845254539302E-3</v>
      </c>
      <c r="AM95" s="253">
        <v>4.6758304264240954E-3</v>
      </c>
      <c r="AN95" s="253"/>
      <c r="AO95" s="253"/>
      <c r="AP95" s="253"/>
      <c r="AQ95" s="253"/>
      <c r="AR95" s="253"/>
      <c r="AS95" s="253"/>
      <c r="AT95" s="253"/>
      <c r="AU95" s="253"/>
      <c r="AV95" s="253"/>
      <c r="AW95" s="253"/>
      <c r="AX95" s="253"/>
      <c r="AY95" s="253"/>
      <c r="AZ95" s="253"/>
      <c r="BA95" s="253"/>
      <c r="BB95" s="253"/>
      <c r="BC95" s="253"/>
      <c r="BD95" s="253"/>
      <c r="BE95" s="253"/>
      <c r="BF95" s="253"/>
      <c r="BG95" s="253"/>
      <c r="BH95" s="253"/>
      <c r="BI95" s="253"/>
      <c r="BJ95" s="253"/>
      <c r="BK95" s="253"/>
      <c r="BL95" s="253"/>
      <c r="BM95" s="253"/>
      <c r="BN95" s="253"/>
      <c r="BO95" s="253"/>
      <c r="BP95" s="253"/>
      <c r="BQ95" s="253"/>
      <c r="BR95" s="253"/>
      <c r="BS95" s="253"/>
      <c r="BT95" s="253"/>
      <c r="BU95" s="253"/>
      <c r="BV95" s="253"/>
      <c r="BW95" s="253"/>
      <c r="BX95" s="253"/>
      <c r="BY95" s="253"/>
      <c r="BZ95" s="253"/>
      <c r="CA95" s="253"/>
      <c r="CB95" s="253"/>
      <c r="CC95" s="253"/>
      <c r="CD95" s="253"/>
      <c r="CE95" s="253"/>
      <c r="CF95" s="253"/>
      <c r="CG95" s="253"/>
      <c r="CH95" s="253"/>
      <c r="CI95" s="253"/>
      <c r="CJ95" s="253"/>
      <c r="CK95" s="253"/>
      <c r="CL95" s="253"/>
      <c r="CM95" s="253"/>
      <c r="CN95" s="253"/>
      <c r="CO95" s="253"/>
      <c r="CP95" s="253"/>
      <c r="CQ95" s="253"/>
      <c r="CR95" s="253"/>
      <c r="CS95" s="253"/>
      <c r="CT95" s="253"/>
      <c r="CU95" s="253"/>
      <c r="CV95" s="253"/>
      <c r="CW95" s="253"/>
      <c r="CX95" s="251"/>
      <c r="CY95" s="251"/>
      <c r="CZ95" s="251"/>
      <c r="DA95" s="251"/>
      <c r="DB95" s="251"/>
      <c r="DC95" s="251"/>
      <c r="DD95" s="251"/>
      <c r="DE95" s="251"/>
      <c r="DF95" s="251"/>
      <c r="DG95" s="251"/>
      <c r="DH95" s="251"/>
      <c r="DI95" s="251"/>
      <c r="DJ95" s="251"/>
      <c r="DK95" s="251"/>
      <c r="DL95" s="251"/>
      <c r="DM95" s="251"/>
      <c r="DN95" s="251"/>
      <c r="DO95" s="251"/>
      <c r="DP95" s="251"/>
      <c r="DQ95" s="251"/>
      <c r="DR95" s="251"/>
      <c r="DS95" s="251"/>
      <c r="DT95" s="251"/>
      <c r="DU95" s="251"/>
      <c r="DV95" s="251"/>
      <c r="DW95" s="251"/>
      <c r="DX95" s="251"/>
      <c r="DY95" s="251"/>
      <c r="DZ95" s="251"/>
      <c r="EA95" s="251"/>
    </row>
    <row r="96" spans="1:131">
      <c r="A96" s="251"/>
      <c r="B96" s="251"/>
      <c r="C96" s="253"/>
      <c r="D96" s="253"/>
      <c r="E96" s="253"/>
      <c r="F96" s="253"/>
      <c r="G96" s="253"/>
      <c r="H96" s="253"/>
      <c r="I96" s="253"/>
      <c r="J96" s="253"/>
      <c r="K96" s="253"/>
      <c r="L96" s="253"/>
      <c r="M96" s="253"/>
      <c r="N96" s="253"/>
      <c r="O96" s="253"/>
      <c r="P96" s="253"/>
      <c r="Q96" s="253"/>
      <c r="R96" s="253"/>
      <c r="S96" s="253"/>
      <c r="T96" s="253"/>
      <c r="U96" s="253"/>
      <c r="V96" s="253"/>
      <c r="W96" s="253"/>
      <c r="X96" s="253"/>
      <c r="Y96" s="253"/>
      <c r="Z96" s="253"/>
      <c r="AA96" s="253"/>
      <c r="AB96" s="253"/>
      <c r="AC96" s="253"/>
      <c r="AD96" s="253"/>
      <c r="AE96" s="253"/>
      <c r="AF96" s="253"/>
      <c r="AG96" s="253"/>
      <c r="AH96" s="253"/>
      <c r="AI96" s="253"/>
      <c r="AJ96" s="253"/>
      <c r="AK96" s="253"/>
      <c r="AL96" s="253"/>
      <c r="AM96" s="253"/>
      <c r="AN96" s="253"/>
      <c r="AO96" s="253"/>
      <c r="AP96" s="253"/>
      <c r="AQ96" s="253"/>
      <c r="AR96" s="253"/>
      <c r="AS96" s="253"/>
      <c r="AT96" s="253"/>
      <c r="AU96" s="253"/>
      <c r="AV96" s="253"/>
      <c r="AW96" s="253"/>
      <c r="AX96" s="253"/>
      <c r="AY96" s="253"/>
      <c r="AZ96" s="253"/>
      <c r="BA96" s="253"/>
      <c r="BB96" s="253"/>
      <c r="BC96" s="253"/>
      <c r="BD96" s="253"/>
      <c r="BE96" s="253"/>
      <c r="BF96" s="253"/>
      <c r="BG96" s="253"/>
      <c r="BH96" s="253"/>
      <c r="BI96" s="253"/>
      <c r="BJ96" s="253"/>
      <c r="BK96" s="253"/>
      <c r="BL96" s="253"/>
      <c r="BM96" s="253"/>
      <c r="BN96" s="253"/>
      <c r="BO96" s="253"/>
      <c r="BP96" s="253"/>
      <c r="BQ96" s="253"/>
      <c r="BR96" s="253"/>
      <c r="BS96" s="253"/>
      <c r="BT96" s="253"/>
      <c r="BU96" s="253"/>
      <c r="BV96" s="253"/>
      <c r="BW96" s="253"/>
      <c r="BX96" s="253"/>
      <c r="BY96" s="253"/>
      <c r="BZ96" s="253"/>
      <c r="CA96" s="253"/>
      <c r="CB96" s="253"/>
      <c r="CC96" s="253"/>
      <c r="CD96" s="253"/>
      <c r="CE96" s="253"/>
      <c r="CF96" s="253"/>
      <c r="CG96" s="253"/>
      <c r="CH96" s="253"/>
      <c r="CI96" s="253"/>
      <c r="CJ96" s="253"/>
      <c r="CK96" s="253"/>
      <c r="CL96" s="253"/>
      <c r="CM96" s="253"/>
      <c r="CN96" s="253"/>
      <c r="CO96" s="253"/>
      <c r="CP96" s="253"/>
      <c r="CQ96" s="253"/>
      <c r="CR96" s="253"/>
      <c r="CS96" s="253"/>
      <c r="CT96" s="253"/>
      <c r="CU96" s="253"/>
      <c r="CV96" s="253"/>
      <c r="CW96" s="253"/>
      <c r="CX96" s="251"/>
      <c r="CY96" s="251"/>
      <c r="CZ96" s="251"/>
      <c r="DA96" s="251"/>
      <c r="DB96" s="251"/>
      <c r="DC96" s="251"/>
      <c r="DD96" s="251"/>
      <c r="DE96" s="251"/>
      <c r="DF96" s="251"/>
      <c r="DG96" s="251"/>
      <c r="DH96" s="251"/>
      <c r="DI96" s="251"/>
      <c r="DJ96" s="251"/>
      <c r="DK96" s="251"/>
      <c r="DL96" s="251"/>
      <c r="DM96" s="251"/>
      <c r="DN96" s="251"/>
      <c r="DO96" s="251"/>
      <c r="DP96" s="251"/>
      <c r="DQ96" s="251"/>
      <c r="DR96" s="251"/>
      <c r="DS96" s="251"/>
      <c r="DT96" s="251"/>
      <c r="DU96" s="251"/>
      <c r="DV96" s="251"/>
      <c r="DW96" s="251"/>
      <c r="DX96" s="251"/>
      <c r="DY96" s="251"/>
      <c r="DZ96" s="251"/>
      <c r="EA96" s="251"/>
    </row>
  </sheetData>
  <mergeCells count="3">
    <mergeCell ref="I6:N6"/>
    <mergeCell ref="O6:P6"/>
    <mergeCell ref="R6:T6"/>
  </mergeCell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sheetPr codeName="Sheet6"/>
  <dimension ref="B1:N49"/>
  <sheetViews>
    <sheetView workbookViewId="0">
      <selection activeCell="K21" sqref="K21"/>
    </sheetView>
  </sheetViews>
  <sheetFormatPr defaultRowHeight="12.75"/>
  <cols>
    <col min="1" max="1" width="3.42578125" customWidth="1"/>
    <col min="2" max="2" width="25.5703125" customWidth="1"/>
    <col min="3" max="3" width="51.28515625" customWidth="1"/>
    <col min="4" max="4" width="24.140625" customWidth="1"/>
    <col min="5" max="5" width="20.42578125" customWidth="1"/>
    <col min="6" max="6" width="14" bestFit="1" customWidth="1"/>
    <col min="7" max="7" width="11.5703125" bestFit="1" customWidth="1"/>
    <col min="8" max="11" width="13.7109375" customWidth="1"/>
    <col min="12" max="12" width="12" customWidth="1"/>
  </cols>
  <sheetData>
    <row r="1" spans="2:14">
      <c r="B1">
        <v>1</v>
      </c>
      <c r="C1">
        <v>2</v>
      </c>
      <c r="D1">
        <v>3</v>
      </c>
      <c r="E1">
        <v>4</v>
      </c>
      <c r="F1">
        <v>5</v>
      </c>
      <c r="G1">
        <v>6</v>
      </c>
      <c r="H1">
        <v>7</v>
      </c>
      <c r="I1">
        <v>8</v>
      </c>
      <c r="J1">
        <v>9</v>
      </c>
      <c r="K1">
        <v>10</v>
      </c>
    </row>
    <row r="2" spans="2:14" ht="13.5" thickBot="1">
      <c r="H2" s="149" t="s">
        <v>899</v>
      </c>
      <c r="K2" s="3">
        <f>Sales!$N$5</f>
        <v>182820772</v>
      </c>
      <c r="L2" s="149" t="s">
        <v>902</v>
      </c>
    </row>
    <row r="3" spans="2:14" ht="64.5" thickBot="1">
      <c r="C3" s="108" t="s">
        <v>374</v>
      </c>
      <c r="D3" s="109" t="s">
        <v>900</v>
      </c>
      <c r="E3" s="114" t="s">
        <v>427</v>
      </c>
      <c r="F3" s="114" t="s">
        <v>428</v>
      </c>
      <c r="G3" s="115" t="s">
        <v>375</v>
      </c>
      <c r="H3" s="403" t="s">
        <v>400</v>
      </c>
      <c r="I3" s="404" t="s">
        <v>427</v>
      </c>
      <c r="J3" s="404" t="s">
        <v>428</v>
      </c>
      <c r="K3" s="405" t="s">
        <v>375</v>
      </c>
    </row>
    <row r="4" spans="2:14" s="29" customFormat="1" ht="25.5">
      <c r="B4" s="361" t="s">
        <v>700</v>
      </c>
      <c r="C4" s="110" t="s">
        <v>377</v>
      </c>
      <c r="D4" s="111">
        <f>D25-$D$19*D25/SUM($D$25:$D$28)</f>
        <v>754802.19229868962</v>
      </c>
      <c r="E4" s="112">
        <f>D13*E25*($D$32-$D$16)/$D$32</f>
        <v>30366353.063635271</v>
      </c>
      <c r="F4" s="112">
        <f>D13*F25*($D$32-$D$16)/$D$32</f>
        <v>1287115.5741411867</v>
      </c>
      <c r="G4" s="113">
        <v>15</v>
      </c>
      <c r="H4" s="29">
        <f>D4/$K$2</f>
        <v>4.1286456896631506E-3</v>
      </c>
      <c r="I4" s="407">
        <f t="shared" ref="I4:J4" si="0">E4/$K$2</f>
        <v>0.16609903093306744</v>
      </c>
      <c r="J4" s="407">
        <f t="shared" si="0"/>
        <v>7.0403136364678882E-3</v>
      </c>
      <c r="K4" s="29">
        <f>G4</f>
        <v>15</v>
      </c>
    </row>
    <row r="5" spans="2:14" ht="25.5">
      <c r="B5" s="362" t="s">
        <v>698</v>
      </c>
      <c r="C5" s="104" t="s">
        <v>378</v>
      </c>
      <c r="D5" s="106">
        <f>D26-$D$19*D26/SUM($D$25:$D$28)</f>
        <v>452132.87666491146</v>
      </c>
      <c r="E5" s="100">
        <f>D13*E26*($D$32-$D$16)/$D$32</f>
        <v>45677370.745040044</v>
      </c>
      <c r="F5" s="100">
        <f>D13*F26*($D$32-$D$16)/$D$32</f>
        <v>643557.78707059333</v>
      </c>
      <c r="G5" s="101">
        <v>15</v>
      </c>
      <c r="H5" s="29">
        <f t="shared" ref="H5:H8" si="1">D5/$K$2</f>
        <v>2.4730935753017793E-3</v>
      </c>
      <c r="I5" s="407">
        <f t="shared" ref="I5:I8" si="2">E5/$K$2</f>
        <v>0.2498478167734684</v>
      </c>
      <c r="J5" s="407">
        <f t="shared" ref="J5:J8" si="3">F5/$K$2</f>
        <v>3.5201568182339441E-3</v>
      </c>
      <c r="K5" s="29">
        <f t="shared" ref="K5:K8" si="4">G5</f>
        <v>15</v>
      </c>
    </row>
    <row r="6" spans="2:14" ht="38.25">
      <c r="B6" s="362" t="s">
        <v>699</v>
      </c>
      <c r="C6" s="104" t="s">
        <v>379</v>
      </c>
      <c r="D6" s="106">
        <f>D27-$D$19*D27/SUM($D$25:$D$28)</f>
        <v>496634.21525707311</v>
      </c>
      <c r="E6" s="100">
        <f>D13*E27*($D$32-$D$16)/$D$32</f>
        <v>329446032.91178107</v>
      </c>
      <c r="F6" s="100">
        <f>D13*F27*($D$32-$D$16)/$D$32</f>
        <v>643557.78707059333</v>
      </c>
      <c r="G6" s="101">
        <v>15</v>
      </c>
      <c r="H6" s="29">
        <f t="shared" si="1"/>
        <v>2.7165086867540038E-3</v>
      </c>
      <c r="I6" s="407">
        <f t="shared" si="2"/>
        <v>1.8020164191833796</v>
      </c>
      <c r="J6" s="407">
        <f t="shared" si="3"/>
        <v>3.5201568182339441E-3</v>
      </c>
      <c r="K6" s="29">
        <f t="shared" si="4"/>
        <v>15</v>
      </c>
      <c r="L6" s="9"/>
      <c r="N6" s="27"/>
    </row>
    <row r="7" spans="2:14">
      <c r="B7" s="362" t="s">
        <v>380</v>
      </c>
      <c r="C7" s="104" t="s">
        <v>380</v>
      </c>
      <c r="D7" s="106">
        <f>D28-$D$19*D28/SUM($D$25:$D$28)</f>
        <v>254524.36943755951</v>
      </c>
      <c r="E7" s="100">
        <f>D13*E28*($D$33-$D$16)/$D$33</f>
        <v>254089588.66493267</v>
      </c>
      <c r="F7" s="100">
        <f>D13*F28*($D$33-$D$16)/$D$33</f>
        <v>1182099.8160976437</v>
      </c>
      <c r="G7" s="101">
        <v>15</v>
      </c>
      <c r="H7" s="29">
        <f t="shared" si="1"/>
        <v>1.3922070596964742E-3</v>
      </c>
      <c r="I7" s="407">
        <f t="shared" si="2"/>
        <v>1.3898288793186622</v>
      </c>
      <c r="J7" s="407">
        <f t="shared" si="3"/>
        <v>6.465894455897187E-3</v>
      </c>
      <c r="K7" s="29">
        <f t="shared" si="4"/>
        <v>15</v>
      </c>
    </row>
    <row r="8" spans="2:14" ht="32.25" customHeight="1" thickBot="1">
      <c r="B8" s="362" t="s">
        <v>381</v>
      </c>
      <c r="C8" s="105" t="s">
        <v>381</v>
      </c>
      <c r="D8" s="107">
        <f>D29</f>
        <v>19713.855339031739</v>
      </c>
      <c r="E8" s="102">
        <f>D13*E29</f>
        <v>64254123.608052202</v>
      </c>
      <c r="F8" s="102">
        <f>D13*F29</f>
        <v>36542.629540124472</v>
      </c>
      <c r="G8" s="103">
        <v>15</v>
      </c>
      <c r="H8" s="29">
        <f t="shared" si="1"/>
        <v>1.0783159442643497E-4</v>
      </c>
      <c r="I8" s="407">
        <f t="shared" si="2"/>
        <v>0.35145964490321813</v>
      </c>
      <c r="J8" s="407">
        <f t="shared" si="3"/>
        <v>1.9988226250419985E-4</v>
      </c>
      <c r="K8" s="29">
        <f t="shared" si="4"/>
        <v>15</v>
      </c>
    </row>
    <row r="9" spans="2:14">
      <c r="I9" s="27"/>
    </row>
    <row r="10" spans="2:14">
      <c r="D10" s="9">
        <f>SUM(D4:D8)/8760</f>
        <v>225.77711289923118</v>
      </c>
      <c r="E10" s="67" t="s">
        <v>162</v>
      </c>
      <c r="H10" s="406">
        <f>SUM(H4:H8)</f>
        <v>1.0818286605841844E-2</v>
      </c>
    </row>
    <row r="11" spans="2:14">
      <c r="C11" s="98"/>
      <c r="M11" s="116"/>
    </row>
    <row r="13" spans="2:14">
      <c r="C13" s="179" t="s">
        <v>429</v>
      </c>
      <c r="D13" s="180">
        <f>1/'[4]GDP Deflator'!$E$89</f>
        <v>1.1073524103068022</v>
      </c>
    </row>
    <row r="16" spans="2:14">
      <c r="C16" s="67" t="s">
        <v>399</v>
      </c>
      <c r="D16" s="27">
        <f>'NEEALong-TermTracking_AvistaEvl'!A23+'NEEALong-TermTracking_AvistaEvl'!A23/'NEEALong-TermTracking_AvistaEvl'!B8*(SixGoingOnSeven!A2-'NEEALong-TermTracking_AvistaEvl'!B8)</f>
        <v>21.292825652801419</v>
      </c>
    </row>
    <row r="17" spans="3:9">
      <c r="H17" s="27"/>
    </row>
    <row r="18" spans="3:9">
      <c r="C18" s="67" t="s">
        <v>395</v>
      </c>
      <c r="H18" s="27"/>
    </row>
    <row r="19" spans="3:9">
      <c r="C19" s="69" t="s">
        <v>392</v>
      </c>
      <c r="D19" s="97">
        <f>D20*D38</f>
        <v>52971.540147545747</v>
      </c>
      <c r="E19" s="69" t="s">
        <v>393</v>
      </c>
      <c r="H19" s="181">
        <f>D19/8760</f>
        <v>6.0469794688979164</v>
      </c>
      <c r="I19" s="182" t="s">
        <v>162</v>
      </c>
    </row>
    <row r="20" spans="3:9">
      <c r="C20" s="69" t="s">
        <v>394</v>
      </c>
      <c r="D20" s="97">
        <f>SixGoingOnSeven!A2*8760</f>
        <v>52971.540147545747</v>
      </c>
      <c r="E20" s="69" t="s">
        <v>393</v>
      </c>
      <c r="H20" s="27"/>
    </row>
    <row r="21" spans="3:9">
      <c r="H21" s="27"/>
    </row>
    <row r="22" spans="3:9">
      <c r="D22" s="9"/>
      <c r="H22" s="27"/>
    </row>
    <row r="23" spans="3:9">
      <c r="C23" s="67" t="s">
        <v>396</v>
      </c>
      <c r="D23" s="9"/>
      <c r="H23" s="27"/>
    </row>
    <row r="24" spans="3:9" ht="25.5">
      <c r="C24" s="95" t="s">
        <v>374</v>
      </c>
      <c r="D24" s="96" t="s">
        <v>901</v>
      </c>
      <c r="E24" s="95" t="s">
        <v>424</v>
      </c>
      <c r="F24" s="95" t="s">
        <v>426</v>
      </c>
      <c r="G24" s="95" t="s">
        <v>375</v>
      </c>
      <c r="H24" s="9">
        <f>SUM(D25:D29)/8760</f>
        <v>231.82409236812913</v>
      </c>
      <c r="I24" s="67" t="s">
        <v>162</v>
      </c>
    </row>
    <row r="25" spans="3:9">
      <c r="C25" s="92" t="s">
        <v>377</v>
      </c>
      <c r="D25" s="93">
        <f>D42</f>
        <v>775221.56016605732</v>
      </c>
      <c r="E25" s="100">
        <f>E42</f>
        <v>27910000</v>
      </c>
      <c r="F25" s="100">
        <f>F42</f>
        <v>1183000</v>
      </c>
      <c r="G25" s="94">
        <v>15</v>
      </c>
      <c r="H25" s="135"/>
    </row>
    <row r="26" spans="3:9" ht="25.5">
      <c r="C26" s="92" t="s">
        <v>378</v>
      </c>
      <c r="D26" s="93">
        <f>D44-D25</f>
        <v>464364.25016614085</v>
      </c>
      <c r="E26" s="100">
        <f>E44-E25</f>
        <v>41982500</v>
      </c>
      <c r="F26" s="100">
        <f>F44-F25</f>
        <v>591500</v>
      </c>
      <c r="G26" s="94">
        <v>15</v>
      </c>
      <c r="H26" s="135"/>
    </row>
    <row r="27" spans="3:9" ht="38.25">
      <c r="C27" s="92" t="s">
        <v>379</v>
      </c>
      <c r="D27" s="93">
        <f>D46-D26-D25</f>
        <v>510069.4660291624</v>
      </c>
      <c r="E27" s="100">
        <f>E46-E26-E25</f>
        <v>302796939.73455572</v>
      </c>
      <c r="F27" s="100">
        <f>F46-F26-F25</f>
        <v>591500</v>
      </c>
      <c r="G27" s="94">
        <v>15</v>
      </c>
      <c r="H27" s="135"/>
    </row>
    <row r="28" spans="3:9">
      <c r="C28" s="92" t="s">
        <v>380</v>
      </c>
      <c r="D28" s="93">
        <f>RegionWideSubstations!AR149*Rollup!D38</f>
        <v>261409.91744441888</v>
      </c>
      <c r="E28" s="100">
        <f>E47-E27-E26-E25</f>
        <v>233648105.78395987</v>
      </c>
      <c r="F28" s="100">
        <f>F47-F27-F26-F25</f>
        <v>1087000</v>
      </c>
      <c r="G28" s="94">
        <v>15</v>
      </c>
      <c r="H28" s="135"/>
    </row>
    <row r="29" spans="3:9">
      <c r="C29" s="92" t="s">
        <v>381</v>
      </c>
      <c r="D29" s="93">
        <f>D49</f>
        <v>19713.855339031739</v>
      </c>
      <c r="E29" s="100">
        <f>E49</f>
        <v>58025000</v>
      </c>
      <c r="F29" s="100">
        <f>F49</f>
        <v>33000</v>
      </c>
      <c r="G29" s="94">
        <v>15</v>
      </c>
      <c r="H29" s="136"/>
    </row>
    <row r="32" spans="3:9">
      <c r="C32" s="99" t="s">
        <v>397</v>
      </c>
      <c r="D32" s="86">
        <f>RegionWideSubstations!AA145</f>
        <v>1219</v>
      </c>
    </row>
    <row r="33" spans="3:7">
      <c r="C33" s="99" t="s">
        <v>398</v>
      </c>
      <c r="D33" s="86">
        <f>D32-32</f>
        <v>1187</v>
      </c>
    </row>
    <row r="34" spans="3:7">
      <c r="C34" s="98"/>
      <c r="D34" s="8"/>
    </row>
    <row r="35" spans="3:7">
      <c r="C35" s="98"/>
      <c r="D35" s="8"/>
    </row>
    <row r="36" spans="3:7">
      <c r="C36" s="172" t="s">
        <v>391</v>
      </c>
      <c r="D36" s="203"/>
    </row>
    <row r="37" spans="3:7">
      <c r="C37" s="175" t="s">
        <v>440</v>
      </c>
      <c r="D37" s="176">
        <v>1</v>
      </c>
    </row>
    <row r="38" spans="3:7">
      <c r="C38" s="163" t="s">
        <v>441</v>
      </c>
      <c r="D38" s="176">
        <v>1</v>
      </c>
    </row>
    <row r="39" spans="3:7">
      <c r="C39" s="177" t="s">
        <v>442</v>
      </c>
      <c r="D39" s="178">
        <v>1</v>
      </c>
      <c r="F39" s="32"/>
      <c r="G39" s="32"/>
    </row>
    <row r="41" spans="3:7">
      <c r="C41" s="88" t="s">
        <v>374</v>
      </c>
      <c r="D41" s="88" t="s">
        <v>390</v>
      </c>
      <c r="E41" s="90" t="s">
        <v>424</v>
      </c>
      <c r="F41" s="88" t="s">
        <v>376</v>
      </c>
    </row>
    <row r="42" spans="3:7">
      <c r="C42" s="86" t="s">
        <v>382</v>
      </c>
      <c r="D42" s="89">
        <f>RegionWideSubstations!AE145*D38</f>
        <v>775221.56016605732</v>
      </c>
      <c r="E42" s="91">
        <f>RegionWideSubstations!AG155</f>
        <v>27910000</v>
      </c>
      <c r="F42" s="91">
        <f>RegionWideSubstations!AG156</f>
        <v>1183000</v>
      </c>
    </row>
    <row r="43" spans="3:7">
      <c r="C43" s="86" t="s">
        <v>383</v>
      </c>
      <c r="D43" s="89">
        <f>RegionWideSubstations!AF145*D38</f>
        <v>1135822.8773316389</v>
      </c>
      <c r="E43" s="91">
        <f>RegionWideSubstations!AH155</f>
        <v>273200000</v>
      </c>
      <c r="F43" s="91">
        <f>RegionWideSubstations!AH156</f>
        <v>2302000</v>
      </c>
    </row>
    <row r="44" spans="3:7">
      <c r="C44" s="86" t="s">
        <v>384</v>
      </c>
      <c r="D44" s="89">
        <f>RegionWideSubstations!AK145*D38</f>
        <v>1239585.8103321982</v>
      </c>
      <c r="E44" s="91">
        <f>RegionWideSubstations!AM155</f>
        <v>69892500</v>
      </c>
      <c r="F44" s="91">
        <f>RegionWideSubstations!AM156</f>
        <v>1774500</v>
      </c>
    </row>
    <row r="45" spans="3:7">
      <c r="C45" s="86" t="s">
        <v>385</v>
      </c>
      <c r="D45" s="89">
        <f>RegionWideSubstations!AL145*D38</f>
        <v>1454107.2459984166</v>
      </c>
      <c r="E45" s="91">
        <f>RegionWideSubstations!AN155</f>
        <v>315492500</v>
      </c>
      <c r="F45" s="91">
        <f>RegionWideSubstations!AN156</f>
        <v>2877500</v>
      </c>
    </row>
    <row r="46" spans="3:7">
      <c r="C46" s="86" t="s">
        <v>386</v>
      </c>
      <c r="D46" s="89">
        <f>RegionWideSubstations!AQ145*D38</f>
        <v>1749655.2763613607</v>
      </c>
      <c r="E46" s="91">
        <f>RegionWideSubstations!AS155</f>
        <v>372689439.73455572</v>
      </c>
      <c r="F46" s="91">
        <f>RegionWideSubstations!AS156</f>
        <v>2366000</v>
      </c>
    </row>
    <row r="47" spans="3:7">
      <c r="C47" s="86" t="s">
        <v>387</v>
      </c>
      <c r="D47" s="89">
        <f>RegionWideSubstations!AR145*D38</f>
        <v>1994662.7807205264</v>
      </c>
      <c r="E47" s="91">
        <f>RegionWideSubstations!AT155</f>
        <v>606337545.51851559</v>
      </c>
      <c r="F47" s="91">
        <f>RegionWideSubstations!AT156</f>
        <v>3453000</v>
      </c>
    </row>
    <row r="48" spans="3:7">
      <c r="C48" s="87" t="s">
        <v>388</v>
      </c>
      <c r="D48" s="89">
        <f>RegionWideSubstations!AW145*D38</f>
        <v>0</v>
      </c>
      <c r="E48" s="91">
        <f>RegionWideSubstations!AY155</f>
        <v>55000000</v>
      </c>
      <c r="F48" s="91">
        <f>RegionWideSubstations!AY156</f>
        <v>22000</v>
      </c>
    </row>
    <row r="49" spans="3:6">
      <c r="C49" s="87" t="s">
        <v>389</v>
      </c>
      <c r="D49" s="89">
        <f>RegionWideSubstations!AX145*D38</f>
        <v>19713.855339031739</v>
      </c>
      <c r="E49" s="91">
        <f>RegionWideSubstations!AZ155</f>
        <v>58025000</v>
      </c>
      <c r="F49" s="91">
        <f>RegionWideSubstations!AZ156</f>
        <v>33000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sheetPr codeName="Sheet1"/>
  <dimension ref="A1:BQ231"/>
  <sheetViews>
    <sheetView workbookViewId="0">
      <pane xSplit="3" ySplit="12" topLeftCell="AD13" activePane="bottomRight" state="frozen"/>
      <selection pane="topRight" activeCell="D1" sqref="D1"/>
      <selection pane="bottomLeft" activeCell="A13" sqref="A13"/>
      <selection pane="bottomRight" activeCell="AK8" sqref="AK8"/>
    </sheetView>
  </sheetViews>
  <sheetFormatPr defaultRowHeight="12.75"/>
  <cols>
    <col min="1" max="1" width="2.7109375" customWidth="1"/>
    <col min="2" max="2" width="8.42578125" customWidth="1"/>
    <col min="3" max="3" width="29.7109375" customWidth="1"/>
    <col min="4" max="4" width="10.28515625" customWidth="1"/>
    <col min="5" max="5" width="12.5703125" customWidth="1"/>
    <col min="6" max="6" width="15" style="18" bestFit="1" customWidth="1"/>
    <col min="7" max="8" width="16" customWidth="1"/>
    <col min="9" max="10" width="13.28515625" style="19" customWidth="1"/>
    <col min="11" max="12" width="12.42578125" style="19" customWidth="1"/>
    <col min="13" max="13" width="15.140625" style="19" bestFit="1" customWidth="1"/>
    <col min="14" max="14" width="9.5703125" bestFit="1" customWidth="1"/>
    <col min="15" max="15" width="9.42578125" bestFit="1" customWidth="1"/>
    <col min="16" max="16" width="8.140625" bestFit="1" customWidth="1"/>
    <col min="17" max="18" width="16" customWidth="1"/>
    <col min="19" max="19" width="13.7109375" bestFit="1" customWidth="1"/>
    <col min="20" max="21" width="13.7109375" customWidth="1"/>
    <col min="22" max="22" width="16" bestFit="1" customWidth="1"/>
    <col min="23" max="23" width="12.28515625" bestFit="1" customWidth="1"/>
    <col min="24" max="24" width="23.42578125" customWidth="1"/>
    <col min="25" max="25" width="17.42578125" customWidth="1"/>
    <col min="26" max="27" width="18.85546875" customWidth="1"/>
    <col min="28" max="28" width="14.28515625" customWidth="1"/>
    <col min="29" max="29" width="12.28515625" bestFit="1" customWidth="1"/>
    <col min="30" max="30" width="10.7109375" customWidth="1"/>
    <col min="31" max="31" width="17.28515625" customWidth="1"/>
    <col min="32" max="32" width="11.140625" customWidth="1"/>
    <col min="33" max="33" width="13.7109375" customWidth="1"/>
    <col min="34" max="34" width="14" customWidth="1"/>
    <col min="35" max="35" width="15" customWidth="1"/>
    <col min="36" max="36" width="13.7109375" customWidth="1"/>
    <col min="37" max="37" width="11.5703125" customWidth="1"/>
    <col min="38" max="38" width="12" customWidth="1"/>
    <col min="39" max="39" width="11.5703125" customWidth="1"/>
    <col min="40" max="40" width="14.42578125" customWidth="1"/>
    <col min="41" max="41" width="13" customWidth="1"/>
    <col min="43" max="43" width="11.85546875" customWidth="1"/>
    <col min="44" max="44" width="11.42578125" customWidth="1"/>
    <col min="45" max="46" width="14.5703125" customWidth="1"/>
    <col min="49" max="49" width="11.5703125" customWidth="1"/>
    <col min="50" max="50" width="12.42578125" customWidth="1"/>
    <col min="51" max="52" width="13.5703125" customWidth="1"/>
    <col min="55" max="55" width="12.140625" customWidth="1"/>
    <col min="56" max="56" width="12.42578125" customWidth="1"/>
    <col min="57" max="57" width="11.5703125" bestFit="1" customWidth="1"/>
    <col min="58" max="58" width="12.5703125" bestFit="1" customWidth="1"/>
    <col min="60" max="60" width="12.28515625" bestFit="1" customWidth="1"/>
    <col min="61" max="61" width="30" customWidth="1"/>
  </cols>
  <sheetData>
    <row r="1" spans="1:69">
      <c r="A1" s="448" t="s">
        <v>430</v>
      </c>
      <c r="B1" s="448"/>
      <c r="C1" s="448"/>
      <c r="D1" s="448"/>
      <c r="E1" s="448"/>
      <c r="F1" s="448"/>
      <c r="G1" s="448"/>
      <c r="H1" s="448"/>
      <c r="I1" s="448"/>
      <c r="J1" s="139"/>
      <c r="AC1" s="446" t="s">
        <v>247</v>
      </c>
      <c r="AD1" s="446"/>
      <c r="AE1" s="446"/>
      <c r="AF1" s="446"/>
      <c r="AG1" s="446"/>
      <c r="AH1" s="446"/>
      <c r="AI1" s="446" t="s">
        <v>250</v>
      </c>
      <c r="AJ1" s="446"/>
      <c r="AK1" s="446"/>
      <c r="AL1" s="446"/>
      <c r="AM1" s="446"/>
      <c r="AN1" s="446"/>
      <c r="AO1" s="446" t="s">
        <v>253</v>
      </c>
      <c r="AP1" s="446"/>
      <c r="AQ1" s="446"/>
      <c r="AR1" s="446"/>
      <c r="AS1" s="446"/>
      <c r="AT1" s="446"/>
    </row>
    <row r="2" spans="1:69" ht="31.5" customHeight="1">
      <c r="A2" s="448"/>
      <c r="B2" s="448"/>
      <c r="C2" s="448"/>
      <c r="D2" s="448"/>
      <c r="E2" s="448"/>
      <c r="F2" s="448"/>
      <c r="G2" s="448"/>
      <c r="H2" s="448"/>
      <c r="I2" s="448"/>
      <c r="J2" s="139"/>
      <c r="AC2" s="446"/>
      <c r="AD2" s="446"/>
      <c r="AE2" s="446"/>
      <c r="AF2" s="446"/>
      <c r="AG2" s="446"/>
      <c r="AH2" s="446"/>
      <c r="AI2" s="446"/>
      <c r="AJ2" s="446"/>
      <c r="AK2" s="446"/>
      <c r="AL2" s="446"/>
      <c r="AM2" s="446"/>
      <c r="AN2" s="446"/>
      <c r="AO2" s="446"/>
      <c r="AP2" s="446"/>
      <c r="AQ2" s="446"/>
      <c r="AR2" s="446"/>
      <c r="AS2" s="446"/>
      <c r="AT2" s="446"/>
    </row>
    <row r="3" spans="1:69" ht="29.25" customHeight="1">
      <c r="A3" s="448"/>
      <c r="B3" s="448"/>
      <c r="C3" s="448"/>
      <c r="D3" s="448"/>
      <c r="E3" s="448"/>
      <c r="F3" s="448"/>
      <c r="G3" s="448"/>
      <c r="H3" s="448"/>
      <c r="I3" s="448"/>
      <c r="J3" s="139"/>
      <c r="AC3" s="446" t="s">
        <v>248</v>
      </c>
      <c r="AD3" s="446"/>
      <c r="AE3" s="446"/>
      <c r="AF3" s="446"/>
      <c r="AG3" s="446"/>
      <c r="AH3" s="446"/>
      <c r="AI3" s="446" t="s">
        <v>251</v>
      </c>
      <c r="AJ3" s="446"/>
      <c r="AK3" s="446"/>
      <c r="AL3" s="446"/>
      <c r="AM3" s="446"/>
      <c r="AN3" s="446"/>
      <c r="AO3" s="446" t="s">
        <v>254</v>
      </c>
      <c r="AP3" s="446"/>
      <c r="AQ3" s="446"/>
      <c r="AR3" s="446"/>
      <c r="AS3" s="446"/>
      <c r="AT3" s="446"/>
    </row>
    <row r="4" spans="1:69" ht="28.5" customHeight="1">
      <c r="A4" s="448"/>
      <c r="B4" s="448"/>
      <c r="C4" s="448"/>
      <c r="D4" s="448"/>
      <c r="E4" s="448"/>
      <c r="F4" s="448"/>
      <c r="G4" s="448"/>
      <c r="H4" s="448"/>
      <c r="I4" s="448"/>
      <c r="J4" s="139"/>
      <c r="AC4" s="446" t="s">
        <v>249</v>
      </c>
      <c r="AD4" s="446"/>
      <c r="AE4" s="446"/>
      <c r="AF4" s="446"/>
      <c r="AG4" s="446"/>
      <c r="AH4" s="446"/>
      <c r="AI4" s="446" t="s">
        <v>252</v>
      </c>
      <c r="AJ4" s="446"/>
      <c r="AK4" s="446"/>
      <c r="AL4" s="446"/>
      <c r="AM4" s="446"/>
      <c r="AN4" s="446"/>
      <c r="AO4" s="446"/>
      <c r="AP4" s="446"/>
      <c r="AQ4" s="446"/>
      <c r="AR4" s="446"/>
      <c r="AS4" s="446"/>
      <c r="AT4" s="446"/>
    </row>
    <row r="5" spans="1:69">
      <c r="A5" s="449" t="s">
        <v>431</v>
      </c>
      <c r="B5" s="450"/>
      <c r="C5" s="450"/>
      <c r="D5" s="450"/>
      <c r="E5" s="450"/>
      <c r="F5" s="450"/>
      <c r="G5" s="450"/>
      <c r="H5" s="450"/>
      <c r="I5" s="450"/>
      <c r="J5" s="140"/>
      <c r="AD5" s="27"/>
      <c r="AE5" s="27"/>
      <c r="AF5" s="27"/>
      <c r="AK5" s="27"/>
      <c r="AL5" s="27"/>
      <c r="AQ5" s="27"/>
      <c r="AR5" s="27"/>
    </row>
    <row r="6" spans="1:69">
      <c r="AB6" t="s">
        <v>173</v>
      </c>
      <c r="AE6" s="28">
        <v>0.7</v>
      </c>
      <c r="AG6" s="3">
        <v>40000</v>
      </c>
      <c r="AH6" s="3">
        <v>60000</v>
      </c>
      <c r="AK6" s="28">
        <v>0.8</v>
      </c>
      <c r="AM6" s="3">
        <v>40000</v>
      </c>
      <c r="AN6" s="3">
        <v>60000</v>
      </c>
      <c r="AQ6" s="28">
        <v>0.85</v>
      </c>
      <c r="AS6" s="3">
        <v>40000</v>
      </c>
      <c r="AT6" s="3">
        <v>60000</v>
      </c>
      <c r="AW6" s="28">
        <v>0.85</v>
      </c>
      <c r="AY6">
        <v>40000</v>
      </c>
      <c r="AZ6">
        <v>60000</v>
      </c>
    </row>
    <row r="7" spans="1:69">
      <c r="H7" s="67"/>
      <c r="R7" s="2"/>
      <c r="X7">
        <f>165*8760*1000</f>
        <v>1445400000</v>
      </c>
      <c r="Y7" s="9">
        <f>+K145</f>
        <v>5192614.88</v>
      </c>
      <c r="AB7" t="s">
        <v>174</v>
      </c>
      <c r="AE7" s="28">
        <v>0.4</v>
      </c>
      <c r="AG7" s="35">
        <v>25000</v>
      </c>
      <c r="AH7" s="35">
        <v>275000</v>
      </c>
      <c r="AK7" s="28">
        <v>0.5</v>
      </c>
      <c r="AM7" s="35">
        <f>35000+40000/4+30000/2</f>
        <v>60000</v>
      </c>
      <c r="AN7" s="35">
        <f>275000+40000/4+30000/2+20000</f>
        <v>320000</v>
      </c>
      <c r="AQ7" s="28">
        <v>0.6</v>
      </c>
      <c r="AS7" s="35">
        <f>45000+40000/2+30000</f>
        <v>95000</v>
      </c>
      <c r="AT7" s="35">
        <f>275000+40000/2+30000+20000</f>
        <v>345000</v>
      </c>
      <c r="AW7" s="28">
        <v>0.7</v>
      </c>
      <c r="AY7">
        <v>5000000</v>
      </c>
      <c r="AZ7">
        <f>AY7+275000</f>
        <v>5275000</v>
      </c>
    </row>
    <row r="8" spans="1:69">
      <c r="H8" s="67" t="s">
        <v>415</v>
      </c>
      <c r="J8" s="129" t="s">
        <v>418</v>
      </c>
      <c r="L8" s="133" t="s">
        <v>421</v>
      </c>
      <c r="R8" s="127" t="s">
        <v>417</v>
      </c>
      <c r="U8" s="127" t="s">
        <v>416</v>
      </c>
      <c r="X8">
        <f>+Y8/X7*1000</f>
        <v>5388.7659609796592</v>
      </c>
      <c r="Y8">
        <f>+Y7*1500</f>
        <v>7788922320</v>
      </c>
      <c r="AB8" t="s">
        <v>175</v>
      </c>
      <c r="AE8" s="28">
        <v>0.05</v>
      </c>
      <c r="AG8" s="35">
        <v>15000</v>
      </c>
      <c r="AH8" s="35">
        <v>150000</v>
      </c>
      <c r="AK8" s="28">
        <v>0.1</v>
      </c>
      <c r="AM8" s="35">
        <f>15000+30000/4+20000/2</f>
        <v>32500</v>
      </c>
      <c r="AN8" s="35">
        <f>150000+30000/4+20000/2</f>
        <v>167500</v>
      </c>
      <c r="AQ8" s="28">
        <v>0.15</v>
      </c>
      <c r="AS8" s="35">
        <f>15000+30000/2+20000</f>
        <v>50000</v>
      </c>
      <c r="AT8" s="35">
        <f>150000+30000+20000</f>
        <v>200000</v>
      </c>
      <c r="AW8" s="28">
        <v>0.15</v>
      </c>
    </row>
    <row r="9" spans="1:69">
      <c r="H9" s="127">
        <f>COLUMN(Sales!W20)</f>
        <v>23</v>
      </c>
      <c r="J9" s="2">
        <f>COLUMN(Sales!K20)</f>
        <v>11</v>
      </c>
      <c r="L9" s="2">
        <f>COLUMN(Sales!L20)</f>
        <v>12</v>
      </c>
      <c r="R9" s="2">
        <f>COLUMN(Sales!N20)</f>
        <v>14</v>
      </c>
      <c r="U9" s="2">
        <f>COLUMN(Sales!Q20)</f>
        <v>17</v>
      </c>
      <c r="AB9" t="s">
        <v>203</v>
      </c>
      <c r="AC9" s="70">
        <v>1</v>
      </c>
      <c r="AD9">
        <v>1.1000000000000001</v>
      </c>
      <c r="AH9" s="3">
        <v>40000</v>
      </c>
      <c r="AI9">
        <v>0.5</v>
      </c>
      <c r="AJ9">
        <v>1.02</v>
      </c>
      <c r="AN9" s="3">
        <v>40000</v>
      </c>
      <c r="AO9">
        <v>0.5</v>
      </c>
      <c r="AP9">
        <v>1.02</v>
      </c>
      <c r="AT9" s="3">
        <v>40000</v>
      </c>
    </row>
    <row r="10" spans="1:69">
      <c r="H10" s="2"/>
      <c r="AR10" s="6" t="s">
        <v>201</v>
      </c>
      <c r="AS10" s="35">
        <v>1000</v>
      </c>
    </row>
    <row r="11" spans="1:69">
      <c r="A11" s="4" t="s">
        <v>157</v>
      </c>
      <c r="B11" s="4"/>
      <c r="F11"/>
      <c r="I11"/>
      <c r="J11"/>
      <c r="K11" s="27">
        <f>+I13/K13</f>
        <v>10.314576974246842</v>
      </c>
      <c r="L11" s="27"/>
      <c r="M11"/>
      <c r="S11" s="27">
        <f>+Q13/S13</f>
        <v>77.653082549634277</v>
      </c>
      <c r="V11" s="27">
        <f>+T13/V13</f>
        <v>225.19622756312748</v>
      </c>
      <c r="X11" s="24">
        <f>(G13/X13+G16/X16+G18/X18+G17/X17)/5</f>
        <v>176962.13960615563</v>
      </c>
      <c r="AR11" s="6" t="s">
        <v>202</v>
      </c>
      <c r="AS11">
        <v>0.05</v>
      </c>
      <c r="BJ11" s="445" t="s">
        <v>915</v>
      </c>
      <c r="BK11" s="445"/>
      <c r="BL11" s="445"/>
      <c r="BM11" s="445"/>
      <c r="BN11" s="445"/>
      <c r="BO11" s="445"/>
      <c r="BP11" s="445"/>
      <c r="BQ11" s="445"/>
    </row>
    <row r="12" spans="1:69" ht="37.5" customHeight="1">
      <c r="A12" s="11" t="s">
        <v>8</v>
      </c>
      <c r="B12" s="12" t="s">
        <v>9</v>
      </c>
      <c r="C12" s="12" t="s">
        <v>10</v>
      </c>
      <c r="D12" s="13" t="s">
        <v>0</v>
      </c>
      <c r="E12" s="14" t="s">
        <v>11</v>
      </c>
      <c r="F12" s="14" t="s">
        <v>12</v>
      </c>
      <c r="G12" s="16" t="s">
        <v>158</v>
      </c>
      <c r="H12" s="120" t="s">
        <v>410</v>
      </c>
      <c r="I12" s="15" t="s">
        <v>13</v>
      </c>
      <c r="J12" s="121" t="s">
        <v>411</v>
      </c>
      <c r="K12" s="15" t="s">
        <v>14</v>
      </c>
      <c r="L12" s="121" t="s">
        <v>420</v>
      </c>
      <c r="M12" s="15" t="s">
        <v>15</v>
      </c>
      <c r="N12" s="16" t="s">
        <v>16</v>
      </c>
      <c r="O12" s="16" t="s">
        <v>17</v>
      </c>
      <c r="P12" s="15" t="s">
        <v>18</v>
      </c>
      <c r="Q12" s="15" t="s">
        <v>163</v>
      </c>
      <c r="R12" s="121" t="s">
        <v>412</v>
      </c>
      <c r="S12" s="15" t="s">
        <v>155</v>
      </c>
      <c r="T12" s="16" t="s">
        <v>164</v>
      </c>
      <c r="U12" s="120" t="s">
        <v>413</v>
      </c>
      <c r="V12" s="16" t="s">
        <v>156</v>
      </c>
      <c r="X12" t="s">
        <v>160</v>
      </c>
      <c r="Y12" t="s">
        <v>169</v>
      </c>
      <c r="Z12" t="s">
        <v>170</v>
      </c>
      <c r="AA12" s="131" t="s">
        <v>419</v>
      </c>
      <c r="AB12" s="158" t="s">
        <v>171</v>
      </c>
      <c r="AC12" s="158" t="s">
        <v>176</v>
      </c>
      <c r="AD12" s="363" t="s">
        <v>178</v>
      </c>
      <c r="AE12" s="363" t="s">
        <v>183</v>
      </c>
      <c r="AF12" s="363" t="s">
        <v>180</v>
      </c>
      <c r="AG12" s="363" t="s">
        <v>184</v>
      </c>
      <c r="AH12" s="363" t="s">
        <v>197</v>
      </c>
      <c r="AI12" s="363" t="s">
        <v>185</v>
      </c>
      <c r="AJ12" s="363" t="s">
        <v>179</v>
      </c>
      <c r="AK12" s="363" t="s">
        <v>200</v>
      </c>
      <c r="AL12" s="363" t="s">
        <v>181</v>
      </c>
      <c r="AM12" s="363" t="s">
        <v>194</v>
      </c>
      <c r="AN12" s="363" t="s">
        <v>243</v>
      </c>
      <c r="AO12" s="158" t="s">
        <v>186</v>
      </c>
      <c r="AP12" s="363" t="s">
        <v>187</v>
      </c>
      <c r="AQ12" s="363" t="s">
        <v>199</v>
      </c>
      <c r="AR12" s="363" t="s">
        <v>195</v>
      </c>
      <c r="AS12" s="363" t="s">
        <v>196</v>
      </c>
      <c r="AT12" s="363" t="s">
        <v>198</v>
      </c>
      <c r="AU12" s="363" t="s">
        <v>186</v>
      </c>
      <c r="AV12" s="363" t="s">
        <v>187</v>
      </c>
      <c r="AW12" s="363" t="s">
        <v>199</v>
      </c>
      <c r="AX12" s="363" t="s">
        <v>195</v>
      </c>
      <c r="AY12" s="363" t="s">
        <v>196</v>
      </c>
      <c r="AZ12" s="363" t="s">
        <v>198</v>
      </c>
      <c r="BA12" s="363" t="s">
        <v>186</v>
      </c>
      <c r="BB12" s="363" t="s">
        <v>187</v>
      </c>
      <c r="BC12" s="363" t="s">
        <v>199</v>
      </c>
      <c r="BD12" s="363" t="s">
        <v>195</v>
      </c>
      <c r="BE12" s="363" t="s">
        <v>196</v>
      </c>
      <c r="BF12" s="363" t="s">
        <v>198</v>
      </c>
      <c r="BJ12" s="363" t="s">
        <v>914</v>
      </c>
      <c r="BK12" s="363" t="s">
        <v>913</v>
      </c>
      <c r="BL12" s="363" t="s">
        <v>912</v>
      </c>
      <c r="BM12" s="363" t="s">
        <v>911</v>
      </c>
      <c r="BN12" s="363" t="s">
        <v>910</v>
      </c>
      <c r="BO12" s="363" t="s">
        <v>909</v>
      </c>
      <c r="BP12" s="418" t="s">
        <v>908</v>
      </c>
      <c r="BQ12" s="418" t="s">
        <v>205</v>
      </c>
    </row>
    <row r="13" spans="1:69">
      <c r="A13">
        <v>1</v>
      </c>
      <c r="B13">
        <v>15500</v>
      </c>
      <c r="C13" t="s">
        <v>19</v>
      </c>
      <c r="D13" t="s">
        <v>1</v>
      </c>
      <c r="E13" t="s">
        <v>20</v>
      </c>
      <c r="F13" s="3">
        <v>694848</v>
      </c>
      <c r="G13" s="24">
        <v>23183514</v>
      </c>
      <c r="H13" s="122">
        <f>Sales!W21+Sales!W40</f>
        <v>23119041</v>
      </c>
      <c r="I13" s="3">
        <f>1224*8760</f>
        <v>10722240</v>
      </c>
      <c r="J13" s="122">
        <f>Sales!K21+Sales!K40</f>
        <v>10869292</v>
      </c>
      <c r="K13" s="3">
        <v>1039523</v>
      </c>
      <c r="L13" s="122">
        <f>Sales!L21+Sales!L40</f>
        <v>961914</v>
      </c>
      <c r="M13" s="3">
        <f t="shared" ref="M13:M44" si="0">I13/K13*1000</f>
        <v>10314.576974246842</v>
      </c>
      <c r="N13">
        <v>1</v>
      </c>
      <c r="O13">
        <v>1</v>
      </c>
      <c r="P13">
        <v>2</v>
      </c>
      <c r="Q13" s="24">
        <f>1018*8760</f>
        <v>8917680</v>
      </c>
      <c r="R13" s="122">
        <f>Sales!N21+Sales!N40</f>
        <v>9158121</v>
      </c>
      <c r="S13">
        <v>114840</v>
      </c>
      <c r="T13" s="24">
        <f>157*8760+12*8760</f>
        <v>1480440</v>
      </c>
      <c r="U13" s="122">
        <f>Sales!Q21+Sales!Q40</f>
        <v>3087934</v>
      </c>
      <c r="V13">
        <f>3800+2774</f>
        <v>6574</v>
      </c>
      <c r="W13" s="9"/>
      <c r="X13" s="32">
        <v>321</v>
      </c>
      <c r="Y13" s="28">
        <f>(I13+Q13)/G13</f>
        <v>0.84715026376070512</v>
      </c>
      <c r="Z13" s="27">
        <f>ROUND(Y13*X13,0)</f>
        <v>272</v>
      </c>
      <c r="AA13" s="132">
        <f>IF(J13+R13&gt;$X$11,IF(ROUND(Z13*(1+((J13+R13)/(I13+Q13)-1)/2),0)&gt;Z13,ROUND(Z13*(1+((J13+R13)/(I13+Q13)-1)/2),0),Z13),1)</f>
        <v>275</v>
      </c>
      <c r="AB13" s="27">
        <f t="shared" ref="AB13:AB44" si="1">+X13-Z13</f>
        <v>49</v>
      </c>
      <c r="AC13" s="5">
        <f>2.39*$AC$9</f>
        <v>2.39</v>
      </c>
      <c r="AD13" s="5">
        <f>0.8*$AD$9</f>
        <v>0.88000000000000012</v>
      </c>
      <c r="AE13" s="24">
        <f>($J13*AE$6*$I$150+AE$7*$R13*$Q$150+AE$8*$U13*$T$150)*AD13*AC13/100</f>
        <v>246490.38951828433</v>
      </c>
      <c r="AF13" s="24">
        <f>IF(AH13=0,0,($J13*AE$6*$I$150+AE$7*$R13*$Q$150+AE$8*$U13*$T$150)*AD13*(AC13/100+1/120))</f>
        <v>332435.43467807665</v>
      </c>
      <c r="AG13" s="24">
        <f>IF(($J13+$R13)/$AA13&gt;AG$6,AG$7,AG$8)*$AA13</f>
        <v>6875000</v>
      </c>
      <c r="AH13" s="24">
        <f>IF(($J13+$R13)/$AA13&gt;AH$6,AH$7,IF(($J13+$R13)/$AA13&lt;AH$9,0,AH$8))*$AA13</f>
        <v>75625000</v>
      </c>
      <c r="AI13" s="5">
        <f>+AC13+$AI$9</f>
        <v>2.89</v>
      </c>
      <c r="AJ13" s="5">
        <f>+AD13*$AJ$9</f>
        <v>0.89760000000000018</v>
      </c>
      <c r="AK13" s="24">
        <f>($J13*AK$6*$I$150+AK$7*$R13*$Q$150+AK$8*$U13*$T$150)*AJ13*AI13/100</f>
        <v>362585.50495981058</v>
      </c>
      <c r="AL13" s="24">
        <f>IF(AN13=0,0,($J13*AK$6*$I$150+AK$7*$R13*$Q$150+AK$8*$U13*$T$150)*AJ13*(AI13/100+0.5/120))</f>
        <v>414861.38514432765</v>
      </c>
      <c r="AM13" s="24">
        <f>IF(($J13+$R13)/$AA13&gt;AM$6,AM$7,AM$8)*$AA13</f>
        <v>16500000</v>
      </c>
      <c r="AN13" s="24">
        <f>IF(($J13+$R13)/$AA13&gt;AN$6,AN$7,IF(($J13+$R13)/$AA13&lt;AN$9,0,AN$8))*$AA13</f>
        <v>88000000</v>
      </c>
      <c r="AO13" s="5">
        <f>AI13+$AO$9</f>
        <v>3.39</v>
      </c>
      <c r="AP13" s="5">
        <f>+AJ13*$AP$9</f>
        <v>0.91555200000000014</v>
      </c>
      <c r="AQ13" s="24">
        <f>($J13*AQ$6*$I$150+AQ$7*$R13*$Q$150+AQ$8*$U13*$T$150)*AP13*AO13/100</f>
        <v>486890.71246260597</v>
      </c>
      <c r="AR13" s="24">
        <f>IF(AT13=0,0,($J13*AQ$6*$I$150+AQ$7*$R13*$Q$150+AQ$8*$U13*$T$150)*AP13*(AO13/100+0.5/120))</f>
        <v>546734.70366990753</v>
      </c>
      <c r="AS13" s="24">
        <f>IF(($J13+$R13)/$AA13&gt;AS$6,AS$7,AS$8)*$AA13+$AS$10*$AS$11*$L13</f>
        <v>74220700</v>
      </c>
      <c r="AT13" s="24">
        <f>IF(AN13=0,0,IF(($J13+$R13)/$AA13&gt;AT$6,AT$7,IF(($J13+$R13)/$AA13&lt;AT$9,0,AT$8))*$AA13+$AS$10*$AS$11*$L13)</f>
        <v>142970700</v>
      </c>
      <c r="BA13" s="5">
        <f t="shared" ref="BA13:BF17" si="2">+AO13</f>
        <v>3.39</v>
      </c>
      <c r="BB13" s="5">
        <f t="shared" si="2"/>
        <v>0.91555200000000014</v>
      </c>
      <c r="BC13" s="24">
        <f t="shared" si="2"/>
        <v>486890.71246260597</v>
      </c>
      <c r="BD13" s="24">
        <f t="shared" si="2"/>
        <v>546734.70366990753</v>
      </c>
      <c r="BE13" s="24">
        <f t="shared" si="2"/>
        <v>74220700</v>
      </c>
      <c r="BF13" s="24">
        <f t="shared" si="2"/>
        <v>142970700</v>
      </c>
      <c r="BI13" t="str">
        <f>RegionWideSubstations!C13</f>
        <v>Puget Sound Energy Inc</v>
      </c>
      <c r="BJ13" s="417">
        <f>RegionWideSubstations!AE13/8760</f>
        <v>28.138172319438851</v>
      </c>
      <c r="BK13" s="416">
        <f>RegionWideSubstations!AF13/8760</f>
        <v>37.949250534027016</v>
      </c>
      <c r="BL13" s="70">
        <f>(RegionWideSubstations!AK13/8760)-BJ13</f>
        <v>13.252867059534957</v>
      </c>
      <c r="BM13" s="415">
        <f>(RegionWideSubstations!AL13/8760)-BK13</f>
        <v>9.4093550760560518</v>
      </c>
      <c r="BN13" s="70">
        <f>(RegionWideSubstations!AQ13/8760)-BJ13-BL13</f>
        <v>14.19009218068441</v>
      </c>
      <c r="BO13" s="415">
        <f>(RegionWideSubstations!AR13/8760)-BK13-BM13</f>
        <v>15.05403179515752</v>
      </c>
      <c r="BP13" s="70">
        <f>SUM(BK13,BM13,BO13)-SUM(BJ13,BL13,BN13)</f>
        <v>6.8315058455823703</v>
      </c>
      <c r="BQ13" s="24">
        <f>SUM(BJ13,BL13,BN13,BP13)</f>
        <v>62.412637405240588</v>
      </c>
    </row>
    <row r="14" spans="1:69">
      <c r="A14">
        <f t="shared" ref="A14:A45" si="3">A13+1</f>
        <v>2</v>
      </c>
      <c r="B14">
        <v>15248</v>
      </c>
      <c r="C14" t="s">
        <v>21</v>
      </c>
      <c r="D14" t="s">
        <v>5</v>
      </c>
      <c r="E14" t="s">
        <v>20</v>
      </c>
      <c r="F14" s="3">
        <v>593101</v>
      </c>
      <c r="G14" s="24">
        <v>18432528</v>
      </c>
      <c r="H14" s="122">
        <f>Sales!W22+Sales!W46</f>
        <v>19191143</v>
      </c>
      <c r="I14" s="3">
        <v>7322964</v>
      </c>
      <c r="J14" s="122">
        <f>Sales!K22+Sales!K46</f>
        <v>7505404</v>
      </c>
      <c r="K14" s="3">
        <v>680093</v>
      </c>
      <c r="L14" s="122">
        <f>Sales!L22+Sales!L46</f>
        <v>723440</v>
      </c>
      <c r="M14" s="3">
        <f t="shared" si="0"/>
        <v>10767.592079318565</v>
      </c>
      <c r="N14">
        <v>1</v>
      </c>
      <c r="O14">
        <v>2</v>
      </c>
      <c r="P14">
        <v>2</v>
      </c>
      <c r="Q14" s="24">
        <v>7075000</v>
      </c>
      <c r="R14" s="122">
        <f>Sales!N22+Sales!N46</f>
        <v>7321642</v>
      </c>
      <c r="T14" s="24">
        <v>4474000</v>
      </c>
      <c r="U14" s="122">
        <f>Sales!Q22+Sales!Q46</f>
        <v>4355931</v>
      </c>
      <c r="X14" s="33">
        <f>+G14/$X$11</f>
        <v>104.16085633358168</v>
      </c>
      <c r="Y14" s="28">
        <f>(I14+Q14)/G14</f>
        <v>0.78111716417845667</v>
      </c>
      <c r="Z14" s="27">
        <f t="shared" ref="Z14:Z77" si="4">ROUND(Y14*X14,0)</f>
        <v>81</v>
      </c>
      <c r="AA14" s="132">
        <f t="shared" ref="AA14:AA77" si="5">IF(J14+R14&gt;$X$11,IF(ROUND(Z14*(1+((J14+R14)/(I14+Q14)-1)/2),0)&gt;Z14,ROUND(Z14*(1+((J14+R14)/(I14+Q14)-1)/2),0),Z14),1)</f>
        <v>82</v>
      </c>
      <c r="AB14" s="27">
        <f t="shared" si="1"/>
        <v>23.160856333581677</v>
      </c>
      <c r="AC14" s="5">
        <f>2.5*$AC$9</f>
        <v>2.5</v>
      </c>
      <c r="AD14" s="5">
        <f>0.7*$AD$9</f>
        <v>0.77</v>
      </c>
      <c r="AE14" s="24">
        <f t="shared" ref="AE14:AE17" si="6">($J14*AE$6*$I$150+AE$7*$R14*$Q$150+AE$8*$U14*$T$150)*AD14*AC14/100</f>
        <v>166623.88786703345</v>
      </c>
      <c r="AF14" s="24">
        <f t="shared" ref="AF14:AF77" si="7">IF(AH14=0,0,($J14*AE$6*$I$150+AE$7*$R14*$Q$150+AE$8*$U14*$T$150)*AD14*(AC14/100+1/120))</f>
        <v>222165.18382271126</v>
      </c>
      <c r="AG14" s="24">
        <f t="shared" ref="AG14:AG77" si="8">IF(($J14+$R14)/$AA14&gt;AG$6,AG$7,AG$8)*$AA14</f>
        <v>2050000</v>
      </c>
      <c r="AH14" s="24">
        <f t="shared" ref="AH14:AH77" si="9">IF(($J14+$R14)/$AA14&gt;AH$6,AH$7,IF(($J14+$R14)/$AA14&lt;AH$9,0,AH$8))*$AA14</f>
        <v>22550000</v>
      </c>
      <c r="AI14" s="5">
        <f t="shared" ref="AI14:AI67" si="10">+AC14+$AI$9</f>
        <v>3</v>
      </c>
      <c r="AJ14" s="5">
        <f>+AD14*$AJ$9</f>
        <v>0.78539999999999999</v>
      </c>
      <c r="AK14" s="24">
        <f t="shared" ref="AK14:AK77" si="11">($J14*AK$6*$I$150+AK$7*$R14*$Q$150+AK$8*$U14*$T$150)*AJ14*AI14/100</f>
        <v>246536.98715443315</v>
      </c>
      <c r="AL14" s="24">
        <f t="shared" ref="AL14:AL77" si="12">IF(AN14=0,0,($J14*AK$6*$I$150+AK$7*$R14*$Q$150+AK$8*$U14*$T$150)*AJ14*(AI14/100+0.5/120))</f>
        <v>280778.23537032667</v>
      </c>
      <c r="AM14" s="24">
        <f t="shared" ref="AM14:AM77" si="13">IF(($J14+$R14)/$AA14&gt;AM$6,AM$7,AM$8)*$AA14</f>
        <v>4920000</v>
      </c>
      <c r="AN14" s="24">
        <f t="shared" ref="AN14:AN77" si="14">IF(($J14+$R14)/$AA14&gt;AN$6,AN$7,IF(($J14+$R14)/$AA14&lt;AN$9,0,AN$8))*$AA14</f>
        <v>26240000</v>
      </c>
      <c r="AO14" s="5">
        <f>AI14+$AO$9</f>
        <v>3.5</v>
      </c>
      <c r="AP14" s="5">
        <f>+AJ14*$AP$9</f>
        <v>0.80110800000000004</v>
      </c>
      <c r="AQ14" s="24">
        <f t="shared" ref="AQ14:AQ77" si="15">($J14*AQ$6*$I$150+AQ$7*$R14*$Q$150+AQ$8*$U14*$T$150)*AP14*AO14/100</f>
        <v>333452.02661385952</v>
      </c>
      <c r="AR14" s="24">
        <f t="shared" ref="AR14:AR77" si="16">IF(AT14=0,0,($J14*AQ$6*$I$150+AQ$7*$R14*$Q$150+AQ$8*$U14*$T$150)*AP14*(AO14/100+0.5/120))</f>
        <v>373148.69644884282</v>
      </c>
      <c r="AS14" s="24">
        <f t="shared" ref="AS14:AS77" si="17">IF(($J14+$R14)/$AA14&gt;AS$6,AS$7,AS$8)*$AA14+$AS$10*$AS$11*$L14</f>
        <v>43962000</v>
      </c>
      <c r="AT14" s="24">
        <f t="shared" ref="AT14:AT77" si="18">IF(AN14=0,0,IF(($J14+$R14)/$AA14&gt;AT$6,AT$7,IF(($J14+$R14)/$AA14&lt;AT$9,0,AT$8))*$AA14+$AS$10*$AS$11*$L14)</f>
        <v>64462000</v>
      </c>
      <c r="BA14" s="5">
        <f t="shared" si="2"/>
        <v>3.5</v>
      </c>
      <c r="BB14" s="5">
        <f t="shared" si="2"/>
        <v>0.80110800000000004</v>
      </c>
      <c r="BC14" s="24">
        <f t="shared" si="2"/>
        <v>333452.02661385952</v>
      </c>
      <c r="BD14" s="24">
        <f t="shared" si="2"/>
        <v>373148.69644884282</v>
      </c>
      <c r="BE14" s="24">
        <f t="shared" si="2"/>
        <v>43962000</v>
      </c>
      <c r="BF14" s="24">
        <f t="shared" si="2"/>
        <v>64462000</v>
      </c>
      <c r="BI14" t="str">
        <f>RegionWideSubstations!C14</f>
        <v>Portland General Electric Company</v>
      </c>
      <c r="BJ14" s="417">
        <f>RegionWideSubstations!AE14/8760</f>
        <v>19.020991765643089</v>
      </c>
      <c r="BK14" s="416">
        <f>RegionWideSubstations!AF14/8760</f>
        <v>25.361322354190783</v>
      </c>
      <c r="BL14" s="70">
        <f>(RegionWideSubstations!AK14/8760)-BJ14</f>
        <v>9.1224999186529345</v>
      </c>
      <c r="BM14" s="415">
        <f>(RegionWideSubstations!AL14/8760)-BK14</f>
        <v>6.6909876195907998</v>
      </c>
      <c r="BN14" s="70">
        <f>(RegionWideSubstations!AQ14/8760)-BJ14-BL14</f>
        <v>9.9218081574687602</v>
      </c>
      <c r="BO14" s="415">
        <f>(RegionWideSubstations!AR14/8760)-BK14-BM14</f>
        <v>10.544573182479013</v>
      </c>
      <c r="BP14" s="70">
        <f t="shared" ref="BP14:BP77" si="19">SUM(BK14,BM14,BO14)-SUM(BJ14,BL14,BN14)</f>
        <v>4.531583314495812</v>
      </c>
      <c r="BQ14" s="24">
        <f t="shared" ref="BQ14:BQ77" si="20">SUM(BJ14,BL14,BN14,BP14)</f>
        <v>42.596883156260596</v>
      </c>
    </row>
    <row r="15" spans="1:69">
      <c r="A15">
        <f t="shared" si="3"/>
        <v>3</v>
      </c>
      <c r="B15">
        <v>14354</v>
      </c>
      <c r="C15" t="s">
        <v>22</v>
      </c>
      <c r="D15" t="s">
        <v>5</v>
      </c>
      <c r="E15" t="s">
        <v>20</v>
      </c>
      <c r="F15" s="3">
        <v>339273</v>
      </c>
      <c r="G15" s="25">
        <v>13500000</v>
      </c>
      <c r="H15" s="122">
        <f>Sales!W24+Sales!W107</f>
        <v>12965585</v>
      </c>
      <c r="I15" s="3">
        <v>5374487</v>
      </c>
      <c r="J15" s="122">
        <f>Sales!K24+Sales!K107</f>
        <v>5405577</v>
      </c>
      <c r="K15" s="3">
        <v>447272</v>
      </c>
      <c r="L15" s="122">
        <f>Sales!L24+Sales!L107</f>
        <v>473821</v>
      </c>
      <c r="M15" s="3">
        <f t="shared" si="0"/>
        <v>12016.149009998389</v>
      </c>
      <c r="N15">
        <v>1</v>
      </c>
      <c r="O15">
        <v>2</v>
      </c>
      <c r="P15">
        <v>2</v>
      </c>
      <c r="Q15" s="25">
        <v>6000000</v>
      </c>
      <c r="R15" s="122">
        <f>Sales!N24+Sales!N107</f>
        <v>5134599</v>
      </c>
      <c r="T15" s="9">
        <f>+G15-Q15-I15</f>
        <v>2125513</v>
      </c>
      <c r="U15" s="122">
        <f>Sales!Q24+Sales!Q107</f>
        <v>2408771</v>
      </c>
      <c r="X15" s="33">
        <f>+G15/$X$11</f>
        <v>76.287504378311681</v>
      </c>
      <c r="Y15" s="28">
        <v>0.85</v>
      </c>
      <c r="Z15" s="27">
        <f t="shared" si="4"/>
        <v>65</v>
      </c>
      <c r="AA15" s="132">
        <f t="shared" si="5"/>
        <v>65</v>
      </c>
      <c r="AB15" s="27">
        <f t="shared" si="1"/>
        <v>11.287504378311681</v>
      </c>
      <c r="AC15" s="137">
        <v>0</v>
      </c>
      <c r="AD15" s="137">
        <v>0.48</v>
      </c>
      <c r="AE15" s="24">
        <f t="shared" si="6"/>
        <v>0</v>
      </c>
      <c r="AF15" s="24">
        <f t="shared" si="7"/>
        <v>24515.066610702455</v>
      </c>
      <c r="AG15" s="122">
        <v>0</v>
      </c>
      <c r="AH15" s="122">
        <f>IF(($J15+$R15)/$AA15&gt;AH$6,AH$7,IF(($J15+$R15)/$AA15&lt;AH$9,0,AH$8))*$AA15-IF(($J15+$R15)/$AA15&gt;AG$6,AG$7,AG$8)*$AA15</f>
        <v>16250000</v>
      </c>
      <c r="AI15" s="5">
        <f t="shared" si="10"/>
        <v>0.5</v>
      </c>
      <c r="AJ15" s="5">
        <f>+AD15*$AJ$9</f>
        <v>0.48959999999999998</v>
      </c>
      <c r="AK15" s="24">
        <f t="shared" si="11"/>
        <v>18039.21899442521</v>
      </c>
      <c r="AL15" s="24">
        <f t="shared" si="12"/>
        <v>33071.90148977955</v>
      </c>
      <c r="AM15" s="122">
        <f>IF(($J15+$R15)/$AA15&gt;AM$6,AM$7,AM$8)*$AA15-IF(($J15+$R15)/$AA15&gt;AG$6,AG$7,AG$8)*$AA15</f>
        <v>2275000</v>
      </c>
      <c r="AN15" s="122">
        <f>IF(($J15+$R15)/$AA15&gt;AN$6,AN$7,IF(($J15+$R15)/$AA15&lt;AN$9,0,AN$8))*$AA15-IF(($J15+$R15)/$AA15&gt;AG$6,AG$7,AG$8)*$AA15</f>
        <v>19175000</v>
      </c>
      <c r="AO15" s="5">
        <f>AI15+$AO$9</f>
        <v>1</v>
      </c>
      <c r="AP15" s="5">
        <f>+AJ15*$AP$9</f>
        <v>0.499392</v>
      </c>
      <c r="AQ15" s="24">
        <f t="shared" si="15"/>
        <v>41632.63541473847</v>
      </c>
      <c r="AR15" s="24">
        <f t="shared" si="16"/>
        <v>58979.566837546168</v>
      </c>
      <c r="AS15" s="122">
        <f>IF(($J15+$R15)/$AA15&gt;AS$6,AS$7,AS$8)*$AA15+$AS$10*$AS$11*$L15-IF(($J15+$R15)/$AA15&gt;AG$6,AG$7,AG$8)*$AA15</f>
        <v>28241050</v>
      </c>
      <c r="AT15" s="122">
        <f>IF(AN15=0,0,IF(($J15+$R15)/$AA15&gt;AT$6,AT$7,IF(($J15+$R15)/$AA15&lt;AT$9,0,AT$8))*$AA15+$AS$10*$AS$11*$L15)-IF(($J15+$R15)/$AA15&gt;AG$6,AG$7,AG$8)*$AA15</f>
        <v>44491050</v>
      </c>
      <c r="BA15" s="5">
        <f t="shared" si="2"/>
        <v>1</v>
      </c>
      <c r="BB15" s="5">
        <f t="shared" si="2"/>
        <v>0.499392</v>
      </c>
      <c r="BC15" s="24">
        <f t="shared" si="2"/>
        <v>41632.63541473847</v>
      </c>
      <c r="BD15" s="24">
        <f t="shared" si="2"/>
        <v>58979.566837546168</v>
      </c>
      <c r="BE15" s="24">
        <f t="shared" si="2"/>
        <v>28241050</v>
      </c>
      <c r="BF15" s="24">
        <f t="shared" si="2"/>
        <v>44491050</v>
      </c>
      <c r="BI15" t="str">
        <f>RegionWideSubstations!C15</f>
        <v>PacifiCorp</v>
      </c>
      <c r="BJ15" s="417">
        <f>RegionWideSubstations!AE15/8760</f>
        <v>0</v>
      </c>
      <c r="BK15" s="416">
        <f>RegionWideSubstations!AF15/8760</f>
        <v>2.7985235856966275</v>
      </c>
      <c r="BL15" s="70">
        <f>(RegionWideSubstations!AK15/8760)-BJ15</f>
        <v>2.0592715747060741</v>
      </c>
      <c r="BM15" s="415">
        <f>(RegionWideSubstations!AL15/8760)-BK15</f>
        <v>0.97680763459784181</v>
      </c>
      <c r="BN15" s="70">
        <f>(RegionWideSubstations!AQ15/8760)-BJ15-BL15</f>
        <v>2.6933123767480889</v>
      </c>
      <c r="BO15" s="415">
        <f>(RegionWideSubstations!AR15/8760)-BK15-BM15</f>
        <v>2.9574960442655955</v>
      </c>
      <c r="BP15" s="70">
        <f t="shared" si="19"/>
        <v>1.9802433131059018</v>
      </c>
      <c r="BQ15" s="24">
        <f t="shared" si="20"/>
        <v>6.7328272645600649</v>
      </c>
    </row>
    <row r="16" spans="1:69">
      <c r="A16">
        <f t="shared" si="3"/>
        <v>4</v>
      </c>
      <c r="B16">
        <v>9191</v>
      </c>
      <c r="C16" t="s">
        <v>25</v>
      </c>
      <c r="D16" t="s">
        <v>26</v>
      </c>
      <c r="E16" t="s">
        <v>20</v>
      </c>
      <c r="F16" s="3">
        <v>211935</v>
      </c>
      <c r="G16" s="24">
        <v>12339364</v>
      </c>
      <c r="H16" s="122">
        <f>VLOOKUP($C16&amp;"WA",Sales!$A$21:$W$209,23,FALSE)+VLOOKUP($C16&amp;"ID",Sales!$A$21:$W$209,23,FALSE)+Sales!W205</f>
        <v>8873005</v>
      </c>
      <c r="I16" s="3">
        <v>3419532</v>
      </c>
      <c r="J16" s="122">
        <f>VLOOKUP($C16&amp;"WA",Sales!$A$21:$W$209,11,FALSE)+VLOOKUP($C16&amp;"ID",Sales!$A$21:$W$209,11,FALSE)+Sales!K205</f>
        <v>3608625</v>
      </c>
      <c r="K16" s="3">
        <v>294036</v>
      </c>
      <c r="L16" s="122">
        <f>VLOOKUP($C16&amp;"WA",Sales!$A$21:$W$209,12,FALSE)+VLOOKUP($C16&amp;"ID",Sales!$A$21:$W$209,12,FALSE)+Sales!L205</f>
        <v>318692</v>
      </c>
      <c r="M16" s="3">
        <f t="shared" si="0"/>
        <v>11629.63718728319</v>
      </c>
      <c r="N16">
        <v>2</v>
      </c>
      <c r="O16">
        <v>2</v>
      </c>
      <c r="P16">
        <v>3</v>
      </c>
      <c r="Q16" s="3">
        <f>($G16-$I16)/2</f>
        <v>4459916</v>
      </c>
      <c r="R16" s="122">
        <f>VLOOKUP($C16&amp;"WA",Sales!$A$21:$W$209,14,FALSE)+VLOOKUP($C16&amp;"ID",Sales!$A$21:$W$209,14,FALSE)+Sales!N205</f>
        <v>3164732</v>
      </c>
      <c r="T16" s="3">
        <f>($G16-$I16)/2</f>
        <v>4459916</v>
      </c>
      <c r="U16" s="122">
        <f>VLOOKUP($C16&amp;"WA",Sales!$A$21:$W$209,17,FALSE)+VLOOKUP($C16&amp;"ID",Sales!$A$21:$W$209,17,FALSE)+Sales!Q205</f>
        <v>2099648</v>
      </c>
      <c r="X16" s="32">
        <v>122</v>
      </c>
      <c r="Y16" s="28">
        <v>1</v>
      </c>
      <c r="Z16" s="27">
        <f t="shared" si="4"/>
        <v>122</v>
      </c>
      <c r="AA16" s="132">
        <f t="shared" si="5"/>
        <v>122</v>
      </c>
      <c r="AB16" s="27">
        <f t="shared" si="1"/>
        <v>0</v>
      </c>
      <c r="AC16" s="5">
        <f>1.5*$AC$9</f>
        <v>1.5</v>
      </c>
      <c r="AD16" s="5">
        <f>0.84*$AD$9</f>
        <v>0.92400000000000004</v>
      </c>
      <c r="AE16" s="24">
        <f t="shared" si="6"/>
        <v>55615.089813239894</v>
      </c>
      <c r="AF16" s="24">
        <f t="shared" si="7"/>
        <v>86512.361931706488</v>
      </c>
      <c r="AG16" s="24">
        <f t="shared" si="8"/>
        <v>3050000</v>
      </c>
      <c r="AH16" s="24">
        <f t="shared" si="9"/>
        <v>18300000</v>
      </c>
      <c r="AI16" s="5">
        <f t="shared" si="10"/>
        <v>2</v>
      </c>
      <c r="AJ16" s="5">
        <f>+AD16*$AJ$9</f>
        <v>0.9424800000000001</v>
      </c>
      <c r="AK16" s="24">
        <f t="shared" si="11"/>
        <v>91320.433408093289</v>
      </c>
      <c r="AL16" s="24">
        <f t="shared" si="12"/>
        <v>110345.52370144604</v>
      </c>
      <c r="AM16" s="24">
        <f t="shared" si="13"/>
        <v>7320000</v>
      </c>
      <c r="AN16" s="24">
        <f t="shared" si="14"/>
        <v>20435000</v>
      </c>
      <c r="AO16" s="5">
        <f>AI16+$AO$9</f>
        <v>2.5</v>
      </c>
      <c r="AP16" s="5">
        <f>+AJ16*$AP$9</f>
        <v>0.96132960000000012</v>
      </c>
      <c r="AQ16" s="24">
        <f t="shared" si="15"/>
        <v>132058.66982661153</v>
      </c>
      <c r="AR16" s="24">
        <f t="shared" si="16"/>
        <v>154068.44813104678</v>
      </c>
      <c r="AS16" s="24">
        <f t="shared" si="17"/>
        <v>27524600</v>
      </c>
      <c r="AT16" s="24">
        <f t="shared" si="18"/>
        <v>40334600</v>
      </c>
      <c r="BA16" s="5">
        <f t="shared" si="2"/>
        <v>2.5</v>
      </c>
      <c r="BB16" s="5">
        <f t="shared" si="2"/>
        <v>0.96132960000000012</v>
      </c>
      <c r="BC16" s="24">
        <f t="shared" si="2"/>
        <v>132058.66982661153</v>
      </c>
      <c r="BD16" s="24">
        <f t="shared" si="2"/>
        <v>154068.44813104678</v>
      </c>
      <c r="BE16" s="24">
        <f t="shared" si="2"/>
        <v>27524600</v>
      </c>
      <c r="BF16" s="24">
        <f t="shared" si="2"/>
        <v>40334600</v>
      </c>
      <c r="BI16" t="str">
        <f>RegionWideSubstations!C16</f>
        <v>Avista Corp</v>
      </c>
      <c r="BJ16" s="417">
        <f>RegionWideSubstations!AE16/8760</f>
        <v>6.348754544890399</v>
      </c>
      <c r="BK16" s="416">
        <f>RegionWideSubstations!AF16/8760</f>
        <v>9.8758404031628402</v>
      </c>
      <c r="BL16" s="70">
        <f>(RegionWideSubstations!AK16/8760)-BJ16</f>
        <v>4.075952465165912</v>
      </c>
      <c r="BM16" s="415">
        <f>(RegionWideSubstations!AL16/8760)-BK16</f>
        <v>2.7206805673218675</v>
      </c>
      <c r="BN16" s="70">
        <f>(RegionWideSubstations!AQ16/8760)-BJ16-BL16</f>
        <v>4.65048360941989</v>
      </c>
      <c r="BO16" s="415">
        <f>(RegionWideSubstations!AR16/8760)-BK16-BM16</f>
        <v>4.9912014189041933</v>
      </c>
      <c r="BP16" s="70">
        <f t="shared" si="19"/>
        <v>2.5125317699126999</v>
      </c>
      <c r="BQ16" s="24">
        <f t="shared" si="20"/>
        <v>17.587722389388901</v>
      </c>
    </row>
    <row r="17" spans="1:69">
      <c r="A17">
        <f t="shared" si="3"/>
        <v>5</v>
      </c>
      <c r="B17">
        <v>16868</v>
      </c>
      <c r="C17" t="s">
        <v>23</v>
      </c>
      <c r="D17" t="s">
        <v>24</v>
      </c>
      <c r="E17" t="s">
        <v>20</v>
      </c>
      <c r="F17" s="3">
        <v>299487</v>
      </c>
      <c r="G17" s="3">
        <f>SUM([5]Idaho!$I$2:$I$213)</f>
        <v>11924527.71764753</v>
      </c>
      <c r="H17" s="122">
        <f>VLOOKUP($C17&amp;"OR",Sales!$A$21:$W$209,23,FALSE)+VLOOKUP($C17&amp;"ID",Sales!$A$21:$W$209,23,FALSE)</f>
        <v>14085316</v>
      </c>
      <c r="I17" s="3">
        <v>4760275</v>
      </c>
      <c r="J17" s="122">
        <f>VLOOKUP($C17&amp;"OR",Sales!$A$21:$W$209,11,FALSE)+VLOOKUP($C17&amp;"ID",Sales!$A$21:$W$209,11,FALSE)</f>
        <v>5039358</v>
      </c>
      <c r="K17" s="3">
        <v>373603</v>
      </c>
      <c r="L17" s="122">
        <f>VLOOKUP($C17&amp;"OR",Sales!$A$21:$W$209,12,FALSE)+VLOOKUP($C17&amp;"ID",Sales!$A$21:$W$209,12,FALSE)</f>
        <v>413610</v>
      </c>
      <c r="M17" s="3">
        <f t="shared" si="0"/>
        <v>12741.533124734009</v>
      </c>
      <c r="N17">
        <v>2</v>
      </c>
      <c r="O17">
        <v>3</v>
      </c>
      <c r="P17">
        <v>4</v>
      </c>
      <c r="Q17" s="3">
        <f>($G17-$I17)/2</f>
        <v>3582126.3588237651</v>
      </c>
      <c r="R17" s="122">
        <f>VLOOKUP($C17&amp;"OR",Sales!$A$21:$W$209,14,FALSE)+VLOOKUP($C17&amp;"ID",Sales!$A$21:$W$209,14,FALSE)</f>
        <v>3864967</v>
      </c>
      <c r="T17" s="3">
        <f>($G17-$I17)/2</f>
        <v>3582126.3588237651</v>
      </c>
      <c r="U17" s="122">
        <f>VLOOKUP($C17&amp;"OR",Sales!$A$21:$W$209,17,FALSE)+VLOOKUP($C17&amp;"ID",Sales!$A$21:$W$209,17,FALSE)</f>
        <v>5180991</v>
      </c>
      <c r="X17" s="32">
        <v>209</v>
      </c>
      <c r="Y17" s="28">
        <v>0.9</v>
      </c>
      <c r="Z17" s="27">
        <f t="shared" si="4"/>
        <v>188</v>
      </c>
      <c r="AA17" s="132">
        <f t="shared" si="5"/>
        <v>194</v>
      </c>
      <c r="AB17" s="27">
        <f t="shared" si="1"/>
        <v>21</v>
      </c>
      <c r="AC17" s="5">
        <f>2.86*$AC$9</f>
        <v>2.86</v>
      </c>
      <c r="AD17" s="5">
        <f>0.41*$AD$9</f>
        <v>0.45100000000000001</v>
      </c>
      <c r="AE17" s="24">
        <f t="shared" si="6"/>
        <v>71146.060176807092</v>
      </c>
      <c r="AF17" s="24">
        <f t="shared" si="7"/>
        <v>91876.264191028284</v>
      </c>
      <c r="AG17" s="24">
        <f t="shared" si="8"/>
        <v>4850000</v>
      </c>
      <c r="AH17" s="24">
        <f t="shared" si="9"/>
        <v>29100000</v>
      </c>
      <c r="AI17" s="5">
        <f t="shared" si="10"/>
        <v>3.36</v>
      </c>
      <c r="AJ17" s="5">
        <f>+AD17*$AJ$9</f>
        <v>0.46002000000000004</v>
      </c>
      <c r="AK17" s="24">
        <f t="shared" si="11"/>
        <v>104561.28461235235</v>
      </c>
      <c r="AL17" s="24">
        <f t="shared" si="12"/>
        <v>117527.71375574922</v>
      </c>
      <c r="AM17" s="24">
        <f t="shared" si="13"/>
        <v>11640000</v>
      </c>
      <c r="AN17" s="24">
        <f t="shared" si="14"/>
        <v>32495000</v>
      </c>
      <c r="AO17" s="5">
        <f>AI17+$AO$9</f>
        <v>3.86</v>
      </c>
      <c r="AP17" s="5">
        <f>+AJ17*$AP$9</f>
        <v>0.46922040000000004</v>
      </c>
      <c r="AQ17" s="24">
        <f t="shared" si="15"/>
        <v>140544.22991702714</v>
      </c>
      <c r="AR17" s="24">
        <f t="shared" si="16"/>
        <v>155715.23919131761</v>
      </c>
      <c r="AS17" s="24">
        <f t="shared" si="17"/>
        <v>39110500</v>
      </c>
      <c r="AT17" s="24">
        <f t="shared" si="18"/>
        <v>59480500</v>
      </c>
      <c r="BA17" s="5">
        <f t="shared" si="2"/>
        <v>3.86</v>
      </c>
      <c r="BB17" s="5">
        <f t="shared" si="2"/>
        <v>0.46922040000000004</v>
      </c>
      <c r="BC17" s="24">
        <f t="shared" si="2"/>
        <v>140544.22991702714</v>
      </c>
      <c r="BD17" s="24">
        <f t="shared" si="2"/>
        <v>155715.23919131761</v>
      </c>
      <c r="BE17" s="24">
        <f t="shared" si="2"/>
        <v>39110500</v>
      </c>
      <c r="BF17" s="24">
        <f t="shared" si="2"/>
        <v>59480500</v>
      </c>
      <c r="BI17" t="str">
        <f>RegionWideSubstations!C17</f>
        <v>Idaho Power Co</v>
      </c>
      <c r="BJ17" s="417">
        <f>RegionWideSubstations!AE17/8760</f>
        <v>8.1216963672154208</v>
      </c>
      <c r="BK17" s="416">
        <f>RegionWideSubstations!AF17/8760</f>
        <v>10.488158012674461</v>
      </c>
      <c r="BL17" s="70">
        <f>(RegionWideSubstations!AK17/8760)-BJ17</f>
        <v>3.8145233373910123</v>
      </c>
      <c r="BM17" s="415">
        <f>(RegionWideSubstations!AL17/8760)-BK17</f>
        <v>2.9282476672055875</v>
      </c>
      <c r="BN17" s="70">
        <f>(RegionWideSubstations!AQ17/8760)-BJ17-BL17</f>
        <v>4.1076421580678968</v>
      </c>
      <c r="BO17" s="415">
        <f>(RegionWideSubstations!AR17/8760)-BK17-BM17</f>
        <v>4.3593065565717328</v>
      </c>
      <c r="BP17" s="70">
        <f t="shared" si="19"/>
        <v>1.7318503737774513</v>
      </c>
      <c r="BQ17" s="24">
        <f t="shared" si="20"/>
        <v>17.775712236451781</v>
      </c>
    </row>
    <row r="18" spans="1:69">
      <c r="A18">
        <f t="shared" si="3"/>
        <v>6</v>
      </c>
      <c r="B18">
        <v>20169</v>
      </c>
      <c r="C18" s="67" t="s">
        <v>356</v>
      </c>
      <c r="D18" t="s">
        <v>1</v>
      </c>
      <c r="E18" t="s">
        <v>29</v>
      </c>
      <c r="F18" s="3">
        <v>196758</v>
      </c>
      <c r="G18" s="3">
        <v>9161466</v>
      </c>
      <c r="H18" s="122">
        <f>VLOOKUP($C18&amp;$D18,Sales!$A$21:$W$209,23,FALSE)</f>
        <v>9466642</v>
      </c>
      <c r="I18" s="3">
        <v>2948779</v>
      </c>
      <c r="J18" s="122">
        <f>VLOOKUP($C18&amp;$D18,Sales!$A$21:$W$209,11,FALSE)</f>
        <v>3146951</v>
      </c>
      <c r="K18" s="3">
        <v>336363</v>
      </c>
      <c r="L18" s="122">
        <f>VLOOKUP($C18&amp;$D18,Sales!$A$21:$W$209,12,FALSE)</f>
        <v>362524</v>
      </c>
      <c r="M18" s="3">
        <f t="shared" si="0"/>
        <v>8766.6568558372946</v>
      </c>
      <c r="N18">
        <v>1</v>
      </c>
      <c r="O18">
        <v>1</v>
      </c>
      <c r="P18">
        <v>1</v>
      </c>
      <c r="Q18" s="3">
        <f>($G18-$I18)/($S18+$V18*20)*S18</f>
        <v>5533365.9469385911</v>
      </c>
      <c r="R18" s="122">
        <f>VLOOKUP($C18&amp;$D18,Sales!$A$21:$W$209,14,FALSE)</f>
        <v>5237477</v>
      </c>
      <c r="S18" s="3">
        <v>39261</v>
      </c>
      <c r="T18" s="3">
        <f>($G18-$I18)/($S18+$V18*20)*V18*20</f>
        <v>679321.05306140974</v>
      </c>
      <c r="U18" s="122">
        <f>VLOOKUP($C18&amp;$D18,Sales!$A$21:$W$209,17,FALSE)</f>
        <v>1081568</v>
      </c>
      <c r="V18" s="3">
        <v>241</v>
      </c>
      <c r="W18" s="9"/>
      <c r="X18" s="33">
        <v>14</v>
      </c>
      <c r="Y18" s="28">
        <v>0.8</v>
      </c>
      <c r="Z18" s="27">
        <f t="shared" si="4"/>
        <v>11</v>
      </c>
      <c r="AA18" s="132">
        <f t="shared" si="5"/>
        <v>11</v>
      </c>
      <c r="AB18" s="27">
        <f t="shared" si="1"/>
        <v>3</v>
      </c>
      <c r="AC18" s="5"/>
      <c r="AD18" s="5"/>
      <c r="AE18" s="24"/>
      <c r="AF18" s="24"/>
      <c r="AG18" s="24"/>
      <c r="AH18" s="24"/>
      <c r="AI18" s="5"/>
      <c r="AJ18" s="5"/>
      <c r="AK18" s="24"/>
      <c r="AL18" s="24"/>
      <c r="AM18" s="24"/>
      <c r="AN18" s="24"/>
      <c r="AO18" s="5"/>
      <c r="AP18" s="5"/>
      <c r="AQ18" s="24"/>
      <c r="AR18" s="24"/>
      <c r="AS18" s="24"/>
      <c r="AT18" s="24"/>
      <c r="AU18" s="138">
        <v>0</v>
      </c>
      <c r="AV18">
        <v>0.7</v>
      </c>
      <c r="AW18" s="24">
        <f>($J18*AW$6*$I$150+AW$7*$R18*$Q$150+AW$8*$U18*$T$150)*AV18*AU18/100</f>
        <v>0</v>
      </c>
      <c r="AX18" s="24">
        <f>($J18*AW$6*$I$150+AW$7*$R18*$Q$150+AW$8*$U18*$T$150)*AV18*(AU18/100+0.5/120)</f>
        <v>19713.855339031739</v>
      </c>
      <c r="AY18" s="24">
        <f>IF(($J18+$R18)/$AA18&gt;AY$6,AY$7,AY$8)*$AA18+$AY$10*$AY$11*$L18</f>
        <v>55000000</v>
      </c>
      <c r="AZ18" s="24">
        <f>IF(($J18+$R18)/$AA18&gt;AZ$6,AZ$7,IF(($J18+$R18)/$AA18&lt;AZ$9,0,AZ$8))*$AA18+$AY$10*$AY$11*$L18</f>
        <v>58025000</v>
      </c>
      <c r="BA18" s="5">
        <f t="shared" ref="BA18:BD18" si="21">+AU18</f>
        <v>0</v>
      </c>
      <c r="BB18" s="5">
        <f t="shared" si="21"/>
        <v>0.7</v>
      </c>
      <c r="BC18" s="24">
        <f t="shared" si="21"/>
        <v>0</v>
      </c>
      <c r="BD18" s="24">
        <f t="shared" si="21"/>
        <v>19713.855339031739</v>
      </c>
      <c r="BE18" s="122">
        <v>0</v>
      </c>
      <c r="BF18" s="122">
        <f>AZ18-AY18</f>
        <v>3025000</v>
      </c>
      <c r="BI18" t="str">
        <f>RegionWideSubstations!C18</f>
        <v>Seattle City of</v>
      </c>
      <c r="BJ18" s="417">
        <f>RegionWideSubstations!AE18/8760</f>
        <v>0</v>
      </c>
      <c r="BK18" s="416">
        <f>RegionWideSubstations!AF18/8760</f>
        <v>0</v>
      </c>
      <c r="BL18" s="70">
        <f>(RegionWideSubstations!AK18/8760)-BJ18</f>
        <v>0</v>
      </c>
      <c r="BM18" s="415">
        <f>(RegionWideSubstations!AL18/8760)-BK18</f>
        <v>0</v>
      </c>
      <c r="BN18" s="70">
        <f>(RegionWideSubstations!AQ18/8760)-BJ18-BL18</f>
        <v>0</v>
      </c>
      <c r="BO18" s="415">
        <f>(RegionWideSubstations!AR18/8760)-BK18-BM18</f>
        <v>0</v>
      </c>
      <c r="BP18" s="70">
        <f t="shared" si="19"/>
        <v>0</v>
      </c>
      <c r="BQ18" s="24">
        <f t="shared" si="20"/>
        <v>0</v>
      </c>
    </row>
    <row r="19" spans="1:69">
      <c r="A19">
        <f t="shared" si="3"/>
        <v>7</v>
      </c>
      <c r="B19">
        <v>17470</v>
      </c>
      <c r="C19" s="67" t="s">
        <v>344</v>
      </c>
      <c r="D19" s="67" t="s">
        <v>4</v>
      </c>
      <c r="E19" t="s">
        <v>20</v>
      </c>
      <c r="F19" s="3">
        <v>49553.64</v>
      </c>
      <c r="G19" s="24">
        <v>7019031</v>
      </c>
      <c r="H19" s="122">
        <f>Sales!W28+Sales!W37</f>
        <v>8589311</v>
      </c>
      <c r="I19" s="3">
        <v>567652.86</v>
      </c>
      <c r="J19" s="122">
        <f>Sales!K28+Sales!K37</f>
        <v>2354708</v>
      </c>
      <c r="K19" s="3">
        <v>68294.880000000005</v>
      </c>
      <c r="L19" s="122">
        <f>Sales!L28+Sales!L37</f>
        <v>273807</v>
      </c>
      <c r="M19" s="3">
        <f t="shared" si="0"/>
        <v>8311.7923334809275</v>
      </c>
      <c r="N19">
        <v>3</v>
      </c>
      <c r="O19">
        <v>2</v>
      </c>
      <c r="P19">
        <v>3</v>
      </c>
      <c r="Q19" s="3">
        <f>($G19-$I19)/2</f>
        <v>3225689.07</v>
      </c>
      <c r="R19" s="122">
        <f>Sales!N28+Sales!N37</f>
        <v>3247735</v>
      </c>
      <c r="T19" s="3">
        <f>($G19-$I19)/2</f>
        <v>3225689.07</v>
      </c>
      <c r="U19" s="122">
        <f>Sales!Q28+Sales!Q37</f>
        <v>2986868</v>
      </c>
      <c r="X19" s="33">
        <f>IF(G19&lt;$X$11,1,G19/$X$11)</f>
        <v>39.664026529185584</v>
      </c>
      <c r="Y19" s="28">
        <v>0.8</v>
      </c>
      <c r="Z19" s="27">
        <f t="shared" si="4"/>
        <v>32</v>
      </c>
      <c r="AA19" s="132">
        <f t="shared" si="5"/>
        <v>40</v>
      </c>
      <c r="AB19" s="27">
        <f t="shared" si="1"/>
        <v>7.664026529185584</v>
      </c>
      <c r="AC19" s="5">
        <f>1*$AC$9</f>
        <v>1</v>
      </c>
      <c r="AD19" s="5">
        <f>0.5*$AD$9</f>
        <v>0.55000000000000004</v>
      </c>
      <c r="AE19" s="24">
        <f t="shared" ref="AE19:AE82" si="22">($J19*AE$6*$I$150+AE$7*$R19*$Q$150+AE$8*$U19*$T$150)*AD19*AC19/100</f>
        <v>17709.57167341869</v>
      </c>
      <c r="AF19" s="24">
        <f t="shared" si="7"/>
        <v>32467.548067934262</v>
      </c>
      <c r="AG19" s="24">
        <f t="shared" si="8"/>
        <v>1000000</v>
      </c>
      <c r="AH19" s="24">
        <f t="shared" si="9"/>
        <v>11000000</v>
      </c>
      <c r="AI19" s="5">
        <f t="shared" si="10"/>
        <v>1.5</v>
      </c>
      <c r="AJ19" s="5">
        <f t="shared" ref="AJ19:AJ50" si="23">+AD19*$AJ$9</f>
        <v>0.56100000000000005</v>
      </c>
      <c r="AK19" s="24">
        <f t="shared" si="11"/>
        <v>33589.430510261205</v>
      </c>
      <c r="AL19" s="24">
        <f t="shared" si="12"/>
        <v>42919.827874222647</v>
      </c>
      <c r="AM19" s="24">
        <f t="shared" si="13"/>
        <v>2400000</v>
      </c>
      <c r="AN19" s="24">
        <f t="shared" si="14"/>
        <v>12800000</v>
      </c>
      <c r="AO19" s="5">
        <f t="shared" ref="AO19:AO50" si="24">AI19+$AO$9</f>
        <v>2</v>
      </c>
      <c r="AP19" s="5">
        <f t="shared" ref="AP19:AP50" si="25">+AJ19*$AP$9</f>
        <v>0.57222000000000006</v>
      </c>
      <c r="AQ19" s="24">
        <f t="shared" si="15"/>
        <v>53154.725640434874</v>
      </c>
      <c r="AR19" s="24">
        <f t="shared" si="16"/>
        <v>64228.626815525473</v>
      </c>
      <c r="AS19" s="24">
        <f t="shared" si="17"/>
        <v>17490350</v>
      </c>
      <c r="AT19" s="24">
        <f t="shared" si="18"/>
        <v>27490350</v>
      </c>
      <c r="BA19" s="5">
        <f t="shared" ref="BA19:BA82" si="26">+AO19</f>
        <v>2</v>
      </c>
      <c r="BB19" s="5">
        <f t="shared" ref="BB19:BB82" si="27">+AP19</f>
        <v>0.57222000000000006</v>
      </c>
      <c r="BC19" s="24">
        <f t="shared" ref="BC19:BC82" si="28">+AQ19</f>
        <v>53154.725640434874</v>
      </c>
      <c r="BD19" s="24">
        <f t="shared" ref="BD19:BD82" si="29">+AR19</f>
        <v>64228.626815525473</v>
      </c>
      <c r="BE19" s="24">
        <f t="shared" ref="BE19:BE82" si="30">+AS19</f>
        <v>17490350</v>
      </c>
      <c r="BF19" s="24">
        <f t="shared" ref="BF19:BF82" si="31">+AT19</f>
        <v>27490350</v>
      </c>
      <c r="BI19" t="str">
        <f>RegionWideSubstations!C19</f>
        <v>NorthWestern Corporation</v>
      </c>
      <c r="BJ19" s="417">
        <f>RegionWideSubstations!AE19/8760</f>
        <v>2.0216406019884348</v>
      </c>
      <c r="BK19" s="416">
        <f>RegionWideSubstations!AF19/8760</f>
        <v>3.7063411036454639</v>
      </c>
      <c r="BL19" s="70">
        <f>(RegionWideSubstations!AK19/8760)-BJ19</f>
        <v>1.8127692736121594</v>
      </c>
      <c r="BM19" s="415">
        <f>(RegionWideSubstations!AL19/8760)-BK19</f>
        <v>1.1931826262886283</v>
      </c>
      <c r="BN19" s="70">
        <f>(RegionWideSubstations!AQ19/8760)-BJ19-BL19</f>
        <v>2.2334811792435691</v>
      </c>
      <c r="BO19" s="415">
        <f>(RegionWideSubstations!AR19/8760)-BK19-BM19</f>
        <v>2.432511294669272</v>
      </c>
      <c r="BP19" s="70">
        <f t="shared" si="19"/>
        <v>1.2641439697592007</v>
      </c>
      <c r="BQ19" s="24">
        <f t="shared" si="20"/>
        <v>7.3320350246033641</v>
      </c>
    </row>
    <row r="20" spans="1:69">
      <c r="A20">
        <f t="shared" si="3"/>
        <v>8</v>
      </c>
      <c r="B20">
        <v>14354</v>
      </c>
      <c r="C20" s="67" t="s">
        <v>359</v>
      </c>
      <c r="D20" t="s">
        <v>1</v>
      </c>
      <c r="E20" t="s">
        <v>62</v>
      </c>
      <c r="F20" s="3">
        <v>248569</v>
      </c>
      <c r="G20" s="3">
        <v>6305176</v>
      </c>
      <c r="H20" s="122">
        <f>VLOOKUP($C20&amp;$D20,Sales!$A$21:$W$209,23,FALSE)</f>
        <v>6535584</v>
      </c>
      <c r="I20" s="3">
        <v>3188146</v>
      </c>
      <c r="J20" s="122">
        <f>VLOOKUP($C20&amp;$D20,Sales!$A$21:$W$209,11,FALSE)</f>
        <v>3531333</v>
      </c>
      <c r="K20" s="3">
        <v>272829</v>
      </c>
      <c r="L20" s="122">
        <f>VLOOKUP($C20&amp;$D20,Sales!$A$21:$W$209,12,FALSE)</f>
        <v>295622</v>
      </c>
      <c r="M20" s="3">
        <f t="shared" si="0"/>
        <v>11685.509971447316</v>
      </c>
      <c r="N20">
        <v>1</v>
      </c>
      <c r="O20">
        <v>1</v>
      </c>
      <c r="P20">
        <v>2</v>
      </c>
      <c r="Q20" s="3">
        <f>($G20-$I20)/($S20+$V20*20)*S20</f>
        <v>2950413.3321763277</v>
      </c>
      <c r="R20" s="122">
        <f>VLOOKUP($C20&amp;$D20,Sales!$A$21:$W$209,14,FALSE)</f>
        <v>2364872</v>
      </c>
      <c r="S20" s="3">
        <v>27270</v>
      </c>
      <c r="T20" s="3">
        <f>($G20-$I20)/($S20+$V20*20)*V20*20</f>
        <v>166616.66782367232</v>
      </c>
      <c r="U20" s="122">
        <f>VLOOKUP($C20&amp;$D20,Sales!$A$21:$W$209,17,FALSE)</f>
        <v>639379</v>
      </c>
      <c r="V20" s="3">
        <v>77</v>
      </c>
      <c r="W20" s="3">
        <f>SUM([5]SNO!$F$2:$F$74)/1000</f>
        <v>5419283.9869999997</v>
      </c>
      <c r="X20" s="34">
        <v>74</v>
      </c>
      <c r="Y20" s="28">
        <v>0.9</v>
      </c>
      <c r="Z20" s="27">
        <f t="shared" si="4"/>
        <v>67</v>
      </c>
      <c r="AA20" s="132">
        <f t="shared" si="5"/>
        <v>67</v>
      </c>
      <c r="AB20" s="27">
        <f t="shared" si="1"/>
        <v>7</v>
      </c>
      <c r="AC20" s="5">
        <v>0.4</v>
      </c>
      <c r="AD20" s="5">
        <f>0.65*$AD$9</f>
        <v>0.71500000000000008</v>
      </c>
      <c r="AE20" s="24">
        <f t="shared" si="22"/>
        <v>10088.702946216843</v>
      </c>
      <c r="AF20" s="24">
        <f t="shared" si="7"/>
        <v>31106.834084168597</v>
      </c>
      <c r="AG20" s="24">
        <f t="shared" si="8"/>
        <v>1675000</v>
      </c>
      <c r="AH20" s="24">
        <f t="shared" si="9"/>
        <v>18425000</v>
      </c>
      <c r="AI20" s="5">
        <f t="shared" si="10"/>
        <v>0.9</v>
      </c>
      <c r="AJ20" s="5">
        <f t="shared" si="23"/>
        <v>0.72930000000000006</v>
      </c>
      <c r="AK20" s="24">
        <f t="shared" si="11"/>
        <v>27392.726434755616</v>
      </c>
      <c r="AL20" s="24">
        <f t="shared" si="12"/>
        <v>40074.544228623949</v>
      </c>
      <c r="AM20" s="24">
        <f t="shared" si="13"/>
        <v>4020000</v>
      </c>
      <c r="AN20" s="24">
        <f t="shared" si="14"/>
        <v>21440000</v>
      </c>
      <c r="AO20" s="5">
        <f t="shared" si="24"/>
        <v>1.4</v>
      </c>
      <c r="AP20" s="5">
        <f t="shared" si="25"/>
        <v>0.74388600000000005</v>
      </c>
      <c r="AQ20" s="24">
        <f t="shared" si="15"/>
        <v>48335.349340709981</v>
      </c>
      <c r="AR20" s="24">
        <f t="shared" si="16"/>
        <v>62720.869977826042</v>
      </c>
      <c r="AS20" s="24">
        <f t="shared" si="17"/>
        <v>21146100</v>
      </c>
      <c r="AT20" s="24">
        <f t="shared" si="18"/>
        <v>37896100</v>
      </c>
      <c r="BA20" s="5">
        <f t="shared" si="26"/>
        <v>1.4</v>
      </c>
      <c r="BB20" s="5">
        <f t="shared" si="27"/>
        <v>0.74388600000000005</v>
      </c>
      <c r="BC20" s="24">
        <f t="shared" si="28"/>
        <v>48335.349340709981</v>
      </c>
      <c r="BD20" s="24">
        <f t="shared" si="29"/>
        <v>62720.869977826042</v>
      </c>
      <c r="BE20" s="24">
        <f t="shared" si="30"/>
        <v>21146100</v>
      </c>
      <c r="BF20" s="24">
        <f t="shared" si="31"/>
        <v>37896100</v>
      </c>
      <c r="BI20" t="str">
        <f>RegionWideSubstations!C20</f>
        <v>Snohomish County PUD No 1</v>
      </c>
      <c r="BJ20" s="417">
        <f>RegionWideSubstations!AE20/8760</f>
        <v>1.1516784185179045</v>
      </c>
      <c r="BK20" s="416">
        <f>RegionWideSubstations!AF20/8760</f>
        <v>3.5510084570968719</v>
      </c>
      <c r="BL20" s="70">
        <f>(RegionWideSubstations!AK20/8760)-BJ20</f>
        <v>1.9753451470934673</v>
      </c>
      <c r="BM20" s="415">
        <f>(RegionWideSubstations!AL20/8760)-BK20</f>
        <v>1.0237112037049485</v>
      </c>
      <c r="BN20" s="70">
        <f>(RegionWideSubstations!AQ20/8760)-BJ20-BL20</f>
        <v>2.3907103773920513</v>
      </c>
      <c r="BO20" s="415">
        <f>(RegionWideSubstations!AR20/8760)-BK20-BM20</f>
        <v>2.5851970033335725</v>
      </c>
      <c r="BP20" s="70">
        <f t="shared" si="19"/>
        <v>1.6421827211319702</v>
      </c>
      <c r="BQ20" s="24">
        <f t="shared" si="20"/>
        <v>7.1599166641353928</v>
      </c>
    </row>
    <row r="21" spans="1:69">
      <c r="A21">
        <f t="shared" si="3"/>
        <v>9</v>
      </c>
      <c r="B21">
        <v>3660</v>
      </c>
      <c r="C21" s="67" t="s">
        <v>362</v>
      </c>
      <c r="D21" t="s">
        <v>1</v>
      </c>
      <c r="E21" t="s">
        <v>29</v>
      </c>
      <c r="F21" s="3">
        <v>115968</v>
      </c>
      <c r="G21" s="3">
        <v>4622653</v>
      </c>
      <c r="H21" s="122">
        <f>VLOOKUP($C21&amp;$D21,Sales!$A$21:$W$209,23,FALSE)</f>
        <v>4742065</v>
      </c>
      <c r="I21" s="3">
        <v>1760110</v>
      </c>
      <c r="J21" s="122">
        <f>VLOOKUP($C21&amp;$D21,Sales!$A$21:$W$209,11,FALSE)</f>
        <v>1898579</v>
      </c>
      <c r="K21" s="3">
        <v>145375</v>
      </c>
      <c r="L21" s="122">
        <f>VLOOKUP($C21&amp;$D21,Sales!$A$21:$W$209,12,FALSE)</f>
        <v>151174</v>
      </c>
      <c r="M21" s="3">
        <f t="shared" si="0"/>
        <v>12107.37747205503</v>
      </c>
      <c r="N21">
        <v>1</v>
      </c>
      <c r="O21">
        <v>1</v>
      </c>
      <c r="P21">
        <v>1</v>
      </c>
      <c r="Q21" s="3">
        <f>($G21-$I21)/($S21+$V21*20)*S21</f>
        <v>644695.99815456627</v>
      </c>
      <c r="R21" s="122">
        <f>VLOOKUP($C21&amp;$D21,Sales!$A$21:$W$209,14,FALSE)</f>
        <v>334921</v>
      </c>
      <c r="S21" s="3">
        <v>15011</v>
      </c>
      <c r="T21" s="3">
        <f>($G21-$I21)/($S21+$V21*20)*V21*20</f>
        <v>2217847.0018454334</v>
      </c>
      <c r="U21" s="122">
        <f>VLOOKUP($C21&amp;$D21,Sales!$A$21:$W$209,17,FALSE)</f>
        <v>2505933</v>
      </c>
      <c r="V21" s="3">
        <v>2582</v>
      </c>
      <c r="X21" s="27">
        <f>IF(G21&lt;$X$11,1,G21/$X$11)</f>
        <v>26.122271183475231</v>
      </c>
      <c r="Y21" s="28">
        <v>0.9</v>
      </c>
      <c r="Z21" s="27">
        <f t="shared" si="4"/>
        <v>24</v>
      </c>
      <c r="AA21" s="132">
        <f t="shared" si="5"/>
        <v>24</v>
      </c>
      <c r="AB21" s="27">
        <f t="shared" si="1"/>
        <v>2.122271183475231</v>
      </c>
      <c r="AC21" s="5">
        <f>2*$AC$9</f>
        <v>2</v>
      </c>
      <c r="AD21" s="5">
        <f>0.7*$AD$9</f>
        <v>0.77</v>
      </c>
      <c r="AE21" s="24">
        <f t="shared" si="22"/>
        <v>25296.108291146622</v>
      </c>
      <c r="AF21" s="24">
        <f t="shared" si="7"/>
        <v>35836.153412457716</v>
      </c>
      <c r="AG21" s="24">
        <f t="shared" si="8"/>
        <v>600000</v>
      </c>
      <c r="AH21" s="24">
        <f t="shared" si="9"/>
        <v>6600000</v>
      </c>
      <c r="AI21" s="5">
        <f t="shared" si="10"/>
        <v>2.5</v>
      </c>
      <c r="AJ21" s="5">
        <f t="shared" si="23"/>
        <v>0.78539999999999999</v>
      </c>
      <c r="AK21" s="24">
        <f t="shared" si="11"/>
        <v>39881.585924017731</v>
      </c>
      <c r="AL21" s="24">
        <f t="shared" si="12"/>
        <v>46528.516911354018</v>
      </c>
      <c r="AM21" s="24">
        <f t="shared" si="13"/>
        <v>1440000</v>
      </c>
      <c r="AN21" s="24">
        <f t="shared" si="14"/>
        <v>7680000</v>
      </c>
      <c r="AO21" s="5">
        <f t="shared" si="24"/>
        <v>3</v>
      </c>
      <c r="AP21" s="5">
        <f t="shared" si="25"/>
        <v>0.80110800000000004</v>
      </c>
      <c r="AQ21" s="24">
        <f t="shared" si="15"/>
        <v>55852.876530193163</v>
      </c>
      <c r="AR21" s="24">
        <f t="shared" si="16"/>
        <v>63610.220492719985</v>
      </c>
      <c r="AS21" s="24">
        <f t="shared" si="17"/>
        <v>9838700</v>
      </c>
      <c r="AT21" s="24">
        <f t="shared" si="18"/>
        <v>15838700</v>
      </c>
      <c r="BA21" s="5">
        <f t="shared" si="26"/>
        <v>3</v>
      </c>
      <c r="BB21" s="5">
        <f t="shared" si="27"/>
        <v>0.80110800000000004</v>
      </c>
      <c r="BC21" s="24">
        <f t="shared" si="28"/>
        <v>55852.876530193163</v>
      </c>
      <c r="BD21" s="24">
        <f t="shared" si="29"/>
        <v>63610.220492719985</v>
      </c>
      <c r="BE21" s="24">
        <f t="shared" si="30"/>
        <v>9838700</v>
      </c>
      <c r="BF21" s="24">
        <f t="shared" si="31"/>
        <v>15838700</v>
      </c>
      <c r="BI21" t="str">
        <f>RegionWideSubstations!C21</f>
        <v>Tacoma City of</v>
      </c>
      <c r="BJ21" s="417">
        <f>RegionWideSubstations!AE21/8760</f>
        <v>2.8876835948797512</v>
      </c>
      <c r="BK21" s="416">
        <f>RegionWideSubstations!AF21/8760</f>
        <v>4.0908850927463147</v>
      </c>
      <c r="BL21" s="70">
        <f>(RegionWideSubstations!AK21/8760)-BJ21</f>
        <v>1.665008862199898</v>
      </c>
      <c r="BM21" s="415">
        <f>(RegionWideSubstations!AL21/8760)-BK21</f>
        <v>1.220589440513276</v>
      </c>
      <c r="BN21" s="70">
        <f>(RegionWideSubstations!AQ21/8760)-BJ21-BL21</f>
        <v>1.8232066902026753</v>
      </c>
      <c r="BO21" s="415">
        <f>(RegionWideSubstations!AR21/8760)-BK21-BM21</f>
        <v>1.9499661622563895</v>
      </c>
      <c r="BP21" s="70">
        <f t="shared" si="19"/>
        <v>0.88554154823365572</v>
      </c>
      <c r="BQ21" s="24">
        <f t="shared" si="20"/>
        <v>7.2614406955159803</v>
      </c>
    </row>
    <row r="22" spans="1:69">
      <c r="A22">
        <f t="shared" si="3"/>
        <v>10</v>
      </c>
      <c r="B22">
        <v>18429</v>
      </c>
      <c r="C22" s="67" t="s">
        <v>22</v>
      </c>
      <c r="D22" t="s">
        <v>27</v>
      </c>
      <c r="E22" t="s">
        <v>20</v>
      </c>
      <c r="F22" s="3">
        <v>141100</v>
      </c>
      <c r="G22" s="25">
        <v>4500000</v>
      </c>
      <c r="H22" s="122">
        <f>SUM(VLOOKUP($C22&amp;"WA",Sales!$A$21:$W$209,23,FALSE),VLOOKUP($C22&amp;"ID",Sales!$A$21:$W$209,23,FALSE))</f>
        <v>7559525</v>
      </c>
      <c r="I22" s="3">
        <v>2630213</v>
      </c>
      <c r="J22" s="122">
        <f>SUM(VLOOKUP($C22&amp;"WA",Sales!$A$21:$W$209,11,FALSE),VLOOKUP($C22&amp;"ID",Sales!$A$21:$W$209,11,FALSE))</f>
        <v>2271931</v>
      </c>
      <c r="K22" s="3">
        <v>185032</v>
      </c>
      <c r="L22" s="122">
        <f>SUM(VLOOKUP($C22&amp;"WA",Sales!$A$21:$W$209,12,FALSE),VLOOKUP($C22&amp;"ID",Sales!$A$21:$W$209,12,FALSE))</f>
        <v>162114</v>
      </c>
      <c r="M22" s="3">
        <f t="shared" si="0"/>
        <v>14214.908772536643</v>
      </c>
      <c r="N22">
        <v>2</v>
      </c>
      <c r="O22">
        <v>3</v>
      </c>
      <c r="P22">
        <v>3</v>
      </c>
      <c r="Q22" s="3">
        <f>($G22-$I22)/2</f>
        <v>934893.5</v>
      </c>
      <c r="R22" s="122">
        <f>SUM(VLOOKUP($C22&amp;"WA",Sales!$A$21:$W$209,14,FALSE),VLOOKUP($C22&amp;"ID",Sales!$A$21:$W$209,14,FALSE))</f>
        <v>1897360</v>
      </c>
      <c r="T22" s="3">
        <f>($G22-$I22)/2</f>
        <v>934893.5</v>
      </c>
      <c r="U22" s="122">
        <f>SUM(VLOOKUP($C22&amp;"WA",Sales!$A$21:$W$209,17,FALSE),VLOOKUP($C22&amp;"ID",Sales!$A$21:$W$209,17,FALSE))</f>
        <v>3390234</v>
      </c>
      <c r="W22" s="9">
        <f>G13+G14+G15+G16+G17+G20+G24+G35+G86+G45+G40+G26+G114</f>
        <v>94820902.717647523</v>
      </c>
      <c r="X22" s="27">
        <f>IF(G22&lt;$X$11,1,G22/$X$11)</f>
        <v>25.429168126103892</v>
      </c>
      <c r="Y22" s="28">
        <v>0.8</v>
      </c>
      <c r="Z22" s="27">
        <f t="shared" si="4"/>
        <v>20</v>
      </c>
      <c r="AA22" s="132">
        <f t="shared" si="5"/>
        <v>22</v>
      </c>
      <c r="AB22" s="27">
        <f t="shared" si="1"/>
        <v>5.4291681261038924</v>
      </c>
      <c r="AC22" s="137">
        <v>0</v>
      </c>
      <c r="AD22" s="137">
        <v>0.48</v>
      </c>
      <c r="AE22" s="24">
        <f t="shared" si="22"/>
        <v>0</v>
      </c>
      <c r="AF22" s="24">
        <f t="shared" si="7"/>
        <v>10479.883698595215</v>
      </c>
      <c r="AG22" s="122">
        <v>0</v>
      </c>
      <c r="AH22" s="122">
        <f>IF(($J22+$R22)/$AA22&gt;AH$6,AH$7,IF(($J22+$R22)/$AA22&lt;AH$9,0,AH$8))*$AA22-IF(($J22+$R22)/$AA22&gt;AG$6,AG$7,AG$8)*$AA22</f>
        <v>5500000</v>
      </c>
      <c r="AI22" s="5">
        <f t="shared" si="10"/>
        <v>0.5</v>
      </c>
      <c r="AJ22" s="5">
        <f t="shared" si="23"/>
        <v>0.48959999999999998</v>
      </c>
      <c r="AK22" s="24">
        <f t="shared" si="11"/>
        <v>7998.7994589992104</v>
      </c>
      <c r="AL22" s="24">
        <f t="shared" si="12"/>
        <v>14664.465674831885</v>
      </c>
      <c r="AM22" s="122">
        <f>IF(($J22+$R22)/$AA22&gt;AM$6,AM$7,AM$8)*$AA22-IF(($J22+$R22)/$AA22&gt;AG$6,AG$7,AG$8)*$AA22</f>
        <v>770000</v>
      </c>
      <c r="AN22" s="122">
        <f>IF(($J22+$R22)/$AA22&gt;AN$6,AN$7,IF(($J22+$R22)/$AA22&lt;AN$9,0,AN$8))*$AA22-IF(($J22+$R22)/$AA22&gt;AG$6,AG$7,AG$8)*$AA22</f>
        <v>6490000</v>
      </c>
      <c r="AO22" s="5">
        <f t="shared" si="24"/>
        <v>1</v>
      </c>
      <c r="AP22" s="5">
        <f t="shared" si="25"/>
        <v>0.499392</v>
      </c>
      <c r="AQ22" s="24">
        <f t="shared" si="15"/>
        <v>18979.237418581364</v>
      </c>
      <c r="AR22" s="24">
        <f t="shared" si="16"/>
        <v>26887.253009656935</v>
      </c>
      <c r="AS22" s="122">
        <f>IF(($J22+$R22)/$AA22&gt;AS$6,AS$7,AS$8)*$AA22+$AS$10*$AS$11*$L22-IF(($J22+$R22)/$AA22&gt;AG$6,AG$7,AG$8)*$AA22</f>
        <v>9645700</v>
      </c>
      <c r="AT22" s="122">
        <f>IF(AN22=0,0,IF(($J22+$R22)/$AA22&gt;AT$6,AT$7,IF(($J22+$R22)/$AA22&lt;AT$9,0,AT$8))*$AA22+$AS$10*$AS$11*$L22)-IF(($J22+$R22)/$AA22&gt;AG$6,AG$7,AG$8)*$AA22</f>
        <v>15145700</v>
      </c>
      <c r="BA22" s="5">
        <f t="shared" si="26"/>
        <v>1</v>
      </c>
      <c r="BB22" s="5">
        <f t="shared" si="27"/>
        <v>0.499392</v>
      </c>
      <c r="BC22" s="24">
        <f t="shared" si="28"/>
        <v>18979.237418581364</v>
      </c>
      <c r="BD22" s="24">
        <f t="shared" si="29"/>
        <v>26887.253009656935</v>
      </c>
      <c r="BE22" s="24">
        <f t="shared" si="30"/>
        <v>9645700</v>
      </c>
      <c r="BF22" s="24">
        <f t="shared" si="31"/>
        <v>15145700</v>
      </c>
      <c r="BI22" t="str">
        <f>RegionWideSubstations!C22</f>
        <v>PacifiCorp</v>
      </c>
      <c r="BJ22" s="417">
        <f>RegionWideSubstations!AE22/8760</f>
        <v>0</v>
      </c>
      <c r="BK22" s="416">
        <f>RegionWideSubstations!AF22/8760</f>
        <v>1.196333755547399</v>
      </c>
      <c r="BL22" s="70">
        <f>(RegionWideSubstations!AK22/8760)-BJ22</f>
        <v>0.91310496107296923</v>
      </c>
      <c r="BM22" s="415">
        <f>(RegionWideSubstations!AL22/8760)-BK22</f>
        <v>0.47769200641971121</v>
      </c>
      <c r="BN22" s="70">
        <f>(RegionWideSubstations!AQ22/8760)-BJ22-BL22</f>
        <v>1.2534746529203371</v>
      </c>
      <c r="BO22" s="415">
        <f>(RegionWideSubstations!AR22/8760)-BK22-BM22</f>
        <v>1.3952953578567411</v>
      </c>
      <c r="BP22" s="70">
        <f t="shared" si="19"/>
        <v>0.9027415058305448</v>
      </c>
      <c r="BQ22" s="24">
        <f t="shared" si="20"/>
        <v>3.0693211198238513</v>
      </c>
    </row>
    <row r="23" spans="1:69">
      <c r="A23">
        <f t="shared" si="3"/>
        <v>11</v>
      </c>
      <c r="B23">
        <v>6022</v>
      </c>
      <c r="C23" t="s">
        <v>64</v>
      </c>
      <c r="D23" t="s">
        <v>1</v>
      </c>
      <c r="E23" t="s">
        <v>62</v>
      </c>
      <c r="F23" s="3">
        <v>37318</v>
      </c>
      <c r="G23" s="3">
        <v>4384861</v>
      </c>
      <c r="H23" s="122">
        <f>VLOOKUP($C23&amp;$D23,Sales!$A$21:$W$209,23,FALSE)</f>
        <v>5150728</v>
      </c>
      <c r="I23" s="3">
        <v>725791</v>
      </c>
      <c r="J23" s="122">
        <f>VLOOKUP($C23&amp;$D23,Sales!$A$21:$W$209,11,FALSE)</f>
        <v>754607</v>
      </c>
      <c r="K23" s="3">
        <v>41402</v>
      </c>
      <c r="L23" s="122">
        <f>VLOOKUP($C23&amp;$D23,Sales!$A$21:$W$209,12,FALSE)</f>
        <v>43135</v>
      </c>
      <c r="M23" s="3">
        <f t="shared" si="0"/>
        <v>17530.336698710209</v>
      </c>
      <c r="N23">
        <v>1</v>
      </c>
      <c r="O23">
        <v>1</v>
      </c>
      <c r="P23">
        <v>2</v>
      </c>
      <c r="Q23" s="3">
        <f t="shared" ref="Q23:Q30" si="32">($G23-$I23)/($S23+$V23*20)*S23</f>
        <v>2743381.548971667</v>
      </c>
      <c r="R23" s="122">
        <f>VLOOKUP($C23&amp;$D23,Sales!$A$21:$W$209,14,FALSE)</f>
        <v>381027</v>
      </c>
      <c r="S23" s="3">
        <v>5213</v>
      </c>
      <c r="T23" s="3">
        <f t="shared" ref="T23:T30" si="33">($G23-$I23)/($S23+$V23*20)*V23*20</f>
        <v>915688.45102833328</v>
      </c>
      <c r="U23" s="122">
        <f>VLOOKUP($C23&amp;$D23,Sales!$A$21:$W$209,17,FALSE)</f>
        <v>4015094</v>
      </c>
      <c r="V23" s="3">
        <v>87</v>
      </c>
      <c r="W23" s="28">
        <f>W22/G145</f>
        <v>0.61090935252748579</v>
      </c>
      <c r="X23" s="27">
        <f>IF(G23&lt;$X$11,1,G23/$X$11)</f>
        <v>24.7785261285769</v>
      </c>
      <c r="Y23" s="28">
        <v>0.9</v>
      </c>
      <c r="Z23" s="27">
        <f t="shared" si="4"/>
        <v>22</v>
      </c>
      <c r="AA23" s="132">
        <f t="shared" si="5"/>
        <v>22</v>
      </c>
      <c r="AB23" s="27">
        <f t="shared" si="1"/>
        <v>2.7785261285768996</v>
      </c>
      <c r="AC23" s="5">
        <f>1.5*$AC$9</f>
        <v>1.5</v>
      </c>
      <c r="AD23">
        <f>0.5*$AD$9</f>
        <v>0.55000000000000004</v>
      </c>
      <c r="AE23" s="24">
        <f t="shared" si="22"/>
        <v>7855.3815994350889</v>
      </c>
      <c r="AF23" s="24">
        <f t="shared" si="7"/>
        <v>12219.482488010137</v>
      </c>
      <c r="AG23" s="24">
        <f t="shared" si="8"/>
        <v>550000</v>
      </c>
      <c r="AH23" s="24">
        <f t="shared" si="9"/>
        <v>3300000</v>
      </c>
      <c r="AI23" s="5">
        <f t="shared" si="10"/>
        <v>2</v>
      </c>
      <c r="AJ23" s="5">
        <f t="shared" si="23"/>
        <v>0.56100000000000005</v>
      </c>
      <c r="AK23" s="24">
        <f t="shared" si="11"/>
        <v>14897.298591793287</v>
      </c>
      <c r="AL23" s="24">
        <f t="shared" si="12"/>
        <v>18000.902465083553</v>
      </c>
      <c r="AM23" s="24">
        <f t="shared" si="13"/>
        <v>1320000</v>
      </c>
      <c r="AN23" s="24">
        <f t="shared" si="14"/>
        <v>3685000</v>
      </c>
      <c r="AO23" s="5">
        <f t="shared" si="24"/>
        <v>2.5</v>
      </c>
      <c r="AP23" s="5">
        <f t="shared" si="25"/>
        <v>0.57222000000000006</v>
      </c>
      <c r="AQ23" s="24">
        <f t="shared" si="15"/>
        <v>23822.706706826542</v>
      </c>
      <c r="AR23" s="24">
        <f t="shared" si="16"/>
        <v>27793.157824630969</v>
      </c>
      <c r="AS23" s="24">
        <f t="shared" si="17"/>
        <v>4246750</v>
      </c>
      <c r="AT23" s="24">
        <f t="shared" si="18"/>
        <v>6556750</v>
      </c>
      <c r="BA23" s="5">
        <f t="shared" si="26"/>
        <v>2.5</v>
      </c>
      <c r="BB23" s="5">
        <f t="shared" si="27"/>
        <v>0.57222000000000006</v>
      </c>
      <c r="BC23" s="24">
        <f t="shared" si="28"/>
        <v>23822.706706826542</v>
      </c>
      <c r="BD23" s="24">
        <f t="shared" si="29"/>
        <v>27793.157824630969</v>
      </c>
      <c r="BE23" s="24">
        <f t="shared" si="30"/>
        <v>4246750</v>
      </c>
      <c r="BF23" s="24">
        <f t="shared" si="31"/>
        <v>6556750</v>
      </c>
      <c r="BI23" t="str">
        <f>RegionWideSubstations!C23</f>
        <v>PUD No 1 of Cowlitz County</v>
      </c>
      <c r="BJ23" s="417">
        <f>RegionWideSubstations!AE23/8760</f>
        <v>0.89673305929624303</v>
      </c>
      <c r="BK23" s="416">
        <f>RegionWideSubstations!AF23/8760</f>
        <v>1.3949180922386002</v>
      </c>
      <c r="BL23" s="70">
        <f>(RegionWideSubstations!AK23/8760)-BJ23</f>
        <v>0.80387180278061621</v>
      </c>
      <c r="BM23" s="415">
        <f>(RegionWideSubstations!AL23/8760)-BK23</f>
        <v>0.65997944943760456</v>
      </c>
      <c r="BN23" s="70">
        <f>(RegionWideSubstations!AQ23/8760)-BJ23-BL23</f>
        <v>1.0188822049124722</v>
      </c>
      <c r="BO23" s="415">
        <f>(RegionWideSubstations!AR23/8760)-BK23-BM23</f>
        <v>1.1178373698113488</v>
      </c>
      <c r="BP23" s="70">
        <f t="shared" si="19"/>
        <v>0.4532478444982222</v>
      </c>
      <c r="BQ23" s="24">
        <f t="shared" si="20"/>
        <v>3.1727349114875536</v>
      </c>
    </row>
    <row r="24" spans="1:69">
      <c r="A24">
        <f t="shared" si="3"/>
        <v>12</v>
      </c>
      <c r="B24">
        <v>12825</v>
      </c>
      <c r="C24" t="s">
        <v>63</v>
      </c>
      <c r="D24" t="s">
        <v>1</v>
      </c>
      <c r="E24" t="s">
        <v>62</v>
      </c>
      <c r="F24" s="3">
        <v>175438</v>
      </c>
      <c r="G24" s="3">
        <v>4289629</v>
      </c>
      <c r="H24" s="122">
        <f>VLOOKUP($C24&amp;$D24,Sales!$A$21:$W$209,23,FALSE)</f>
        <v>4354792</v>
      </c>
      <c r="I24" s="3">
        <v>2230688</v>
      </c>
      <c r="J24" s="122">
        <f>VLOOKUP($C24&amp;$D24,Sales!$A$21:$W$209,11,FALSE)</f>
        <v>2317528</v>
      </c>
      <c r="K24" s="3">
        <v>160224</v>
      </c>
      <c r="L24" s="122">
        <f>VLOOKUP($C24&amp;$D24,Sales!$A$21:$W$209,12,FALSE)</f>
        <v>170221</v>
      </c>
      <c r="M24" s="3">
        <f t="shared" si="0"/>
        <v>13922.308767725184</v>
      </c>
      <c r="N24">
        <v>1</v>
      </c>
      <c r="O24">
        <v>2</v>
      </c>
      <c r="P24">
        <v>2</v>
      </c>
      <c r="Q24" s="3">
        <f t="shared" si="32"/>
        <v>1984336.2822668308</v>
      </c>
      <c r="R24" s="122">
        <f>VLOOKUP($C24&amp;$D24,Sales!$A$21:$W$209,14,FALSE)</f>
        <v>1296346</v>
      </c>
      <c r="S24" s="3">
        <v>13299</v>
      </c>
      <c r="T24" s="3">
        <f t="shared" si="33"/>
        <v>74604.717733169062</v>
      </c>
      <c r="U24" s="122">
        <f>VLOOKUP($C24&amp;$D24,Sales!$A$21:$W$209,17,FALSE)</f>
        <v>740918</v>
      </c>
      <c r="V24" s="3">
        <v>25</v>
      </c>
      <c r="X24" s="27">
        <v>47</v>
      </c>
      <c r="Y24" s="28">
        <v>0.85</v>
      </c>
      <c r="Z24" s="27">
        <f t="shared" si="4"/>
        <v>40</v>
      </c>
      <c r="AA24" s="132">
        <f t="shared" si="5"/>
        <v>40</v>
      </c>
      <c r="AB24" s="27">
        <f t="shared" si="1"/>
        <v>7</v>
      </c>
      <c r="AC24" s="5">
        <f>0.7*$AC$9</f>
        <v>0.7</v>
      </c>
      <c r="AD24" s="5">
        <f>0.3*$AD$9</f>
        <v>0.33</v>
      </c>
      <c r="AE24" s="24">
        <f t="shared" si="22"/>
        <v>5147.434065923374</v>
      </c>
      <c r="AF24" s="24">
        <f t="shared" si="7"/>
        <v>11275.331763451199</v>
      </c>
      <c r="AG24" s="24">
        <f t="shared" si="8"/>
        <v>1000000</v>
      </c>
      <c r="AH24" s="24">
        <f t="shared" si="9"/>
        <v>11000000</v>
      </c>
      <c r="AI24" s="5">
        <f t="shared" si="10"/>
        <v>1.2</v>
      </c>
      <c r="AJ24" s="5">
        <f t="shared" si="23"/>
        <v>0.33660000000000001</v>
      </c>
      <c r="AK24" s="24">
        <f t="shared" si="11"/>
        <v>10688.041472911495</v>
      </c>
      <c r="AL24" s="24">
        <f t="shared" si="12"/>
        <v>14399.166984339097</v>
      </c>
      <c r="AM24" s="24">
        <f t="shared" si="13"/>
        <v>2400000</v>
      </c>
      <c r="AN24" s="24">
        <f t="shared" si="14"/>
        <v>12800000</v>
      </c>
      <c r="AO24" s="5">
        <f t="shared" si="24"/>
        <v>1.7</v>
      </c>
      <c r="AP24" s="5">
        <f t="shared" si="25"/>
        <v>0.34333200000000003</v>
      </c>
      <c r="AQ24" s="24">
        <f t="shared" si="15"/>
        <v>17200.622150170511</v>
      </c>
      <c r="AR24" s="24">
        <f t="shared" si="16"/>
        <v>21416.460912467206</v>
      </c>
      <c r="AS24" s="24">
        <f t="shared" si="17"/>
        <v>12311050</v>
      </c>
      <c r="AT24" s="24">
        <f t="shared" si="18"/>
        <v>22311050</v>
      </c>
      <c r="BA24" s="5">
        <f t="shared" si="26"/>
        <v>1.7</v>
      </c>
      <c r="BB24" s="5">
        <f t="shared" si="27"/>
        <v>0.34333200000000003</v>
      </c>
      <c r="BC24" s="24">
        <f t="shared" si="28"/>
        <v>17200.622150170511</v>
      </c>
      <c r="BD24" s="24">
        <f t="shared" si="29"/>
        <v>21416.460912467206</v>
      </c>
      <c r="BE24" s="24">
        <f t="shared" si="30"/>
        <v>12311050</v>
      </c>
      <c r="BF24" s="24">
        <f t="shared" si="31"/>
        <v>22311050</v>
      </c>
      <c r="BI24" t="str">
        <f>RegionWideSubstations!C24</f>
        <v>PUD No 1 of Clark County</v>
      </c>
      <c r="BJ24" s="417">
        <f>RegionWideSubstations!AE24/8760</f>
        <v>0.58760662853006551</v>
      </c>
      <c r="BK24" s="416">
        <f>RegionWideSubstations!AF24/8760</f>
        <v>1.2871383291610958</v>
      </c>
      <c r="BL24" s="70">
        <f>(RegionWideSubstations!AK24/8760)-BJ24</f>
        <v>0.63248943002147506</v>
      </c>
      <c r="BM24" s="415">
        <f>(RegionWideSubstations!AL24/8760)-BK24</f>
        <v>0.35660219416528505</v>
      </c>
      <c r="BN24" s="70">
        <f>(RegionWideSubstations!AQ24/8760)-BJ24-BL24</f>
        <v>0.74344528279212507</v>
      </c>
      <c r="BO24" s="415">
        <f>(RegionWideSubstations!AR24/8760)-BK24-BM24</f>
        <v>0.80106095069955585</v>
      </c>
      <c r="BP24" s="70">
        <f t="shared" si="19"/>
        <v>0.48126013268227119</v>
      </c>
      <c r="BQ24" s="24">
        <f t="shared" si="20"/>
        <v>2.4448014740259367</v>
      </c>
    </row>
    <row r="25" spans="1:69">
      <c r="A25">
        <f t="shared" si="3"/>
        <v>13</v>
      </c>
      <c r="B25">
        <v>6395</v>
      </c>
      <c r="C25" t="s">
        <v>68</v>
      </c>
      <c r="D25" t="s">
        <v>1</v>
      </c>
      <c r="E25" t="s">
        <v>62</v>
      </c>
      <c r="F25" s="3">
        <v>28154</v>
      </c>
      <c r="G25" s="3">
        <v>3018611</v>
      </c>
      <c r="H25" s="122">
        <f>VLOOKUP($C25&amp;$D25,Sales!$A$21:$W$209,23,FALSE)</f>
        <v>3930023</v>
      </c>
      <c r="I25" s="3">
        <v>669081</v>
      </c>
      <c r="J25" s="122">
        <f>VLOOKUP($C25&amp;$D25,Sales!$A$21:$W$209,11,FALSE)</f>
        <v>739941</v>
      </c>
      <c r="K25" s="3">
        <v>31665</v>
      </c>
      <c r="L25" s="122">
        <f>VLOOKUP($C25&amp;$D25,Sales!$A$21:$W$209,12,FALSE)</f>
        <v>35547</v>
      </c>
      <c r="M25" s="3">
        <f t="shared" si="0"/>
        <v>21129.985788725724</v>
      </c>
      <c r="N25">
        <v>2</v>
      </c>
      <c r="O25">
        <v>3</v>
      </c>
      <c r="P25">
        <v>3</v>
      </c>
      <c r="Q25" s="3">
        <f t="shared" si="32"/>
        <v>141591.6864489021</v>
      </c>
      <c r="R25" s="122">
        <f>VLOOKUP($C25&amp;$D25,Sales!$A$21:$W$209,14,FALSE)</f>
        <v>720162</v>
      </c>
      <c r="S25" s="3">
        <v>5651</v>
      </c>
      <c r="T25" s="3">
        <f t="shared" si="33"/>
        <v>2207938.3135510976</v>
      </c>
      <c r="U25" s="122">
        <f>VLOOKUP($C25&amp;$D25,Sales!$A$21:$W$209,17,FALSE)</f>
        <v>2469920</v>
      </c>
      <c r="V25" s="3">
        <v>4406</v>
      </c>
      <c r="X25" s="27">
        <f>IF(G25&lt;$X$11,1,G25/$X$11)</f>
        <v>17.057948139179246</v>
      </c>
      <c r="Y25" s="28">
        <v>0.7</v>
      </c>
      <c r="Z25" s="27">
        <f t="shared" si="4"/>
        <v>12</v>
      </c>
      <c r="AA25" s="132">
        <f t="shared" si="5"/>
        <v>17</v>
      </c>
      <c r="AB25" s="27">
        <f t="shared" si="1"/>
        <v>5.0579481391792456</v>
      </c>
      <c r="AC25" s="5">
        <f>1.5*$AC$9</f>
        <v>1.5</v>
      </c>
      <c r="AD25">
        <f>0.5*$AD$9</f>
        <v>0.55000000000000004</v>
      </c>
      <c r="AE25" s="24">
        <f t="shared" si="22"/>
        <v>8122.2391229015529</v>
      </c>
      <c r="AF25" s="24">
        <f t="shared" si="7"/>
        <v>12634.594191180193</v>
      </c>
      <c r="AG25" s="24">
        <f t="shared" si="8"/>
        <v>425000</v>
      </c>
      <c r="AH25" s="24">
        <f t="shared" si="9"/>
        <v>4675000</v>
      </c>
      <c r="AI25" s="5">
        <f t="shared" si="10"/>
        <v>2</v>
      </c>
      <c r="AJ25" s="5">
        <f t="shared" si="23"/>
        <v>0.56100000000000005</v>
      </c>
      <c r="AK25" s="24">
        <f t="shared" si="11"/>
        <v>14523.154349560951</v>
      </c>
      <c r="AL25" s="24">
        <f t="shared" si="12"/>
        <v>17548.811505719485</v>
      </c>
      <c r="AM25" s="24">
        <f t="shared" si="13"/>
        <v>1020000</v>
      </c>
      <c r="AN25" s="24">
        <f t="shared" si="14"/>
        <v>5440000</v>
      </c>
      <c r="AO25" s="5">
        <f t="shared" si="24"/>
        <v>2.5</v>
      </c>
      <c r="AP25" s="5">
        <f t="shared" si="25"/>
        <v>0.57222000000000006</v>
      </c>
      <c r="AQ25" s="24">
        <f t="shared" si="15"/>
        <v>22416.484099438934</v>
      </c>
      <c r="AR25" s="24">
        <f t="shared" si="16"/>
        <v>26152.564782678757</v>
      </c>
      <c r="AS25" s="24">
        <f t="shared" si="17"/>
        <v>3392350</v>
      </c>
      <c r="AT25" s="24">
        <f t="shared" si="18"/>
        <v>7642350</v>
      </c>
      <c r="BA25" s="5">
        <f t="shared" si="26"/>
        <v>2.5</v>
      </c>
      <c r="BB25" s="5">
        <f t="shared" si="27"/>
        <v>0.57222000000000006</v>
      </c>
      <c r="BC25" s="24">
        <f t="shared" si="28"/>
        <v>22416.484099438934</v>
      </c>
      <c r="BD25" s="24">
        <f t="shared" si="29"/>
        <v>26152.564782678757</v>
      </c>
      <c r="BE25" s="24">
        <f t="shared" si="30"/>
        <v>3392350</v>
      </c>
      <c r="BF25" s="24">
        <f t="shared" si="31"/>
        <v>7642350</v>
      </c>
      <c r="BI25" t="str">
        <f>RegionWideSubstations!C25</f>
        <v>PUD No 2 of Grant County</v>
      </c>
      <c r="BJ25" s="417">
        <f>RegionWideSubstations!AE25/8760</f>
        <v>0.92719624690656999</v>
      </c>
      <c r="BK25" s="416">
        <f>RegionWideSubstations!AF25/8760</f>
        <v>1.4423052729657755</v>
      </c>
      <c r="BL25" s="70">
        <f>(RegionWideSubstations!AK25/8760)-BJ25</f>
        <v>0.73069808523509105</v>
      </c>
      <c r="BM25" s="415">
        <f>(RegionWideSubstations!AL25/8760)-BK25</f>
        <v>0.5609837117053984</v>
      </c>
      <c r="BN25" s="70">
        <f>(RegionWideSubstations!AQ25/8760)-BJ25-BL25</f>
        <v>0.90106503994040921</v>
      </c>
      <c r="BO25" s="415">
        <f>(RegionWideSubstations!AR25/8760)-BK25-BM25</f>
        <v>0.98216361609124148</v>
      </c>
      <c r="BP25" s="70">
        <f t="shared" si="19"/>
        <v>0.42649322868034512</v>
      </c>
      <c r="BQ25" s="24">
        <f t="shared" si="20"/>
        <v>2.9854526007624154</v>
      </c>
    </row>
    <row r="26" spans="1:69">
      <c r="A26">
        <f t="shared" si="3"/>
        <v>14</v>
      </c>
      <c r="B26">
        <v>4442</v>
      </c>
      <c r="C26" s="67" t="s">
        <v>328</v>
      </c>
      <c r="D26" t="s">
        <v>5</v>
      </c>
      <c r="E26" t="s">
        <v>29</v>
      </c>
      <c r="F26" s="3">
        <v>74952</v>
      </c>
      <c r="G26" s="3">
        <v>2663174</v>
      </c>
      <c r="H26" s="122">
        <f>VLOOKUP($C26&amp;$D26,Sales!$A$21:$W$209,23,FALSE)</f>
        <v>2364611</v>
      </c>
      <c r="I26" s="3">
        <v>960623</v>
      </c>
      <c r="J26" s="122">
        <f>VLOOKUP($C26&amp;$D26,Sales!$A$21:$W$209,11,FALSE)</f>
        <v>941922</v>
      </c>
      <c r="K26" s="3">
        <v>75298</v>
      </c>
      <c r="L26" s="122">
        <f>VLOOKUP($C26&amp;$D26,Sales!$A$21:$W$209,12,FALSE)</f>
        <v>79626</v>
      </c>
      <c r="M26" s="3">
        <f t="shared" si="0"/>
        <v>12757.616404154162</v>
      </c>
      <c r="N26">
        <v>1</v>
      </c>
      <c r="O26">
        <v>2</v>
      </c>
      <c r="P26">
        <v>2</v>
      </c>
      <c r="Q26" s="3">
        <f t="shared" si="32"/>
        <v>1687272.9203589456</v>
      </c>
      <c r="R26" s="122">
        <f>VLOOKUP($C26&amp;$D26,Sales!$A$21:$W$209,14,FALSE)</f>
        <v>872419</v>
      </c>
      <c r="S26" s="3">
        <v>8835</v>
      </c>
      <c r="T26" s="3">
        <f t="shared" si="33"/>
        <v>15278.079641054403</v>
      </c>
      <c r="U26" s="122">
        <f>VLOOKUP($C26&amp;$D26,Sales!$A$21:$W$209,17,FALSE)</f>
        <v>550270</v>
      </c>
      <c r="V26" s="3">
        <v>4</v>
      </c>
      <c r="X26" s="27">
        <v>34</v>
      </c>
      <c r="Y26" s="28">
        <v>0.9</v>
      </c>
      <c r="Z26" s="27">
        <f t="shared" si="4"/>
        <v>31</v>
      </c>
      <c r="AA26" s="132">
        <f t="shared" si="5"/>
        <v>31</v>
      </c>
      <c r="AB26" s="27">
        <f t="shared" si="1"/>
        <v>3</v>
      </c>
      <c r="AC26" s="5">
        <f>2*$AC$9</f>
        <v>2</v>
      </c>
      <c r="AD26" s="5">
        <f>0.7*$AD$9</f>
        <v>0.77</v>
      </c>
      <c r="AE26" s="24">
        <f t="shared" si="22"/>
        <v>16431.900890834579</v>
      </c>
      <c r="AF26" s="24">
        <f t="shared" si="7"/>
        <v>23278.526262015654</v>
      </c>
      <c r="AG26" s="24">
        <f t="shared" si="8"/>
        <v>775000</v>
      </c>
      <c r="AH26" s="24">
        <f t="shared" si="9"/>
        <v>4650000</v>
      </c>
      <c r="AI26" s="5">
        <f t="shared" si="10"/>
        <v>2.5</v>
      </c>
      <c r="AJ26" s="5">
        <f t="shared" si="23"/>
        <v>0.78539999999999999</v>
      </c>
      <c r="AK26" s="24">
        <f t="shared" si="11"/>
        <v>25313.532783810169</v>
      </c>
      <c r="AL26" s="24">
        <f t="shared" si="12"/>
        <v>29532.454914445199</v>
      </c>
      <c r="AM26" s="24">
        <f t="shared" si="13"/>
        <v>1860000</v>
      </c>
      <c r="AN26" s="24">
        <f t="shared" si="14"/>
        <v>5192500</v>
      </c>
      <c r="AO26" s="5">
        <f t="shared" si="24"/>
        <v>3</v>
      </c>
      <c r="AP26" s="5">
        <f t="shared" si="25"/>
        <v>0.80110800000000004</v>
      </c>
      <c r="AQ26" s="24">
        <f t="shared" si="15"/>
        <v>35182.759886193249</v>
      </c>
      <c r="AR26" s="24">
        <f t="shared" si="16"/>
        <v>40069.254314831203</v>
      </c>
      <c r="AS26" s="24">
        <f t="shared" si="17"/>
        <v>6926300</v>
      </c>
      <c r="AT26" s="24">
        <f t="shared" si="18"/>
        <v>10181300</v>
      </c>
      <c r="BA26" s="5">
        <f t="shared" si="26"/>
        <v>3</v>
      </c>
      <c r="BB26" s="5">
        <f t="shared" si="27"/>
        <v>0.80110800000000004</v>
      </c>
      <c r="BC26" s="24">
        <f t="shared" si="28"/>
        <v>35182.759886193249</v>
      </c>
      <c r="BD26" s="24">
        <f t="shared" si="29"/>
        <v>40069.254314831203</v>
      </c>
      <c r="BE26" s="24">
        <f t="shared" si="30"/>
        <v>6926300</v>
      </c>
      <c r="BF26" s="24">
        <f t="shared" si="31"/>
        <v>10181300</v>
      </c>
      <c r="BI26" t="str">
        <f>RegionWideSubstations!C26</f>
        <v>Eugene City of</v>
      </c>
      <c r="BJ26" s="417">
        <f>RegionWideSubstations!AE26/8760</f>
        <v>1.8757877729263217</v>
      </c>
      <c r="BK26" s="416">
        <f>RegionWideSubstations!AF26/8760</f>
        <v>2.6573660116456224</v>
      </c>
      <c r="BL26" s="70">
        <f>(RegionWideSubstations!AK26/8760)-BJ26</f>
        <v>1.013884919289451</v>
      </c>
      <c r="BM26" s="415">
        <f>(RegionWideSubstations!AL26/8760)-BK26</f>
        <v>0.71391879593944596</v>
      </c>
      <c r="BN26" s="70">
        <f>(RegionWideSubstations!AQ26/8760)-BJ26-BL26</f>
        <v>1.1266240984455569</v>
      </c>
      <c r="BO26" s="415">
        <f>(RegionWideSubstations!AR26/8760)-BK26-BM26</f>
        <v>1.2028309817792247</v>
      </c>
      <c r="BP26" s="70">
        <f t="shared" si="19"/>
        <v>0.55781899870296314</v>
      </c>
      <c r="BQ26" s="24">
        <f t="shared" si="20"/>
        <v>4.574115789364293</v>
      </c>
    </row>
    <row r="27" spans="1:69">
      <c r="A27">
        <f t="shared" si="3"/>
        <v>15</v>
      </c>
      <c r="B27">
        <v>1579</v>
      </c>
      <c r="C27" t="s">
        <v>65</v>
      </c>
      <c r="D27" t="s">
        <v>1</v>
      </c>
      <c r="E27" t="s">
        <v>62</v>
      </c>
      <c r="F27" s="3">
        <v>46461</v>
      </c>
      <c r="G27" s="3">
        <v>1602508</v>
      </c>
      <c r="H27" s="122">
        <f>VLOOKUP($C27&amp;$D27,Sales!$A$21:$W$209,23,FALSE)</f>
        <v>1645276</v>
      </c>
      <c r="I27" s="3">
        <v>622639</v>
      </c>
      <c r="J27" s="122">
        <f>VLOOKUP($C27&amp;$D27,Sales!$A$21:$W$209,11,FALSE)</f>
        <v>668018</v>
      </c>
      <c r="K27" s="3">
        <v>36963</v>
      </c>
      <c r="L27" s="122">
        <f>VLOOKUP($C27&amp;$D27,Sales!$A$21:$W$209,12,FALSE)</f>
        <v>40645</v>
      </c>
      <c r="M27" s="3">
        <f t="shared" si="0"/>
        <v>16844.926007088168</v>
      </c>
      <c r="N27">
        <v>1</v>
      </c>
      <c r="O27">
        <v>3</v>
      </c>
      <c r="P27">
        <v>3</v>
      </c>
      <c r="Q27" s="3">
        <f t="shared" si="32"/>
        <v>311006.94177514792</v>
      </c>
      <c r="R27" s="122">
        <f>VLOOKUP($C27&amp;$D27,Sales!$A$21:$W$209,14,FALSE)</f>
        <v>520945</v>
      </c>
      <c r="S27" s="3">
        <v>6705</v>
      </c>
      <c r="T27" s="3">
        <f t="shared" si="33"/>
        <v>668862.05822485208</v>
      </c>
      <c r="U27" s="122">
        <f>VLOOKUP($C27&amp;$D27,Sales!$A$21:$W$209,17,FALSE)</f>
        <v>456313</v>
      </c>
      <c r="V27" s="3">
        <v>721</v>
      </c>
      <c r="X27" s="27">
        <f t="shared" ref="X27:X33" si="34">IF(G27&lt;$X$11,1,G27/$X$11)</f>
        <v>9.0556545234281103</v>
      </c>
      <c r="Y27" s="28">
        <v>0.85</v>
      </c>
      <c r="Z27" s="27">
        <f t="shared" si="4"/>
        <v>8</v>
      </c>
      <c r="AA27" s="132">
        <f t="shared" si="5"/>
        <v>9</v>
      </c>
      <c r="AB27" s="27">
        <f t="shared" si="1"/>
        <v>1.0556545234281103</v>
      </c>
      <c r="AC27" s="5">
        <f>1.5*$AC$9</f>
        <v>1.5</v>
      </c>
      <c r="AD27">
        <f t="shared" ref="AD27:AD58" si="35">0.5*$AD$9</f>
        <v>0.55000000000000004</v>
      </c>
      <c r="AE27" s="24">
        <f t="shared" si="22"/>
        <v>5939.1555686380834</v>
      </c>
      <c r="AF27" s="24">
        <f t="shared" si="7"/>
        <v>9238.6864401036837</v>
      </c>
      <c r="AG27" s="24">
        <f t="shared" si="8"/>
        <v>225000</v>
      </c>
      <c r="AH27" s="24">
        <f t="shared" si="9"/>
        <v>2475000</v>
      </c>
      <c r="AI27" s="5">
        <f t="shared" si="10"/>
        <v>2</v>
      </c>
      <c r="AJ27" s="5">
        <f t="shared" si="23"/>
        <v>0.56100000000000005</v>
      </c>
      <c r="AK27" s="24">
        <f t="shared" si="11"/>
        <v>9777.959248527688</v>
      </c>
      <c r="AL27" s="24">
        <f t="shared" si="12"/>
        <v>11815.034091970958</v>
      </c>
      <c r="AM27" s="24">
        <f t="shared" si="13"/>
        <v>540000</v>
      </c>
      <c r="AN27" s="24">
        <f t="shared" si="14"/>
        <v>2880000</v>
      </c>
      <c r="AO27" s="5">
        <f t="shared" si="24"/>
        <v>2.5</v>
      </c>
      <c r="AP27" s="5">
        <f t="shared" si="25"/>
        <v>0.57222000000000006</v>
      </c>
      <c r="AQ27" s="24">
        <f t="shared" si="15"/>
        <v>14153.569618881569</v>
      </c>
      <c r="AR27" s="24">
        <f t="shared" si="16"/>
        <v>16512.497888695165</v>
      </c>
      <c r="AS27" s="24">
        <f t="shared" si="17"/>
        <v>2887250</v>
      </c>
      <c r="AT27" s="24">
        <f t="shared" si="18"/>
        <v>5137250</v>
      </c>
      <c r="BA27" s="5">
        <f t="shared" si="26"/>
        <v>2.5</v>
      </c>
      <c r="BB27" s="5">
        <f t="shared" si="27"/>
        <v>0.57222000000000006</v>
      </c>
      <c r="BC27" s="24">
        <f t="shared" si="28"/>
        <v>14153.569618881569</v>
      </c>
      <c r="BD27" s="24">
        <f t="shared" si="29"/>
        <v>16512.497888695165</v>
      </c>
      <c r="BE27" s="24">
        <f t="shared" si="30"/>
        <v>2887250</v>
      </c>
      <c r="BF27" s="24">
        <f t="shared" si="31"/>
        <v>5137250</v>
      </c>
      <c r="BI27" t="str">
        <f>RegionWideSubstations!C27</f>
        <v>PUD No 1 of Benton County</v>
      </c>
      <c r="BJ27" s="417">
        <f>RegionWideSubstations!AE27/8760</f>
        <v>0.67798579550663052</v>
      </c>
      <c r="BK27" s="416">
        <f>RegionWideSubstations!AF27/8760</f>
        <v>1.0546445707880918</v>
      </c>
      <c r="BL27" s="70">
        <f>(RegionWideSubstations!AK27/8760)-BJ27</f>
        <v>0.43821959816091371</v>
      </c>
      <c r="BM27" s="415">
        <f>(RegionWideSubstations!AL27/8760)-BK27</f>
        <v>0.29410361322685774</v>
      </c>
      <c r="BN27" s="70">
        <f>(RegionWideSubstations!AQ27/8760)-BJ27-BL27</f>
        <v>0.49949890072532899</v>
      </c>
      <c r="BO27" s="415">
        <f>(RegionWideSubstations!AR27/8760)-BK27-BM27</f>
        <v>0.53624015944340253</v>
      </c>
      <c r="BP27" s="70">
        <f t="shared" si="19"/>
        <v>0.26928404906547887</v>
      </c>
      <c r="BQ27" s="24">
        <f t="shared" si="20"/>
        <v>1.8849883434583521</v>
      </c>
    </row>
    <row r="28" spans="1:69">
      <c r="A28">
        <f t="shared" si="3"/>
        <v>16</v>
      </c>
      <c r="B28">
        <v>7548</v>
      </c>
      <c r="C28" t="s">
        <v>67</v>
      </c>
      <c r="D28" t="s">
        <v>1</v>
      </c>
      <c r="E28" t="s">
        <v>62</v>
      </c>
      <c r="F28" s="3">
        <v>19788</v>
      </c>
      <c r="G28" s="3">
        <v>1423096</v>
      </c>
      <c r="H28" s="122">
        <f>VLOOKUP($C28&amp;$D28,Sales!$A$21:$W$209,23,FALSE)</f>
        <v>1542386</v>
      </c>
      <c r="I28" s="3">
        <v>665318</v>
      </c>
      <c r="J28" s="122">
        <f>VLOOKUP($C28&amp;$D28,Sales!$A$21:$W$209,11,FALSE)</f>
        <v>762266</v>
      </c>
      <c r="K28" s="3">
        <v>32769</v>
      </c>
      <c r="L28" s="122">
        <f>VLOOKUP($C28&amp;$D28,Sales!$A$21:$W$209,12,FALSE)</f>
        <v>36057</v>
      </c>
      <c r="M28" s="3">
        <f t="shared" si="0"/>
        <v>20303.274436204953</v>
      </c>
      <c r="N28">
        <v>1</v>
      </c>
      <c r="O28">
        <v>3</v>
      </c>
      <c r="P28">
        <v>3</v>
      </c>
      <c r="Q28" s="3">
        <f t="shared" si="32"/>
        <v>174800.11798292029</v>
      </c>
      <c r="R28" s="122">
        <f>VLOOKUP($C28&amp;$D28,Sales!$A$21:$W$209,14,FALSE)</f>
        <v>469223</v>
      </c>
      <c r="S28" s="3">
        <v>9373</v>
      </c>
      <c r="T28" s="3">
        <f t="shared" si="33"/>
        <v>582977.88201707974</v>
      </c>
      <c r="U28" s="122">
        <f>VLOOKUP($C28&amp;$D28,Sales!$A$21:$W$209,17,FALSE)</f>
        <v>310897</v>
      </c>
      <c r="V28" s="3">
        <v>1563</v>
      </c>
      <c r="X28" s="27">
        <f t="shared" si="34"/>
        <v>8.0418105430190998</v>
      </c>
      <c r="Y28" s="28">
        <v>0.8</v>
      </c>
      <c r="Z28" s="27">
        <f t="shared" si="4"/>
        <v>6</v>
      </c>
      <c r="AA28" s="132">
        <f t="shared" si="5"/>
        <v>7</v>
      </c>
      <c r="AB28" s="27">
        <f t="shared" si="1"/>
        <v>2.0418105430190998</v>
      </c>
      <c r="AC28" s="5">
        <f>2*$AC$9</f>
        <v>2</v>
      </c>
      <c r="AD28">
        <f t="shared" si="35"/>
        <v>0.55000000000000004</v>
      </c>
      <c r="AE28" s="24">
        <f t="shared" si="22"/>
        <v>8308.0206882526127</v>
      </c>
      <c r="AF28" s="24">
        <f t="shared" si="7"/>
        <v>11769.695975024535</v>
      </c>
      <c r="AG28" s="24">
        <f t="shared" si="8"/>
        <v>175000</v>
      </c>
      <c r="AH28" s="24">
        <f t="shared" si="9"/>
        <v>1925000</v>
      </c>
      <c r="AI28" s="5">
        <f t="shared" si="10"/>
        <v>2.5</v>
      </c>
      <c r="AJ28" s="5">
        <f t="shared" si="23"/>
        <v>0.56100000000000005</v>
      </c>
      <c r="AK28" s="24">
        <f t="shared" si="11"/>
        <v>12643.858182471537</v>
      </c>
      <c r="AL28" s="24">
        <f t="shared" si="12"/>
        <v>14751.167879550127</v>
      </c>
      <c r="AM28" s="24">
        <f t="shared" si="13"/>
        <v>420000</v>
      </c>
      <c r="AN28" s="24">
        <f t="shared" si="14"/>
        <v>2240000</v>
      </c>
      <c r="AO28" s="5">
        <f t="shared" si="24"/>
        <v>3</v>
      </c>
      <c r="AP28" s="5">
        <f t="shared" si="25"/>
        <v>0.57222000000000006</v>
      </c>
      <c r="AQ28" s="24">
        <f t="shared" si="15"/>
        <v>17327.032332667262</v>
      </c>
      <c r="AR28" s="24">
        <f t="shared" si="16"/>
        <v>19733.564601093269</v>
      </c>
      <c r="AS28" s="24">
        <f t="shared" si="17"/>
        <v>2467850</v>
      </c>
      <c r="AT28" s="24">
        <f t="shared" si="18"/>
        <v>4217850</v>
      </c>
      <c r="BA28" s="5">
        <f t="shared" si="26"/>
        <v>3</v>
      </c>
      <c r="BB28" s="5">
        <f t="shared" si="27"/>
        <v>0.57222000000000006</v>
      </c>
      <c r="BC28" s="24">
        <f t="shared" si="28"/>
        <v>17327.032332667262</v>
      </c>
      <c r="BD28" s="24">
        <f t="shared" si="29"/>
        <v>19733.564601093269</v>
      </c>
      <c r="BE28" s="24">
        <f t="shared" si="30"/>
        <v>2467850</v>
      </c>
      <c r="BF28" s="24">
        <f t="shared" si="31"/>
        <v>4217850</v>
      </c>
      <c r="BI28" t="str">
        <f>RegionWideSubstations!C28</f>
        <v>PUD No 1 of Chelan County</v>
      </c>
      <c r="BJ28" s="417">
        <f>RegionWideSubstations!AE28/8760</f>
        <v>0.94840418815669092</v>
      </c>
      <c r="BK28" s="416">
        <f>RegionWideSubstations!AF28/8760</f>
        <v>1.3435725998886456</v>
      </c>
      <c r="BL28" s="70">
        <f>(RegionWideSubstations!AK28/8760)-BJ28</f>
        <v>0.49495861806152108</v>
      </c>
      <c r="BM28" s="415">
        <f>(RegionWideSubstations!AL28/8760)-BK28</f>
        <v>0.34035067403260166</v>
      </c>
      <c r="BN28" s="70">
        <f>(RegionWideSubstations!AQ28/8760)-BJ28-BL28</f>
        <v>0.53460892125521986</v>
      </c>
      <c r="BO28" s="415">
        <f>(RegionWideSubstations!AR28/8760)-BK28-BM28</f>
        <v>0.56876674903460533</v>
      </c>
      <c r="BP28" s="70">
        <f t="shared" si="19"/>
        <v>0.27471829548242077</v>
      </c>
      <c r="BQ28" s="24">
        <f t="shared" si="20"/>
        <v>2.2526900229558526</v>
      </c>
    </row>
    <row r="29" spans="1:69">
      <c r="A29">
        <f t="shared" si="3"/>
        <v>17</v>
      </c>
      <c r="B29">
        <v>3413</v>
      </c>
      <c r="C29" t="s">
        <v>90</v>
      </c>
      <c r="D29" t="s">
        <v>4</v>
      </c>
      <c r="E29" t="s">
        <v>91</v>
      </c>
      <c r="F29" s="3">
        <v>42543</v>
      </c>
      <c r="G29" s="3">
        <v>1380361</v>
      </c>
      <c r="H29" s="122">
        <f>VLOOKUP($C29&amp;$D29,Sales!$A$21:$W$209,23,FALSE)</f>
        <v>1347516</v>
      </c>
      <c r="I29" s="3">
        <v>568902</v>
      </c>
      <c r="J29" s="122">
        <f>VLOOKUP($C29&amp;$D29,Sales!$A$21:$W$209,11,FALSE)</f>
        <v>674819</v>
      </c>
      <c r="K29" s="3">
        <v>49172</v>
      </c>
      <c r="L29" s="122">
        <f>VLOOKUP($C29&amp;$D29,Sales!$A$21:$W$209,12,FALSE)</f>
        <v>51979</v>
      </c>
      <c r="M29" s="3">
        <f t="shared" si="0"/>
        <v>11569.633124542423</v>
      </c>
      <c r="N29">
        <v>3</v>
      </c>
      <c r="O29">
        <v>1</v>
      </c>
      <c r="P29">
        <v>3</v>
      </c>
      <c r="Q29" s="3">
        <f t="shared" si="32"/>
        <v>107394.6104118294</v>
      </c>
      <c r="R29" s="122">
        <f>VLOOKUP($C29&amp;$D29,Sales!$A$21:$W$209,14,FALSE)</f>
        <v>427906</v>
      </c>
      <c r="S29" s="3">
        <v>1083</v>
      </c>
      <c r="T29" s="3">
        <f t="shared" si="33"/>
        <v>704064.38958817057</v>
      </c>
      <c r="U29" s="122">
        <f>VLOOKUP($C29&amp;$D29,Sales!$A$21:$W$209,17,FALSE)</f>
        <v>244791</v>
      </c>
      <c r="V29" s="3">
        <v>355</v>
      </c>
      <c r="X29" s="27">
        <f t="shared" si="34"/>
        <v>7.8003182097148658</v>
      </c>
      <c r="Y29" s="28">
        <v>1</v>
      </c>
      <c r="Z29" s="27">
        <f t="shared" si="4"/>
        <v>8</v>
      </c>
      <c r="AA29" s="132">
        <f t="shared" si="5"/>
        <v>11</v>
      </c>
      <c r="AB29" s="27">
        <f t="shared" si="1"/>
        <v>-0.19968179028513422</v>
      </c>
      <c r="AC29" s="5">
        <f>1*$AC$9</f>
        <v>1</v>
      </c>
      <c r="AD29" s="5">
        <f t="shared" si="35"/>
        <v>0.55000000000000004</v>
      </c>
      <c r="AE29" s="24">
        <f t="shared" si="22"/>
        <v>3695.5698619828117</v>
      </c>
      <c r="AF29" s="24">
        <f t="shared" si="7"/>
        <v>6775.2114136351547</v>
      </c>
      <c r="AG29" s="24">
        <f t="shared" si="8"/>
        <v>275000</v>
      </c>
      <c r="AH29" s="24">
        <f t="shared" si="9"/>
        <v>3025000</v>
      </c>
      <c r="AI29" s="5">
        <f t="shared" si="10"/>
        <v>1.5</v>
      </c>
      <c r="AJ29" s="5">
        <f t="shared" si="23"/>
        <v>0.56100000000000005</v>
      </c>
      <c r="AK29" s="24">
        <f t="shared" si="11"/>
        <v>6738.2289189361318</v>
      </c>
      <c r="AL29" s="24">
        <f t="shared" si="12"/>
        <v>8609.9591741961667</v>
      </c>
      <c r="AM29" s="24">
        <f t="shared" si="13"/>
        <v>660000</v>
      </c>
      <c r="AN29" s="24">
        <f t="shared" si="14"/>
        <v>3520000</v>
      </c>
      <c r="AO29" s="5">
        <f t="shared" si="24"/>
        <v>2</v>
      </c>
      <c r="AP29" s="5">
        <f t="shared" si="25"/>
        <v>0.57222000000000006</v>
      </c>
      <c r="AQ29" s="24">
        <f t="shared" si="15"/>
        <v>10248.932775985972</v>
      </c>
      <c r="AR29" s="24">
        <f t="shared" si="16"/>
        <v>12384.127104316382</v>
      </c>
      <c r="AS29" s="24">
        <f t="shared" si="17"/>
        <v>3643950</v>
      </c>
      <c r="AT29" s="24">
        <f t="shared" si="18"/>
        <v>6393950</v>
      </c>
      <c r="BA29" s="5">
        <f t="shared" si="26"/>
        <v>2</v>
      </c>
      <c r="BB29" s="5">
        <f t="shared" si="27"/>
        <v>0.57222000000000006</v>
      </c>
      <c r="BC29" s="24">
        <f t="shared" si="28"/>
        <v>10248.932775985972</v>
      </c>
      <c r="BD29" s="24">
        <f t="shared" si="29"/>
        <v>12384.127104316382</v>
      </c>
      <c r="BE29" s="24">
        <f t="shared" si="30"/>
        <v>3643950</v>
      </c>
      <c r="BF29" s="24">
        <f t="shared" si="31"/>
        <v>6393950</v>
      </c>
      <c r="BI29" t="str">
        <f>RegionWideSubstations!C29</f>
        <v>Flathead Electric Coop Inc</v>
      </c>
      <c r="BJ29" s="417">
        <f>RegionWideSubstations!AE29/8760</f>
        <v>0.42186870570580043</v>
      </c>
      <c r="BK29" s="416">
        <f>RegionWideSubstations!AF29/8760</f>
        <v>0.77342596046063405</v>
      </c>
      <c r="BL29" s="70">
        <f>(RegionWideSubstations!AK29/8760)-BJ29</f>
        <v>0.34733550878462555</v>
      </c>
      <c r="BM29" s="415">
        <f>(RegionWideSubstations!AL29/8760)-BK29</f>
        <v>0.20944609138824344</v>
      </c>
      <c r="BN29" s="70">
        <f>(RegionWideSubstations!AQ29/8760)-BJ29-BL29</f>
        <v>0.40076528048514154</v>
      </c>
      <c r="BO29" s="415">
        <f>(RegionWideSubstations!AR29/8760)-BK29-BM29</f>
        <v>0.43084108791326658</v>
      </c>
      <c r="BP29" s="70">
        <f t="shared" si="19"/>
        <v>0.24374364478657662</v>
      </c>
      <c r="BQ29" s="24">
        <f t="shared" si="20"/>
        <v>1.4137131397621441</v>
      </c>
    </row>
    <row r="30" spans="1:69">
      <c r="A30">
        <f t="shared" si="3"/>
        <v>18</v>
      </c>
      <c r="B30">
        <v>8699</v>
      </c>
      <c r="C30" t="s">
        <v>69</v>
      </c>
      <c r="D30" t="s">
        <v>5</v>
      </c>
      <c r="E30" t="s">
        <v>62</v>
      </c>
      <c r="F30" s="3">
        <v>25992</v>
      </c>
      <c r="G30" s="3">
        <v>1292369</v>
      </c>
      <c r="H30" s="122">
        <f>VLOOKUP($C30&amp;$D30,Sales!$A$21:$W$209,23,FALSE)</f>
        <v>1311039</v>
      </c>
      <c r="I30" s="3">
        <v>414445</v>
      </c>
      <c r="J30" s="122">
        <f>VLOOKUP($C30&amp;$D30,Sales!$A$21:$W$209,11,FALSE)</f>
        <v>433411</v>
      </c>
      <c r="K30" s="3">
        <v>31371</v>
      </c>
      <c r="L30" s="122">
        <f>VLOOKUP($C30&amp;$D30,Sales!$A$21:$W$209,12,FALSE)</f>
        <v>32744</v>
      </c>
      <c r="M30" s="3">
        <f t="shared" si="0"/>
        <v>13211.08667240445</v>
      </c>
      <c r="N30">
        <v>1</v>
      </c>
      <c r="O30">
        <v>1</v>
      </c>
      <c r="P30">
        <v>2</v>
      </c>
      <c r="Q30" s="3">
        <f t="shared" si="32"/>
        <v>543847.63254348084</v>
      </c>
      <c r="R30" s="122">
        <f>VLOOKUP($C30&amp;$D30,Sales!$A$21:$W$209,14,FALSE)</f>
        <v>188055</v>
      </c>
      <c r="S30" s="3">
        <v>5307</v>
      </c>
      <c r="T30" s="3">
        <f t="shared" si="33"/>
        <v>334076.36745651922</v>
      </c>
      <c r="U30" s="122">
        <f>VLOOKUP($C30&amp;$D30,Sales!$A$21:$W$209,17,FALSE)</f>
        <v>689573</v>
      </c>
      <c r="V30" s="3">
        <v>163</v>
      </c>
      <c r="X30" s="27">
        <f t="shared" si="34"/>
        <v>7.3030819071032802</v>
      </c>
      <c r="Y30" s="28">
        <v>0.9</v>
      </c>
      <c r="Z30" s="27">
        <f t="shared" si="4"/>
        <v>7</v>
      </c>
      <c r="AA30" s="132">
        <f t="shared" si="5"/>
        <v>7</v>
      </c>
      <c r="AB30" s="27">
        <f t="shared" si="1"/>
        <v>0.3030819071032802</v>
      </c>
      <c r="AC30" s="5">
        <f>2*$AC$9</f>
        <v>2</v>
      </c>
      <c r="AD30">
        <f t="shared" si="35"/>
        <v>0.55000000000000004</v>
      </c>
      <c r="AE30" s="24">
        <f t="shared" si="22"/>
        <v>4724.2628441546831</v>
      </c>
      <c r="AF30" s="24">
        <f t="shared" si="7"/>
        <v>6692.705695885802</v>
      </c>
      <c r="AG30" s="24">
        <f t="shared" si="8"/>
        <v>175000</v>
      </c>
      <c r="AH30" s="24">
        <f t="shared" si="9"/>
        <v>1925000</v>
      </c>
      <c r="AI30" s="5">
        <f t="shared" si="10"/>
        <v>2.5</v>
      </c>
      <c r="AJ30" s="5">
        <f t="shared" si="23"/>
        <v>0.56100000000000005</v>
      </c>
      <c r="AK30" s="24">
        <f t="shared" si="11"/>
        <v>7538.3906627581746</v>
      </c>
      <c r="AL30" s="24">
        <f t="shared" si="12"/>
        <v>8794.7891065512031</v>
      </c>
      <c r="AM30" s="24">
        <f t="shared" si="13"/>
        <v>420000</v>
      </c>
      <c r="AN30" s="24">
        <f t="shared" si="14"/>
        <v>2240000</v>
      </c>
      <c r="AO30" s="5">
        <f t="shared" si="24"/>
        <v>3</v>
      </c>
      <c r="AP30" s="5">
        <f t="shared" si="25"/>
        <v>0.57222000000000006</v>
      </c>
      <c r="AQ30" s="24">
        <f t="shared" si="15"/>
        <v>10706.238689648506</v>
      </c>
      <c r="AR30" s="24">
        <f t="shared" si="16"/>
        <v>12193.216285433022</v>
      </c>
      <c r="AS30" s="24">
        <f t="shared" si="17"/>
        <v>2302200</v>
      </c>
      <c r="AT30" s="24">
        <f t="shared" si="18"/>
        <v>4052200</v>
      </c>
      <c r="BA30" s="5">
        <f t="shared" si="26"/>
        <v>3</v>
      </c>
      <c r="BB30" s="5">
        <f t="shared" si="27"/>
        <v>0.57222000000000006</v>
      </c>
      <c r="BC30" s="24">
        <f t="shared" si="28"/>
        <v>10706.238689648506</v>
      </c>
      <c r="BD30" s="24">
        <f t="shared" si="29"/>
        <v>12193.216285433022</v>
      </c>
      <c r="BE30" s="24">
        <f t="shared" si="30"/>
        <v>2302200</v>
      </c>
      <c r="BF30" s="24">
        <f t="shared" si="31"/>
        <v>4052200</v>
      </c>
      <c r="BI30" t="str">
        <f>RegionWideSubstations!C30</f>
        <v>Central Lincoln People's Ut Dt</v>
      </c>
      <c r="BJ30" s="417">
        <f>RegionWideSubstations!AE30/8760</f>
        <v>0.53929941143318305</v>
      </c>
      <c r="BK30" s="416">
        <f>RegionWideSubstations!AF30/8760</f>
        <v>0.76400749953034275</v>
      </c>
      <c r="BL30" s="70">
        <f>(RegionWideSubstations!AK30/8760)-BJ30</f>
        <v>0.32124746787711089</v>
      </c>
      <c r="BM30" s="415">
        <f>(RegionWideSubstations!AL30/8760)-BK30</f>
        <v>0.239963859665</v>
      </c>
      <c r="BN30" s="70">
        <f>(RegionWideSubstations!AQ30/8760)-BJ30-BL30</f>
        <v>0.36162648708793732</v>
      </c>
      <c r="BO30" s="415">
        <f>(RegionWideSubstations!AR30/8760)-BK30-BM30</f>
        <v>0.3879483080915318</v>
      </c>
      <c r="BP30" s="70">
        <f t="shared" si="19"/>
        <v>0.16974630088864329</v>
      </c>
      <c r="BQ30" s="24">
        <f t="shared" si="20"/>
        <v>1.3919196672868746</v>
      </c>
    </row>
    <row r="31" spans="1:69">
      <c r="A31">
        <f t="shared" si="3"/>
        <v>19</v>
      </c>
      <c r="B31">
        <v>14624</v>
      </c>
      <c r="C31" t="s">
        <v>66</v>
      </c>
      <c r="D31" t="s">
        <v>1</v>
      </c>
      <c r="E31" t="s">
        <v>62</v>
      </c>
      <c r="F31" s="3">
        <v>36109</v>
      </c>
      <c r="G31" s="3">
        <f>+I31+Q31+T31</f>
        <v>992830</v>
      </c>
      <c r="H31" s="122">
        <f>VLOOKUP($C31&amp;$D31,Sales!$A$21:$W$209,23,FALSE)</f>
        <v>975944</v>
      </c>
      <c r="I31" s="3">
        <v>486892</v>
      </c>
      <c r="J31" s="122">
        <f>VLOOKUP($C31&amp;$D31,Sales!$A$21:$W$209,11,FALSE)</f>
        <v>497856</v>
      </c>
      <c r="K31" s="3">
        <v>34096</v>
      </c>
      <c r="L31" s="122">
        <f>VLOOKUP($C31&amp;$D31,Sales!$A$21:$W$209,12,FALSE)</f>
        <v>34660</v>
      </c>
      <c r="M31" s="3">
        <f t="shared" si="0"/>
        <v>14280.032848427969</v>
      </c>
      <c r="N31">
        <v>1</v>
      </c>
      <c r="O31">
        <v>1</v>
      </c>
      <c r="P31">
        <v>1</v>
      </c>
      <c r="Q31" s="3">
        <v>260459</v>
      </c>
      <c r="R31" s="122">
        <f>VLOOKUP($C31&amp;$D31,Sales!$A$21:$W$209,14,FALSE)</f>
        <v>301746</v>
      </c>
      <c r="S31" s="3">
        <v>6919</v>
      </c>
      <c r="T31" s="3">
        <f>241185+4294</f>
        <v>245479</v>
      </c>
      <c r="U31" s="122">
        <f>VLOOKUP($C31&amp;$D31,Sales!$A$21:$W$209,17,FALSE)</f>
        <v>176342</v>
      </c>
      <c r="V31" s="3">
        <v>44</v>
      </c>
      <c r="X31" s="27">
        <f t="shared" si="34"/>
        <v>5.6104091090310506</v>
      </c>
      <c r="Y31" s="28">
        <v>0.85</v>
      </c>
      <c r="Z31" s="27">
        <f t="shared" si="4"/>
        <v>5</v>
      </c>
      <c r="AA31" s="132">
        <f t="shared" si="5"/>
        <v>5</v>
      </c>
      <c r="AB31" s="27">
        <f t="shared" si="1"/>
        <v>0.61040910903105061</v>
      </c>
      <c r="AC31" s="5">
        <f>2*$AC$9</f>
        <v>2</v>
      </c>
      <c r="AD31">
        <f t="shared" si="35"/>
        <v>0.55000000000000004</v>
      </c>
      <c r="AE31" s="24">
        <f t="shared" si="22"/>
        <v>5385.394253066509</v>
      </c>
      <c r="AF31" s="24">
        <f t="shared" si="7"/>
        <v>7629.3085251775556</v>
      </c>
      <c r="AG31" s="24">
        <f t="shared" si="8"/>
        <v>125000</v>
      </c>
      <c r="AH31" s="24">
        <f t="shared" si="9"/>
        <v>1375000</v>
      </c>
      <c r="AI31" s="5">
        <f t="shared" si="10"/>
        <v>2.5</v>
      </c>
      <c r="AJ31" s="5">
        <f t="shared" si="23"/>
        <v>0.56100000000000005</v>
      </c>
      <c r="AK31" s="24">
        <f t="shared" si="11"/>
        <v>8174.8654296931645</v>
      </c>
      <c r="AL31" s="24">
        <f t="shared" si="12"/>
        <v>9537.3430013086927</v>
      </c>
      <c r="AM31" s="24">
        <f t="shared" si="13"/>
        <v>300000</v>
      </c>
      <c r="AN31" s="24">
        <f t="shared" si="14"/>
        <v>1600000</v>
      </c>
      <c r="AO31" s="5">
        <f t="shared" si="24"/>
        <v>3</v>
      </c>
      <c r="AP31" s="5">
        <f t="shared" si="25"/>
        <v>0.57222000000000006</v>
      </c>
      <c r="AQ31" s="24">
        <f t="shared" si="15"/>
        <v>11176.799040545833</v>
      </c>
      <c r="AR31" s="24">
        <f t="shared" si="16"/>
        <v>12729.132240621642</v>
      </c>
      <c r="AS31" s="24">
        <f t="shared" si="17"/>
        <v>2208000</v>
      </c>
      <c r="AT31" s="24">
        <f t="shared" si="18"/>
        <v>3458000</v>
      </c>
      <c r="BA31" s="5">
        <f t="shared" si="26"/>
        <v>3</v>
      </c>
      <c r="BB31" s="5">
        <f t="shared" si="27"/>
        <v>0.57222000000000006</v>
      </c>
      <c r="BC31" s="24">
        <f t="shared" si="28"/>
        <v>11176.799040545833</v>
      </c>
      <c r="BD31" s="24">
        <f t="shared" si="29"/>
        <v>12729.132240621642</v>
      </c>
      <c r="BE31" s="24">
        <f t="shared" si="30"/>
        <v>2208000</v>
      </c>
      <c r="BF31" s="24">
        <f t="shared" si="31"/>
        <v>3458000</v>
      </c>
      <c r="BI31" t="str">
        <f>RegionWideSubstations!C31</f>
        <v>PUD No 1 of Grays Harbor Cnty</v>
      </c>
      <c r="BJ31" s="417">
        <f>RegionWideSubstations!AE31/8760</f>
        <v>0.61477103345508088</v>
      </c>
      <c r="BK31" s="416">
        <f>RegionWideSubstations!AF31/8760</f>
        <v>0.87092563072803142</v>
      </c>
      <c r="BL31" s="70">
        <f>(RegionWideSubstations!AK31/8760)-BJ31</f>
        <v>0.31843278271993791</v>
      </c>
      <c r="BM31" s="415">
        <f>(RegionWideSubstations!AL31/8760)-BK31</f>
        <v>0.21781215480949057</v>
      </c>
      <c r="BN31" s="70">
        <f>(RegionWideSubstations!AQ31/8760)-BJ31-BL31</f>
        <v>0.34268648525715395</v>
      </c>
      <c r="BO31" s="415">
        <f>(RegionWideSubstations!AR31/8760)-BK31-BM31</f>
        <v>0.36435950220467461</v>
      </c>
      <c r="BP31" s="70">
        <f t="shared" si="19"/>
        <v>0.17720698631002385</v>
      </c>
      <c r="BQ31" s="24">
        <f t="shared" si="20"/>
        <v>1.4530972877421966</v>
      </c>
    </row>
    <row r="32" spans="1:69">
      <c r="A32">
        <f t="shared" si="3"/>
        <v>20</v>
      </c>
      <c r="B32">
        <v>3264</v>
      </c>
      <c r="C32" t="s">
        <v>84</v>
      </c>
      <c r="D32" t="s">
        <v>5</v>
      </c>
      <c r="E32" t="s">
        <v>62</v>
      </c>
      <c r="F32" s="3">
        <v>2779</v>
      </c>
      <c r="G32" s="3">
        <v>980249</v>
      </c>
      <c r="H32" s="122">
        <f>VLOOKUP($C32&amp;$D32,Sales!$A$21:$W$209,23,FALSE)</f>
        <v>970591</v>
      </c>
      <c r="I32" s="3">
        <v>67769</v>
      </c>
      <c r="J32" s="122">
        <f>VLOOKUP($C32&amp;$D32,Sales!$A$21:$W$209,11,FALSE)</f>
        <v>72364</v>
      </c>
      <c r="K32" s="3">
        <v>3864</v>
      </c>
      <c r="L32" s="122">
        <f>VLOOKUP($C32&amp;$D32,Sales!$A$21:$W$209,12,FALSE)</f>
        <v>4036</v>
      </c>
      <c r="M32" s="3">
        <f t="shared" si="0"/>
        <v>17538.561076604554</v>
      </c>
      <c r="N32">
        <v>1</v>
      </c>
      <c r="O32">
        <v>1</v>
      </c>
      <c r="P32">
        <v>2</v>
      </c>
      <c r="Q32" s="3">
        <f t="shared" ref="Q32:Q46" si="36">($G32-$I32)/($S32+$V32*20)*S32</f>
        <v>794740.6451612903</v>
      </c>
      <c r="R32" s="122">
        <f>VLOOKUP($C32&amp;$D32,Sales!$A$21:$W$209,14,FALSE)</f>
        <v>26226</v>
      </c>
      <c r="S32" s="3">
        <v>540</v>
      </c>
      <c r="T32" s="3">
        <f t="shared" ref="T32:T46" si="37">($G32-$I32)/($S32+$V32*20)*V32*20</f>
        <v>117739.35483870968</v>
      </c>
      <c r="U32" s="122">
        <f>VLOOKUP($C32&amp;$D32,Sales!$A$21:$W$209,17,FALSE)</f>
        <v>872001</v>
      </c>
      <c r="V32" s="3">
        <v>4</v>
      </c>
      <c r="X32" s="27">
        <f t="shared" si="34"/>
        <v>5.5393148058767148</v>
      </c>
      <c r="Y32" s="28">
        <v>0.9</v>
      </c>
      <c r="Z32" s="27">
        <f t="shared" si="4"/>
        <v>5</v>
      </c>
      <c r="AA32" s="132">
        <f t="shared" si="5"/>
        <v>1</v>
      </c>
      <c r="AB32" s="27">
        <f t="shared" si="1"/>
        <v>0.53931480587671476</v>
      </c>
      <c r="AC32" s="5">
        <f>1.5*$AC$9</f>
        <v>1.5</v>
      </c>
      <c r="AD32">
        <f t="shared" si="35"/>
        <v>0.55000000000000004</v>
      </c>
      <c r="AE32" s="24">
        <f t="shared" si="22"/>
        <v>977.1537665156809</v>
      </c>
      <c r="AF32" s="24">
        <f t="shared" si="7"/>
        <v>1520.0169701355035</v>
      </c>
      <c r="AG32" s="24">
        <f t="shared" si="8"/>
        <v>25000</v>
      </c>
      <c r="AH32" s="24">
        <f t="shared" si="9"/>
        <v>275000</v>
      </c>
      <c r="AI32" s="5">
        <f t="shared" si="10"/>
        <v>2</v>
      </c>
      <c r="AJ32" s="5">
        <f t="shared" si="23"/>
        <v>0.56100000000000005</v>
      </c>
      <c r="AK32" s="24">
        <f t="shared" si="11"/>
        <v>2073.9505317029925</v>
      </c>
      <c r="AL32" s="24">
        <f t="shared" si="12"/>
        <v>2506.023559141116</v>
      </c>
      <c r="AM32" s="24">
        <f t="shared" si="13"/>
        <v>60000</v>
      </c>
      <c r="AN32" s="24">
        <f t="shared" si="14"/>
        <v>320000</v>
      </c>
      <c r="AO32" s="5">
        <f t="shared" si="24"/>
        <v>2.5</v>
      </c>
      <c r="AP32" s="5">
        <f t="shared" si="25"/>
        <v>0.57222000000000006</v>
      </c>
      <c r="AQ32" s="24">
        <f t="shared" si="15"/>
        <v>3542.005060482963</v>
      </c>
      <c r="AR32" s="24">
        <f t="shared" si="16"/>
        <v>4132.3392372301232</v>
      </c>
      <c r="AS32" s="24">
        <f t="shared" si="17"/>
        <v>296800</v>
      </c>
      <c r="AT32" s="24">
        <f t="shared" si="18"/>
        <v>546800</v>
      </c>
      <c r="BA32" s="5">
        <f t="shared" si="26"/>
        <v>2.5</v>
      </c>
      <c r="BB32" s="5">
        <f t="shared" si="27"/>
        <v>0.57222000000000006</v>
      </c>
      <c r="BC32" s="24">
        <f t="shared" si="28"/>
        <v>3542.005060482963</v>
      </c>
      <c r="BD32" s="24">
        <f t="shared" si="29"/>
        <v>4132.3392372301232</v>
      </c>
      <c r="BE32" s="24">
        <f t="shared" si="30"/>
        <v>296800</v>
      </c>
      <c r="BF32" s="24">
        <f t="shared" si="31"/>
        <v>546800</v>
      </c>
      <c r="BI32" t="str">
        <f>RegionWideSubstations!C32</f>
        <v>Clatskanie Peoples Util Dist</v>
      </c>
      <c r="BJ32" s="417">
        <f>RegionWideSubstations!AE32/8760</f>
        <v>0.11154723362051151</v>
      </c>
      <c r="BK32" s="416">
        <f>RegionWideSubstations!AF32/8760</f>
        <v>0.17351791896524013</v>
      </c>
      <c r="BL32" s="70">
        <f>(RegionWideSubstations!AK32/8760)-BJ32</f>
        <v>0.12520511018119995</v>
      </c>
      <c r="BM32" s="415">
        <f>(RegionWideSubstations!AL32/8760)-BK32</f>
        <v>0.11255782979516124</v>
      </c>
      <c r="BN32" s="70">
        <f>(RegionWideSubstations!AQ32/8760)-BJ32-BL32</f>
        <v>0.16758613342237111</v>
      </c>
      <c r="BO32" s="415">
        <f>(RegionWideSubstations!AR32/8760)-BK32-BM32</f>
        <v>0.18565247466769488</v>
      </c>
      <c r="BP32" s="70">
        <f t="shared" si="19"/>
        <v>6.7389746204013723E-2</v>
      </c>
      <c r="BQ32" s="24">
        <f t="shared" si="20"/>
        <v>0.47172822342809628</v>
      </c>
    </row>
    <row r="33" spans="1:69">
      <c r="A33">
        <f t="shared" si="3"/>
        <v>21</v>
      </c>
      <c r="B33">
        <v>15419</v>
      </c>
      <c r="C33" t="s">
        <v>82</v>
      </c>
      <c r="D33" t="s">
        <v>1</v>
      </c>
      <c r="E33" t="s">
        <v>62</v>
      </c>
      <c r="F33" s="3">
        <v>5330</v>
      </c>
      <c r="G33" s="3">
        <v>977091</v>
      </c>
      <c r="H33" s="122">
        <f>VLOOKUP($C33&amp;$D33,Sales!$A$21:$W$209,23,FALSE)</f>
        <v>1002891</v>
      </c>
      <c r="I33" s="3">
        <v>131586</v>
      </c>
      <c r="J33" s="122">
        <f>VLOOKUP($C33&amp;$D33,Sales!$A$21:$W$209,11,FALSE)</f>
        <v>138253</v>
      </c>
      <c r="K33" s="3">
        <v>7408</v>
      </c>
      <c r="L33" s="122">
        <f>VLOOKUP($C33&amp;$D33,Sales!$A$21:$W$209,12,FALSE)</f>
        <v>7893</v>
      </c>
      <c r="M33" s="3">
        <f t="shared" si="0"/>
        <v>17762.68898488121</v>
      </c>
      <c r="N33">
        <v>2</v>
      </c>
      <c r="O33">
        <v>2</v>
      </c>
      <c r="P33">
        <v>3</v>
      </c>
      <c r="Q33" s="3">
        <f t="shared" si="36"/>
        <v>723974.50718685833</v>
      </c>
      <c r="R33" s="122">
        <f>VLOOKUP($C33&amp;$D33,Sales!$A$21:$W$209,14,FALSE)</f>
        <v>49850</v>
      </c>
      <c r="S33" s="3">
        <v>834</v>
      </c>
      <c r="T33" s="3">
        <f t="shared" si="37"/>
        <v>121530.49281314168</v>
      </c>
      <c r="U33" s="122">
        <f>VLOOKUP($C33&amp;$D33,Sales!$A$21:$W$209,17,FALSE)</f>
        <v>814788</v>
      </c>
      <c r="V33" s="3">
        <v>7</v>
      </c>
      <c r="X33" s="27">
        <f t="shared" si="34"/>
        <v>5.52146918077844</v>
      </c>
      <c r="Y33" s="28">
        <v>0.9</v>
      </c>
      <c r="Z33" s="27">
        <f t="shared" si="4"/>
        <v>5</v>
      </c>
      <c r="AA33" s="132">
        <f t="shared" si="5"/>
        <v>5</v>
      </c>
      <c r="AB33" s="27">
        <f t="shared" si="1"/>
        <v>0.52146918077843996</v>
      </c>
      <c r="AC33" s="5">
        <f>1.5*$AC$9</f>
        <v>1.5</v>
      </c>
      <c r="AD33">
        <f t="shared" si="35"/>
        <v>0.55000000000000004</v>
      </c>
      <c r="AE33" s="24">
        <f t="shared" si="22"/>
        <v>1412.198963576443</v>
      </c>
      <c r="AF33" s="24">
        <f t="shared" si="7"/>
        <v>0</v>
      </c>
      <c r="AG33" s="24">
        <f t="shared" si="8"/>
        <v>75000</v>
      </c>
      <c r="AH33" s="24">
        <f t="shared" si="9"/>
        <v>0</v>
      </c>
      <c r="AI33" s="5">
        <f t="shared" si="10"/>
        <v>2</v>
      </c>
      <c r="AJ33" s="5">
        <f t="shared" si="23"/>
        <v>0.56100000000000005</v>
      </c>
      <c r="AK33" s="24">
        <f t="shared" si="11"/>
        <v>2726.5159292030771</v>
      </c>
      <c r="AL33" s="24">
        <f t="shared" si="12"/>
        <v>0</v>
      </c>
      <c r="AM33" s="24">
        <f t="shared" si="13"/>
        <v>162500</v>
      </c>
      <c r="AN33" s="24">
        <f t="shared" si="14"/>
        <v>0</v>
      </c>
      <c r="AO33" s="5">
        <f t="shared" si="24"/>
        <v>2.5</v>
      </c>
      <c r="AP33" s="5">
        <f t="shared" si="25"/>
        <v>0.57222000000000006</v>
      </c>
      <c r="AQ33" s="24">
        <f t="shared" si="15"/>
        <v>4404.1636329311959</v>
      </c>
      <c r="AR33" s="24">
        <f t="shared" si="16"/>
        <v>0</v>
      </c>
      <c r="AS33" s="24">
        <f t="shared" si="17"/>
        <v>644650</v>
      </c>
      <c r="AT33" s="24">
        <f t="shared" si="18"/>
        <v>0</v>
      </c>
      <c r="BA33" s="5">
        <f t="shared" si="26"/>
        <v>2.5</v>
      </c>
      <c r="BB33" s="5">
        <f t="shared" si="27"/>
        <v>0.57222000000000006</v>
      </c>
      <c r="BC33" s="24">
        <f t="shared" si="28"/>
        <v>4404.1636329311959</v>
      </c>
      <c r="BD33" s="24">
        <f t="shared" si="29"/>
        <v>0</v>
      </c>
      <c r="BE33" s="24">
        <f t="shared" si="30"/>
        <v>644650</v>
      </c>
      <c r="BF33" s="24">
        <f t="shared" si="31"/>
        <v>0</v>
      </c>
      <c r="BI33" t="str">
        <f>RegionWideSubstations!C33</f>
        <v>PUD No 1 of Pend Oreille Cnty</v>
      </c>
      <c r="BJ33" s="417">
        <f>RegionWideSubstations!AE33/8760</f>
        <v>0.16120992734890902</v>
      </c>
      <c r="BK33" s="416">
        <f>RegionWideSubstations!AF33/8760</f>
        <v>0</v>
      </c>
      <c r="BL33" s="70">
        <f>(RegionWideSubstations!AK33/8760)-BJ33</f>
        <v>0.15003618329071164</v>
      </c>
      <c r="BM33" s="415">
        <f>(RegionWideSubstations!AL33/8760)-BK33</f>
        <v>0</v>
      </c>
      <c r="BN33" s="70">
        <f>(RegionWideSubstations!AQ33/8760)-BJ33-BL33</f>
        <v>0.19151229494613223</v>
      </c>
      <c r="BO33" s="415">
        <f>(RegionWideSubstations!AR33/8760)-BK33-BM33</f>
        <v>0</v>
      </c>
      <c r="BP33" s="70">
        <f t="shared" si="19"/>
        <v>-0.50275840558575291</v>
      </c>
      <c r="BQ33" s="24">
        <f t="shared" si="20"/>
        <v>0</v>
      </c>
    </row>
    <row r="34" spans="1:69">
      <c r="A34">
        <f t="shared" si="3"/>
        <v>22</v>
      </c>
      <c r="B34">
        <v>17839</v>
      </c>
      <c r="C34" s="67" t="s">
        <v>341</v>
      </c>
      <c r="D34" t="s">
        <v>5</v>
      </c>
      <c r="E34" t="s">
        <v>29</v>
      </c>
      <c r="F34" s="3">
        <v>8648</v>
      </c>
      <c r="G34" s="3">
        <v>824917</v>
      </c>
      <c r="H34" s="122">
        <f>VLOOKUP($C34&amp;$D34,Sales!$A$21:$W$209,23,FALSE)</f>
        <v>717127</v>
      </c>
      <c r="I34" s="3">
        <v>192092</v>
      </c>
      <c r="J34" s="122">
        <f>VLOOKUP($C34&amp;$D34,Sales!$A$21:$W$209,11,FALSE)</f>
        <v>204187</v>
      </c>
      <c r="K34" s="3">
        <v>12092</v>
      </c>
      <c r="L34" s="122">
        <f>VLOOKUP($C34&amp;$D34,Sales!$A$21:$W$209,12,FALSE)</f>
        <v>13068</v>
      </c>
      <c r="M34" s="3">
        <f t="shared" si="0"/>
        <v>15885.874958650347</v>
      </c>
      <c r="N34">
        <v>1</v>
      </c>
      <c r="O34">
        <v>2</v>
      </c>
      <c r="P34">
        <v>2</v>
      </c>
      <c r="Q34" s="3">
        <f t="shared" si="36"/>
        <v>549580.45908971329</v>
      </c>
      <c r="R34" s="122">
        <f>VLOOKUP($C34&amp;$D34,Sales!$A$21:$W$209,14,FALSE)</f>
        <v>177463</v>
      </c>
      <c r="S34" s="3">
        <v>3301</v>
      </c>
      <c r="T34" s="3">
        <f t="shared" si="37"/>
        <v>83244.540910286771</v>
      </c>
      <c r="U34" s="122">
        <f>VLOOKUP($C34&amp;$D34,Sales!$A$21:$W$209,17,FALSE)</f>
        <v>335477</v>
      </c>
      <c r="V34" s="3">
        <v>25</v>
      </c>
      <c r="X34" s="27">
        <v>5</v>
      </c>
      <c r="Y34" s="28">
        <v>0.9</v>
      </c>
      <c r="Z34" s="27">
        <f t="shared" si="4"/>
        <v>5</v>
      </c>
      <c r="AA34" s="132">
        <f t="shared" si="5"/>
        <v>5</v>
      </c>
      <c r="AB34" s="27">
        <f t="shared" si="1"/>
        <v>0</v>
      </c>
      <c r="AC34" s="5">
        <f>2*$AC$9</f>
        <v>2</v>
      </c>
      <c r="AD34">
        <f t="shared" si="35"/>
        <v>0.55000000000000004</v>
      </c>
      <c r="AE34" s="24">
        <f t="shared" si="22"/>
        <v>2644.1036595776204</v>
      </c>
      <c r="AF34" s="24">
        <f t="shared" si="7"/>
        <v>3745.8135177349627</v>
      </c>
      <c r="AG34" s="24">
        <f t="shared" si="8"/>
        <v>125000</v>
      </c>
      <c r="AH34" s="24">
        <f t="shared" si="9"/>
        <v>1375000</v>
      </c>
      <c r="AI34" s="5">
        <f t="shared" si="10"/>
        <v>2.5</v>
      </c>
      <c r="AJ34" s="5">
        <f t="shared" si="23"/>
        <v>0.56100000000000005</v>
      </c>
      <c r="AK34" s="24">
        <f t="shared" si="11"/>
        <v>4225.5363755768958</v>
      </c>
      <c r="AL34" s="24">
        <f t="shared" si="12"/>
        <v>4929.7924381730454</v>
      </c>
      <c r="AM34" s="24">
        <f t="shared" si="13"/>
        <v>300000</v>
      </c>
      <c r="AN34" s="24">
        <f t="shared" si="14"/>
        <v>1600000</v>
      </c>
      <c r="AO34" s="5">
        <f t="shared" si="24"/>
        <v>3</v>
      </c>
      <c r="AP34" s="5">
        <f t="shared" si="25"/>
        <v>0.57222000000000006</v>
      </c>
      <c r="AQ34" s="24">
        <f t="shared" si="15"/>
        <v>6041.0293712194498</v>
      </c>
      <c r="AR34" s="24">
        <f t="shared" si="16"/>
        <v>6880.0612283332612</v>
      </c>
      <c r="AS34" s="24">
        <f t="shared" si="17"/>
        <v>1128400</v>
      </c>
      <c r="AT34" s="24">
        <f t="shared" si="18"/>
        <v>2378400</v>
      </c>
      <c r="BA34" s="5">
        <f t="shared" si="26"/>
        <v>3</v>
      </c>
      <c r="BB34" s="5">
        <f t="shared" si="27"/>
        <v>0.57222000000000006</v>
      </c>
      <c r="BC34" s="24">
        <f t="shared" si="28"/>
        <v>6041.0293712194498</v>
      </c>
      <c r="BD34" s="24">
        <f t="shared" si="29"/>
        <v>6880.0612283332612</v>
      </c>
      <c r="BE34" s="24">
        <f t="shared" si="30"/>
        <v>1128400</v>
      </c>
      <c r="BF34" s="24">
        <f t="shared" si="31"/>
        <v>2378400</v>
      </c>
      <c r="BI34" t="str">
        <f>RegionWideSubstations!C34</f>
        <v>McMinnville City of</v>
      </c>
      <c r="BJ34" s="417">
        <f>RegionWideSubstations!AE34/8760</f>
        <v>0.30183831730338134</v>
      </c>
      <c r="BK34" s="416">
        <f>RegionWideSubstations!AF34/8760</f>
        <v>0.42760428284645691</v>
      </c>
      <c r="BL34" s="70">
        <f>(RegionWideSubstations!AK34/8760)-BJ34</f>
        <v>0.18052884885836473</v>
      </c>
      <c r="BM34" s="415">
        <f>(RegionWideSubstations!AL34/8760)-BK34</f>
        <v>0.13515741100891354</v>
      </c>
      <c r="BN34" s="70">
        <f>(RegionWideSubstations!AQ34/8760)-BJ34-BL34</f>
        <v>0.20724805886330527</v>
      </c>
      <c r="BO34" s="415">
        <f>(RegionWideSubstations!AR34/8760)-BK34-BM34</f>
        <v>0.22263342353427129</v>
      </c>
      <c r="BP34" s="70">
        <f t="shared" si="19"/>
        <v>9.5779892364590391E-2</v>
      </c>
      <c r="BQ34" s="24">
        <f t="shared" si="20"/>
        <v>0.78539511738964174</v>
      </c>
    </row>
    <row r="35" spans="1:69">
      <c r="A35">
        <f t="shared" si="3"/>
        <v>23</v>
      </c>
      <c r="B35">
        <v>14668</v>
      </c>
      <c r="C35" t="s">
        <v>73</v>
      </c>
      <c r="D35" t="s">
        <v>1</v>
      </c>
      <c r="E35" t="s">
        <v>62</v>
      </c>
      <c r="F35" s="3">
        <v>25015</v>
      </c>
      <c r="G35" s="3">
        <v>810428</v>
      </c>
      <c r="H35" s="122">
        <f>VLOOKUP($C35&amp;$D35,Sales!$A$21:$W$209,23,FALSE)</f>
        <v>985664</v>
      </c>
      <c r="I35" s="3">
        <v>275018</v>
      </c>
      <c r="J35" s="122">
        <f>VLOOKUP($C35&amp;$D35,Sales!$A$21:$W$209,11,FALSE)</f>
        <v>336205</v>
      </c>
      <c r="K35" s="3">
        <v>18963</v>
      </c>
      <c r="L35" s="122">
        <f>VLOOKUP($C35&amp;$D35,Sales!$A$21:$W$209,12,FALSE)</f>
        <v>21997</v>
      </c>
      <c r="M35" s="3">
        <f t="shared" si="0"/>
        <v>14502.874017824182</v>
      </c>
      <c r="N35">
        <v>1</v>
      </c>
      <c r="O35">
        <v>3</v>
      </c>
      <c r="P35">
        <v>3</v>
      </c>
      <c r="Q35" s="3">
        <f t="shared" si="36"/>
        <v>526516.14617940201</v>
      </c>
      <c r="R35" s="122">
        <f>VLOOKUP($C35&amp;$D35,Sales!$A$21:$W$209,14,FALSE)</f>
        <v>364908</v>
      </c>
      <c r="S35" s="3">
        <v>4736</v>
      </c>
      <c r="T35" s="3">
        <f t="shared" si="37"/>
        <v>8893.8538205980076</v>
      </c>
      <c r="U35" s="122">
        <f>VLOOKUP($C35&amp;$D35,Sales!$A$21:$W$209,17,FALSE)</f>
        <v>284551</v>
      </c>
      <c r="V35" s="3">
        <v>4</v>
      </c>
      <c r="X35" s="27">
        <f t="shared" ref="X35:X45" si="38">IF(G35&lt;$X$11,1,G35/$X$11)</f>
        <v>4.5796688591338057</v>
      </c>
      <c r="Y35" s="28">
        <v>0.9</v>
      </c>
      <c r="Z35" s="27">
        <f t="shared" si="4"/>
        <v>4</v>
      </c>
      <c r="AA35" s="132">
        <f t="shared" si="5"/>
        <v>4</v>
      </c>
      <c r="AB35" s="27">
        <f t="shared" si="1"/>
        <v>0.57966885913380573</v>
      </c>
      <c r="AC35" s="5">
        <f>2*$AC$9</f>
        <v>2</v>
      </c>
      <c r="AD35">
        <f t="shared" si="35"/>
        <v>0.55000000000000004</v>
      </c>
      <c r="AE35" s="24">
        <f t="shared" si="22"/>
        <v>4499.4390174818691</v>
      </c>
      <c r="AF35" s="24">
        <f t="shared" si="7"/>
        <v>6374.2052747659818</v>
      </c>
      <c r="AG35" s="24">
        <f t="shared" si="8"/>
        <v>100000</v>
      </c>
      <c r="AH35" s="24">
        <f t="shared" si="9"/>
        <v>1100000</v>
      </c>
      <c r="AI35" s="5">
        <f t="shared" si="10"/>
        <v>2.5</v>
      </c>
      <c r="AJ35" s="5">
        <f t="shared" si="23"/>
        <v>0.56100000000000005</v>
      </c>
      <c r="AK35" s="24">
        <f t="shared" si="11"/>
        <v>7007.8570340175411</v>
      </c>
      <c r="AL35" s="24">
        <f t="shared" si="12"/>
        <v>8175.8332063537982</v>
      </c>
      <c r="AM35" s="24">
        <f t="shared" si="13"/>
        <v>240000</v>
      </c>
      <c r="AN35" s="24">
        <f t="shared" si="14"/>
        <v>1280000</v>
      </c>
      <c r="AO35" s="5">
        <f t="shared" si="24"/>
        <v>3</v>
      </c>
      <c r="AP35" s="5">
        <f t="shared" si="25"/>
        <v>0.57222000000000006</v>
      </c>
      <c r="AQ35" s="24">
        <f t="shared" si="15"/>
        <v>9842.4707301147846</v>
      </c>
      <c r="AR35" s="24">
        <f t="shared" si="16"/>
        <v>11209.480553741838</v>
      </c>
      <c r="AS35" s="24">
        <f t="shared" si="17"/>
        <v>1479850</v>
      </c>
      <c r="AT35" s="24">
        <f t="shared" si="18"/>
        <v>2479850</v>
      </c>
      <c r="BA35" s="5">
        <f t="shared" si="26"/>
        <v>3</v>
      </c>
      <c r="BB35" s="5">
        <f t="shared" si="27"/>
        <v>0.57222000000000006</v>
      </c>
      <c r="BC35" s="24">
        <f t="shared" si="28"/>
        <v>9842.4707301147846</v>
      </c>
      <c r="BD35" s="24">
        <f t="shared" si="29"/>
        <v>11209.480553741838</v>
      </c>
      <c r="BE35" s="24">
        <f t="shared" si="30"/>
        <v>1479850</v>
      </c>
      <c r="BF35" s="24">
        <f t="shared" si="31"/>
        <v>2479850</v>
      </c>
      <c r="BI35" t="str">
        <f>RegionWideSubstations!C35</f>
        <v>PUD No 1 of Franklin County</v>
      </c>
      <c r="BJ35" s="417">
        <f>RegionWideSubstations!AE35/8760</f>
        <v>0.51363459103674303</v>
      </c>
      <c r="BK35" s="416">
        <f>RegionWideSubstations!AF35/8760</f>
        <v>0.72764900396871934</v>
      </c>
      <c r="BL35" s="70">
        <f>(RegionWideSubstations!AK35/8760)-BJ35</f>
        <v>0.28634908864562469</v>
      </c>
      <c r="BM35" s="415">
        <f>(RegionWideSubstations!AL35/8760)-BK35</f>
        <v>0.20566528899404302</v>
      </c>
      <c r="BN35" s="70">
        <f>(RegionWideSubstations!AQ35/8760)-BJ35-BL35</f>
        <v>0.32358603836726518</v>
      </c>
      <c r="BO35" s="415">
        <f>(RegionWideSubstations!AR35/8760)-BK35-BM35</f>
        <v>0.34630677481598615</v>
      </c>
      <c r="BP35" s="70">
        <f t="shared" si="19"/>
        <v>0.15605134972911561</v>
      </c>
      <c r="BQ35" s="24">
        <f t="shared" si="20"/>
        <v>1.2796210677787485</v>
      </c>
    </row>
    <row r="36" spans="1:69">
      <c r="A36">
        <f t="shared" si="3"/>
        <v>24</v>
      </c>
      <c r="B36">
        <v>3644</v>
      </c>
      <c r="C36" t="s">
        <v>72</v>
      </c>
      <c r="D36" t="s">
        <v>1</v>
      </c>
      <c r="E36" t="s">
        <v>62</v>
      </c>
      <c r="F36" s="3">
        <v>21790</v>
      </c>
      <c r="G36" s="3">
        <v>808281</v>
      </c>
      <c r="H36" s="122">
        <f>VLOOKUP($C36&amp;$D36,Sales!$A$21:$W$209,23,FALSE)</f>
        <v>924562</v>
      </c>
      <c r="I36" s="3">
        <v>395293</v>
      </c>
      <c r="J36" s="122">
        <f>VLOOKUP($C36&amp;$D36,Sales!$A$21:$W$209,11,FALSE)</f>
        <v>457085</v>
      </c>
      <c r="K36" s="3">
        <v>23979</v>
      </c>
      <c r="L36" s="122">
        <f>VLOOKUP($C36&amp;$D36,Sales!$A$21:$W$209,12,FALSE)</f>
        <v>25707</v>
      </c>
      <c r="M36" s="3">
        <f t="shared" si="0"/>
        <v>16484.966011927103</v>
      </c>
      <c r="N36">
        <v>1</v>
      </c>
      <c r="O36">
        <v>1</v>
      </c>
      <c r="P36">
        <v>2</v>
      </c>
      <c r="Q36" s="3">
        <f t="shared" si="36"/>
        <v>312370.76854928012</v>
      </c>
      <c r="R36" s="122">
        <f>VLOOKUP($C36&amp;$D36,Sales!$A$21:$W$209,14,FALSE)</f>
        <v>217839</v>
      </c>
      <c r="S36" s="3">
        <v>4781</v>
      </c>
      <c r="T36" s="3">
        <f t="shared" si="37"/>
        <v>100617.23145071982</v>
      </c>
      <c r="U36" s="122">
        <f>VLOOKUP($C36&amp;$D36,Sales!$A$21:$W$209,17,FALSE)</f>
        <v>249638</v>
      </c>
      <c r="V36" s="3">
        <v>77</v>
      </c>
      <c r="X36" s="27">
        <f t="shared" si="38"/>
        <v>4.5675363204745292</v>
      </c>
      <c r="Y36" s="28">
        <v>0.9</v>
      </c>
      <c r="Z36" s="27">
        <f t="shared" si="4"/>
        <v>4</v>
      </c>
      <c r="AA36" s="132">
        <f t="shared" si="5"/>
        <v>4</v>
      </c>
      <c r="AB36" s="27">
        <f t="shared" si="1"/>
        <v>0.56753632047452918</v>
      </c>
      <c r="AC36" s="5">
        <f>1.5*$AC$9</f>
        <v>1.5</v>
      </c>
      <c r="AD36">
        <f t="shared" si="35"/>
        <v>0.55000000000000004</v>
      </c>
      <c r="AE36" s="24">
        <f t="shared" si="22"/>
        <v>3549.7763908885772</v>
      </c>
      <c r="AF36" s="24">
        <f t="shared" si="7"/>
        <v>5521.8743858266753</v>
      </c>
      <c r="AG36" s="24">
        <f t="shared" si="8"/>
        <v>100000</v>
      </c>
      <c r="AH36" s="24">
        <f t="shared" si="9"/>
        <v>1100000</v>
      </c>
      <c r="AI36" s="5">
        <f t="shared" si="10"/>
        <v>2</v>
      </c>
      <c r="AJ36" s="5">
        <f t="shared" si="23"/>
        <v>0.56100000000000005</v>
      </c>
      <c r="AK36" s="24">
        <f t="shared" si="11"/>
        <v>5782.5817459109985</v>
      </c>
      <c r="AL36" s="24">
        <f t="shared" si="12"/>
        <v>6987.2862763091225</v>
      </c>
      <c r="AM36" s="24">
        <f t="shared" si="13"/>
        <v>240000</v>
      </c>
      <c r="AN36" s="24">
        <f t="shared" si="14"/>
        <v>1280000</v>
      </c>
      <c r="AO36" s="5">
        <f t="shared" si="24"/>
        <v>2.5</v>
      </c>
      <c r="AP36" s="5">
        <f t="shared" si="25"/>
        <v>0.57222000000000006</v>
      </c>
      <c r="AQ36" s="24">
        <f t="shared" si="15"/>
        <v>8260.6515077896056</v>
      </c>
      <c r="AR36" s="24">
        <f t="shared" si="16"/>
        <v>9637.4267590878735</v>
      </c>
      <c r="AS36" s="24">
        <f t="shared" si="17"/>
        <v>1665350</v>
      </c>
      <c r="AT36" s="24">
        <f t="shared" si="18"/>
        <v>2665350</v>
      </c>
      <c r="BA36" s="5">
        <f t="shared" si="26"/>
        <v>2.5</v>
      </c>
      <c r="BB36" s="5">
        <f t="shared" si="27"/>
        <v>0.57222000000000006</v>
      </c>
      <c r="BC36" s="24">
        <f t="shared" si="28"/>
        <v>8260.6515077896056</v>
      </c>
      <c r="BD36" s="24">
        <f t="shared" si="29"/>
        <v>9637.4267590878735</v>
      </c>
      <c r="BE36" s="24">
        <f t="shared" si="30"/>
        <v>1665350</v>
      </c>
      <c r="BF36" s="24">
        <f t="shared" si="31"/>
        <v>2665350</v>
      </c>
      <c r="BI36" t="str">
        <f>RegionWideSubstations!C36</f>
        <v>PUD No 1 of Lewis County</v>
      </c>
      <c r="BJ36" s="417">
        <f>RegionWideSubstations!AE36/8760</f>
        <v>0.40522561539823942</v>
      </c>
      <c r="BK36" s="416">
        <f>RegionWideSubstations!AF36/8760</f>
        <v>0.63035095728615009</v>
      </c>
      <c r="BL36" s="70">
        <f>(RegionWideSubstations!AK36/8760)-BJ36</f>
        <v>0.25488645605278781</v>
      </c>
      <c r="BM36" s="415">
        <f>(RegionWideSubstations!AL36/8760)-BK36</f>
        <v>0.16728446238384109</v>
      </c>
      <c r="BN36" s="70">
        <f>(RegionWideSubstations!AQ36/8760)-BJ36-BL36</f>
        <v>0.28288467601353962</v>
      </c>
      <c r="BO36" s="415">
        <f>(RegionWideSubstations!AR36/8760)-BK36-BM36</f>
        <v>0.30252745237200351</v>
      </c>
      <c r="BP36" s="70">
        <f t="shared" si="19"/>
        <v>0.15716612457742785</v>
      </c>
      <c r="BQ36" s="24">
        <f t="shared" si="20"/>
        <v>1.1001628720419947</v>
      </c>
    </row>
    <row r="37" spans="1:69">
      <c r="A37">
        <f t="shared" si="3"/>
        <v>25</v>
      </c>
      <c r="B37">
        <v>3240</v>
      </c>
      <c r="C37" t="s">
        <v>30</v>
      </c>
      <c r="D37" t="s">
        <v>5</v>
      </c>
      <c r="E37" t="s">
        <v>29</v>
      </c>
      <c r="F37" s="3">
        <v>20024</v>
      </c>
      <c r="G37" s="3">
        <v>783217</v>
      </c>
      <c r="H37" s="122">
        <f>VLOOKUP($C37&amp;$D37,Sales!$A$21:$W$209,23,FALSE)</f>
        <v>811908</v>
      </c>
      <c r="I37" s="3">
        <v>382311</v>
      </c>
      <c r="J37" s="122">
        <f>VLOOKUP($C37&amp;$D37,Sales!$A$21:$W$209,11,FALSE)</f>
        <v>386504</v>
      </c>
      <c r="K37" s="3">
        <v>27085</v>
      </c>
      <c r="L37" s="122">
        <f>VLOOKUP($C37&amp;$D37,Sales!$A$21:$W$209,12,FALSE)</f>
        <v>27848</v>
      </c>
      <c r="M37" s="3">
        <f t="shared" si="0"/>
        <v>14115.229832010338</v>
      </c>
      <c r="N37">
        <v>1</v>
      </c>
      <c r="O37">
        <v>2</v>
      </c>
      <c r="P37">
        <v>2</v>
      </c>
      <c r="Q37" s="3">
        <f t="shared" si="36"/>
        <v>374423.38821138215</v>
      </c>
      <c r="R37" s="122">
        <f>VLOOKUP($C37&amp;$D37,Sales!$A$21:$W$209,14,FALSE)</f>
        <v>262900</v>
      </c>
      <c r="S37" s="3">
        <v>3676</v>
      </c>
      <c r="T37" s="3">
        <f t="shared" si="37"/>
        <v>26482.611788617887</v>
      </c>
      <c r="U37" s="122">
        <f>VLOOKUP($C37&amp;$D37,Sales!$A$21:$W$209,17,FALSE)</f>
        <v>162504</v>
      </c>
      <c r="V37" s="3">
        <v>13</v>
      </c>
      <c r="X37" s="27">
        <f t="shared" si="38"/>
        <v>4.4259015049383805</v>
      </c>
      <c r="Y37" s="28">
        <v>0.9</v>
      </c>
      <c r="Z37" s="27">
        <f t="shared" si="4"/>
        <v>4</v>
      </c>
      <c r="AA37" s="132">
        <f t="shared" si="5"/>
        <v>4</v>
      </c>
      <c r="AB37" s="27">
        <f t="shared" si="1"/>
        <v>0.42590150493838053</v>
      </c>
      <c r="AC37" s="5">
        <f>2*$AC$9</f>
        <v>2</v>
      </c>
      <c r="AD37">
        <f t="shared" si="35"/>
        <v>0.55000000000000004</v>
      </c>
      <c r="AE37" s="24">
        <f t="shared" si="22"/>
        <v>4331.5156115366726</v>
      </c>
      <c r="AF37" s="24">
        <f t="shared" si="7"/>
        <v>6136.3137830102869</v>
      </c>
      <c r="AG37" s="24">
        <f t="shared" si="8"/>
        <v>100000</v>
      </c>
      <c r="AH37" s="24">
        <f t="shared" si="9"/>
        <v>1100000</v>
      </c>
      <c r="AI37" s="5">
        <f t="shared" si="10"/>
        <v>2.5</v>
      </c>
      <c r="AJ37" s="5">
        <f t="shared" si="23"/>
        <v>0.56100000000000005</v>
      </c>
      <c r="AK37" s="24">
        <f t="shared" si="11"/>
        <v>6603.9280664663656</v>
      </c>
      <c r="AL37" s="24">
        <f t="shared" si="12"/>
        <v>7704.5827442107602</v>
      </c>
      <c r="AM37" s="24">
        <f t="shared" si="13"/>
        <v>240000</v>
      </c>
      <c r="AN37" s="24">
        <f t="shared" si="14"/>
        <v>1280000</v>
      </c>
      <c r="AO37" s="5">
        <f t="shared" si="24"/>
        <v>3</v>
      </c>
      <c r="AP37" s="5">
        <f t="shared" si="25"/>
        <v>0.57222000000000006</v>
      </c>
      <c r="AQ37" s="24">
        <f t="shared" si="15"/>
        <v>9072.1870824325088</v>
      </c>
      <c r="AR37" s="24">
        <f t="shared" si="16"/>
        <v>10332.213066103692</v>
      </c>
      <c r="AS37" s="24">
        <f t="shared" si="17"/>
        <v>1772400</v>
      </c>
      <c r="AT37" s="24">
        <f t="shared" si="18"/>
        <v>2772400</v>
      </c>
      <c r="BA37" s="5">
        <f t="shared" si="26"/>
        <v>3</v>
      </c>
      <c r="BB37" s="5">
        <f t="shared" si="27"/>
        <v>0.57222000000000006</v>
      </c>
      <c r="BC37" s="24">
        <f t="shared" si="28"/>
        <v>9072.1870824325088</v>
      </c>
      <c r="BD37" s="24">
        <f t="shared" si="29"/>
        <v>10332.213066103692</v>
      </c>
      <c r="BE37" s="24">
        <f t="shared" si="30"/>
        <v>1772400</v>
      </c>
      <c r="BF37" s="24">
        <f t="shared" si="31"/>
        <v>2772400</v>
      </c>
      <c r="BI37" t="str">
        <f>RegionWideSubstations!C37</f>
        <v>City of Springfield</v>
      </c>
      <c r="BJ37" s="417">
        <f>RegionWideSubstations!AE37/8760</f>
        <v>0.4944652524585243</v>
      </c>
      <c r="BK37" s="416">
        <f>RegionWideSubstations!AF37/8760</f>
        <v>0.70049244098290941</v>
      </c>
      <c r="BL37" s="70">
        <f>(RegionWideSubstations!AK37/8760)-BJ37</f>
        <v>0.25940781448969091</v>
      </c>
      <c r="BM37" s="415">
        <f>(RegionWideSubstations!AL37/8760)-BK37</f>
        <v>0.1790261371233417</v>
      </c>
      <c r="BN37" s="70">
        <f>(RegionWideSubstations!AQ37/8760)-BJ37-BL37</f>
        <v>0.28176472785001644</v>
      </c>
      <c r="BO37" s="415">
        <f>(RegionWideSubstations!AR37/8760)-BK37-BM37</f>
        <v>0.29995779930284616</v>
      </c>
      <c r="BP37" s="70">
        <f t="shared" si="19"/>
        <v>0.14383858261086568</v>
      </c>
      <c r="BQ37" s="24">
        <f t="shared" si="20"/>
        <v>1.1794763774090973</v>
      </c>
    </row>
    <row r="38" spans="1:69">
      <c r="A38">
        <f t="shared" si="3"/>
        <v>26</v>
      </c>
      <c r="B38">
        <v>14109</v>
      </c>
      <c r="C38" t="s">
        <v>31</v>
      </c>
      <c r="D38" t="s">
        <v>1</v>
      </c>
      <c r="E38" t="s">
        <v>29</v>
      </c>
      <c r="F38" s="3">
        <v>20349</v>
      </c>
      <c r="G38" s="3">
        <v>752781</v>
      </c>
      <c r="H38" s="122">
        <f>VLOOKUP($C38&amp;$D38,Sales!$A$21:$W$209,23,FALSE)</f>
        <v>847518</v>
      </c>
      <c r="I38" s="3">
        <v>295048</v>
      </c>
      <c r="J38" s="122">
        <f>VLOOKUP($C38&amp;$D38,Sales!$A$21:$W$209,11,FALSE)</f>
        <v>330864</v>
      </c>
      <c r="K38" s="3">
        <v>18977</v>
      </c>
      <c r="L38" s="122">
        <f>VLOOKUP($C38&amp;$D38,Sales!$A$21:$W$209,12,FALSE)</f>
        <v>22846</v>
      </c>
      <c r="M38" s="3">
        <f t="shared" si="0"/>
        <v>15547.66296042578</v>
      </c>
      <c r="N38">
        <v>1</v>
      </c>
      <c r="O38">
        <v>3</v>
      </c>
      <c r="P38">
        <v>3</v>
      </c>
      <c r="Q38" s="3">
        <f t="shared" si="36"/>
        <v>424367.49658314348</v>
      </c>
      <c r="R38" s="122">
        <f>VLOOKUP($C38&amp;$D38,Sales!$A$21:$W$209,14,FALSE)</f>
        <v>346643</v>
      </c>
      <c r="S38" s="3">
        <v>2035</v>
      </c>
      <c r="T38" s="3">
        <f t="shared" si="37"/>
        <v>33365.503416856489</v>
      </c>
      <c r="U38" s="122">
        <f>VLOOKUP($C38&amp;$D38,Sales!$A$21:$W$209,17,FALSE)</f>
        <v>170011</v>
      </c>
      <c r="V38" s="3">
        <v>8</v>
      </c>
      <c r="X38" s="27">
        <f t="shared" si="38"/>
        <v>4.2539099135859146</v>
      </c>
      <c r="Y38" s="28">
        <v>0.9</v>
      </c>
      <c r="Z38" s="27">
        <f t="shared" si="4"/>
        <v>4</v>
      </c>
      <c r="AA38" s="132">
        <f t="shared" si="5"/>
        <v>4</v>
      </c>
      <c r="AB38" s="27">
        <f t="shared" si="1"/>
        <v>0.25390991358591464</v>
      </c>
      <c r="AC38" s="5">
        <f>2*$AC$9</f>
        <v>2</v>
      </c>
      <c r="AD38">
        <f t="shared" si="35"/>
        <v>0.55000000000000004</v>
      </c>
      <c r="AE38" s="24">
        <f t="shared" si="22"/>
        <v>4292.1078196201252</v>
      </c>
      <c r="AF38" s="24">
        <f t="shared" si="7"/>
        <v>6080.4860777951781</v>
      </c>
      <c r="AG38" s="24">
        <f t="shared" si="8"/>
        <v>100000</v>
      </c>
      <c r="AH38" s="24">
        <f t="shared" si="9"/>
        <v>1100000</v>
      </c>
      <c r="AI38" s="5">
        <f t="shared" si="10"/>
        <v>2.5</v>
      </c>
      <c r="AJ38" s="5">
        <f t="shared" si="23"/>
        <v>0.56100000000000005</v>
      </c>
      <c r="AK38" s="24">
        <f t="shared" si="11"/>
        <v>6605.2304090672515</v>
      </c>
      <c r="AL38" s="24">
        <f t="shared" si="12"/>
        <v>7706.1021439117931</v>
      </c>
      <c r="AM38" s="24">
        <f t="shared" si="13"/>
        <v>240000</v>
      </c>
      <c r="AN38" s="24">
        <f t="shared" si="14"/>
        <v>1280000</v>
      </c>
      <c r="AO38" s="5">
        <f t="shared" si="24"/>
        <v>3</v>
      </c>
      <c r="AP38" s="5">
        <f t="shared" si="25"/>
        <v>0.57222000000000006</v>
      </c>
      <c r="AQ38" s="24">
        <f t="shared" si="15"/>
        <v>9185.0237137288514</v>
      </c>
      <c r="AR38" s="24">
        <f t="shared" si="16"/>
        <v>10460.721451746746</v>
      </c>
      <c r="AS38" s="24">
        <f t="shared" si="17"/>
        <v>1522300</v>
      </c>
      <c r="AT38" s="24">
        <f t="shared" si="18"/>
        <v>2522300</v>
      </c>
      <c r="BA38" s="5">
        <f t="shared" si="26"/>
        <v>3</v>
      </c>
      <c r="BB38" s="5">
        <f t="shared" si="27"/>
        <v>0.57222000000000006</v>
      </c>
      <c r="BC38" s="24">
        <f t="shared" si="28"/>
        <v>9185.0237137288514</v>
      </c>
      <c r="BD38" s="24">
        <f t="shared" si="29"/>
        <v>10460.721451746746</v>
      </c>
      <c r="BE38" s="24">
        <f t="shared" si="30"/>
        <v>1522300</v>
      </c>
      <c r="BF38" s="24">
        <f t="shared" si="31"/>
        <v>2522300</v>
      </c>
      <c r="BI38" t="str">
        <f>RegionWideSubstations!C38</f>
        <v>City of Richland</v>
      </c>
      <c r="BJ38" s="417">
        <f>RegionWideSubstations!AE38/8760</f>
        <v>0.48996664607535673</v>
      </c>
      <c r="BK38" s="416">
        <f>RegionWideSubstations!AF38/8760</f>
        <v>0.69411941527342214</v>
      </c>
      <c r="BL38" s="70">
        <f>(RegionWideSubstations!AK38/8760)-BJ38</f>
        <v>0.26405509011953504</v>
      </c>
      <c r="BM38" s="415">
        <f>(RegionWideSubstations!AL38/8760)-BK38</f>
        <v>0.18557261028728489</v>
      </c>
      <c r="BN38" s="70">
        <f>(RegionWideSubstations!AQ38/8760)-BJ38-BL38</f>
        <v>0.29449695258694059</v>
      </c>
      <c r="BO38" s="415">
        <f>(RegionWideSubstations!AR38/8760)-BK38-BM38</f>
        <v>0.31445425888526857</v>
      </c>
      <c r="BP38" s="70">
        <f t="shared" si="19"/>
        <v>0.14562759566414329</v>
      </c>
      <c r="BQ38" s="24">
        <f t="shared" si="20"/>
        <v>1.1941462844459756</v>
      </c>
    </row>
    <row r="39" spans="1:69">
      <c r="A39">
        <f t="shared" si="3"/>
        <v>27</v>
      </c>
      <c r="B39">
        <v>10944</v>
      </c>
      <c r="C39" s="67" t="s">
        <v>350</v>
      </c>
      <c r="D39" t="s">
        <v>1</v>
      </c>
      <c r="E39" t="s">
        <v>29</v>
      </c>
      <c r="F39" s="3">
        <v>7862</v>
      </c>
      <c r="G39" s="3">
        <v>665404</v>
      </c>
      <c r="H39" s="122">
        <f>VLOOKUP($C39&amp;$D39,Sales!$A$21:$W$209,23,FALSE)</f>
        <v>721701</v>
      </c>
      <c r="I39" s="3">
        <v>130727</v>
      </c>
      <c r="J39" s="122">
        <f>VLOOKUP($C39&amp;$D39,Sales!$A$21:$W$209,11,FALSE)</f>
        <v>133310</v>
      </c>
      <c r="K39" s="3">
        <v>8662</v>
      </c>
      <c r="L39" s="122">
        <f>VLOOKUP($C39&amp;$D39,Sales!$A$21:$W$209,12,FALSE)</f>
        <v>9562</v>
      </c>
      <c r="M39" s="3">
        <f t="shared" si="0"/>
        <v>15092.011082890787</v>
      </c>
      <c r="N39">
        <v>1</v>
      </c>
      <c r="O39">
        <v>1</v>
      </c>
      <c r="P39">
        <v>1</v>
      </c>
      <c r="Q39" s="3">
        <f t="shared" si="36"/>
        <v>511642.98815293482</v>
      </c>
      <c r="R39" s="122">
        <f>VLOOKUP($C39&amp;$D39,Sales!$A$21:$W$209,14,FALSE)</f>
        <v>112336</v>
      </c>
      <c r="S39" s="3">
        <v>1777</v>
      </c>
      <c r="T39" s="3">
        <f t="shared" si="37"/>
        <v>23034.011847065158</v>
      </c>
      <c r="U39" s="122">
        <f>VLOOKUP($C39&amp;$D39,Sales!$A$21:$W$209,17,FALSE)</f>
        <v>476055</v>
      </c>
      <c r="V39" s="3">
        <v>4</v>
      </c>
      <c r="X39" s="27">
        <f t="shared" si="38"/>
        <v>3.7601489306182301</v>
      </c>
      <c r="Y39" s="28">
        <v>0.9</v>
      </c>
      <c r="Z39" s="27">
        <f t="shared" si="4"/>
        <v>3</v>
      </c>
      <c r="AA39" s="132">
        <f t="shared" si="5"/>
        <v>3</v>
      </c>
      <c r="AB39" s="27">
        <f t="shared" si="1"/>
        <v>0.76014893061823008</v>
      </c>
      <c r="AC39" s="5">
        <f>2*$AC$9</f>
        <v>2</v>
      </c>
      <c r="AD39">
        <f t="shared" si="35"/>
        <v>0.55000000000000004</v>
      </c>
      <c r="AE39" s="24">
        <f t="shared" si="22"/>
        <v>1892.6866900789103</v>
      </c>
      <c r="AF39" s="24">
        <f t="shared" si="7"/>
        <v>2681.3061442784565</v>
      </c>
      <c r="AG39" s="24">
        <f t="shared" si="8"/>
        <v>75000</v>
      </c>
      <c r="AH39" s="24">
        <f t="shared" si="9"/>
        <v>825000</v>
      </c>
      <c r="AI39" s="5">
        <f t="shared" si="10"/>
        <v>2.5</v>
      </c>
      <c r="AJ39" s="5">
        <f t="shared" si="23"/>
        <v>0.56100000000000005</v>
      </c>
      <c r="AK39" s="24">
        <f t="shared" si="11"/>
        <v>3198.6855486480799</v>
      </c>
      <c r="AL39" s="24">
        <f t="shared" si="12"/>
        <v>3731.7998067560934</v>
      </c>
      <c r="AM39" s="24">
        <f t="shared" si="13"/>
        <v>180000</v>
      </c>
      <c r="AN39" s="24">
        <f t="shared" si="14"/>
        <v>960000</v>
      </c>
      <c r="AO39" s="5">
        <f t="shared" si="24"/>
        <v>3</v>
      </c>
      <c r="AP39" s="5">
        <f t="shared" si="25"/>
        <v>0.57222000000000006</v>
      </c>
      <c r="AQ39" s="24">
        <f t="shared" si="15"/>
        <v>4761.294074475436</v>
      </c>
      <c r="AR39" s="24">
        <f t="shared" si="16"/>
        <v>5422.5849181525791</v>
      </c>
      <c r="AS39" s="24">
        <f t="shared" si="17"/>
        <v>763100</v>
      </c>
      <c r="AT39" s="24">
        <f t="shared" si="18"/>
        <v>1513100</v>
      </c>
      <c r="BA39" s="5">
        <f t="shared" si="26"/>
        <v>3</v>
      </c>
      <c r="BB39" s="5">
        <f t="shared" si="27"/>
        <v>0.57222000000000006</v>
      </c>
      <c r="BC39" s="24">
        <f t="shared" si="28"/>
        <v>4761.294074475436</v>
      </c>
      <c r="BD39" s="24">
        <f t="shared" si="29"/>
        <v>5422.5849181525791</v>
      </c>
      <c r="BE39" s="24">
        <f t="shared" si="30"/>
        <v>763100</v>
      </c>
      <c r="BF39" s="24">
        <f t="shared" si="31"/>
        <v>1513100</v>
      </c>
      <c r="BI39" t="str">
        <f>RegionWideSubstations!C39</f>
        <v>Port Angeles City of</v>
      </c>
      <c r="BJ39" s="417">
        <f>RegionWideSubstations!AE39/8760</f>
        <v>0.21606012443823178</v>
      </c>
      <c r="BK39" s="416">
        <f>RegionWideSubstations!AF39/8760</f>
        <v>0.30608517628749504</v>
      </c>
      <c r="BL39" s="70">
        <f>(RegionWideSubstations!AK39/8760)-BJ39</f>
        <v>0.14908662769054445</v>
      </c>
      <c r="BM39" s="415">
        <f>(RegionWideSubstations!AL39/8760)-BK39</f>
        <v>0.11991936786274393</v>
      </c>
      <c r="BN39" s="70">
        <f>(RegionWideSubstations!AQ39/8760)-BJ39-BL39</f>
        <v>0.17837996870175302</v>
      </c>
      <c r="BO39" s="415">
        <f>(RegionWideSubstations!AR39/8760)-BK39-BM39</f>
        <v>0.19301199901786364</v>
      </c>
      <c r="BP39" s="70">
        <f t="shared" si="19"/>
        <v>7.5489822337573398E-2</v>
      </c>
      <c r="BQ39" s="24">
        <f t="shared" si="20"/>
        <v>0.61901654316810262</v>
      </c>
    </row>
    <row r="40" spans="1:69">
      <c r="A40">
        <f t="shared" si="3"/>
        <v>28</v>
      </c>
      <c r="B40">
        <v>9187</v>
      </c>
      <c r="C40" s="67" t="s">
        <v>334</v>
      </c>
      <c r="D40" t="s">
        <v>3</v>
      </c>
      <c r="E40" t="s">
        <v>29</v>
      </c>
      <c r="F40" s="3">
        <v>18489</v>
      </c>
      <c r="G40" s="3">
        <v>651095</v>
      </c>
      <c r="H40" s="122">
        <f>VLOOKUP($C40&amp;$D40,Sales!$A$21:$W$209,23,FALSE)</f>
        <v>627880</v>
      </c>
      <c r="I40" s="3">
        <v>272395</v>
      </c>
      <c r="J40" s="122">
        <f>VLOOKUP($C40&amp;$D40,Sales!$A$21:$W$209,11,FALSE)</f>
        <v>279649</v>
      </c>
      <c r="K40" s="3">
        <v>20721</v>
      </c>
      <c r="L40" s="122">
        <f>VLOOKUP($C40&amp;$D40,Sales!$A$21:$W$209,12,FALSE)</f>
        <v>22449</v>
      </c>
      <c r="M40" s="3">
        <f t="shared" si="0"/>
        <v>13145.842382124416</v>
      </c>
      <c r="N40">
        <v>3</v>
      </c>
      <c r="O40">
        <v>2</v>
      </c>
      <c r="P40">
        <v>3</v>
      </c>
      <c r="Q40" s="3">
        <f t="shared" si="36"/>
        <v>362359.11542610568</v>
      </c>
      <c r="R40" s="122">
        <f>VLOOKUP($C40&amp;$D40,Sales!$A$21:$W$209,14,FALSE)</f>
        <v>261215</v>
      </c>
      <c r="S40" s="3">
        <v>3548</v>
      </c>
      <c r="T40" s="3">
        <f t="shared" si="37"/>
        <v>16340.884573894282</v>
      </c>
      <c r="U40" s="122">
        <f>VLOOKUP($C40&amp;$D40,Sales!$A$21:$W$209,17,FALSE)</f>
        <v>87016</v>
      </c>
      <c r="V40" s="3">
        <v>8</v>
      </c>
      <c r="X40" s="27">
        <f t="shared" si="38"/>
        <v>3.67928982690347</v>
      </c>
      <c r="Y40" s="28">
        <v>0.9</v>
      </c>
      <c r="Z40" s="27">
        <f t="shared" si="4"/>
        <v>3</v>
      </c>
      <c r="AA40" s="132">
        <f t="shared" si="5"/>
        <v>3</v>
      </c>
      <c r="AB40" s="27">
        <f t="shared" si="1"/>
        <v>0.67928982690346995</v>
      </c>
      <c r="AC40" s="5">
        <f>2*$AC$9</f>
        <v>2</v>
      </c>
      <c r="AD40">
        <f t="shared" si="35"/>
        <v>0.55000000000000004</v>
      </c>
      <c r="AE40" s="24">
        <f t="shared" si="22"/>
        <v>3440.5420793746489</v>
      </c>
      <c r="AF40" s="24">
        <f t="shared" si="7"/>
        <v>4874.1012791140856</v>
      </c>
      <c r="AG40" s="24">
        <f t="shared" si="8"/>
        <v>75000</v>
      </c>
      <c r="AH40" s="24">
        <f t="shared" si="9"/>
        <v>825000</v>
      </c>
      <c r="AI40" s="5">
        <f t="shared" si="10"/>
        <v>2.5</v>
      </c>
      <c r="AJ40" s="5">
        <f t="shared" si="23"/>
        <v>0.56100000000000005</v>
      </c>
      <c r="AK40" s="24">
        <f t="shared" si="11"/>
        <v>5245.946152788566</v>
      </c>
      <c r="AL40" s="24">
        <f t="shared" si="12"/>
        <v>6120.2705115866602</v>
      </c>
      <c r="AM40" s="24">
        <f t="shared" si="13"/>
        <v>180000</v>
      </c>
      <c r="AN40" s="24">
        <f t="shared" si="14"/>
        <v>960000</v>
      </c>
      <c r="AO40" s="5">
        <f t="shared" si="24"/>
        <v>3</v>
      </c>
      <c r="AP40" s="5">
        <f t="shared" si="25"/>
        <v>0.57222000000000006</v>
      </c>
      <c r="AQ40" s="24">
        <f t="shared" si="15"/>
        <v>7230.768821869724</v>
      </c>
      <c r="AR40" s="24">
        <f t="shared" si="16"/>
        <v>8235.0422693516302</v>
      </c>
      <c r="AS40" s="24">
        <f t="shared" si="17"/>
        <v>1407450</v>
      </c>
      <c r="AT40" s="24">
        <f t="shared" si="18"/>
        <v>2157450</v>
      </c>
      <c r="BA40" s="5">
        <f t="shared" si="26"/>
        <v>3</v>
      </c>
      <c r="BB40" s="5">
        <f t="shared" si="27"/>
        <v>0.57222000000000006</v>
      </c>
      <c r="BC40" s="24">
        <f t="shared" si="28"/>
        <v>7230.768821869724</v>
      </c>
      <c r="BD40" s="24">
        <f t="shared" si="29"/>
        <v>8235.0422693516302</v>
      </c>
      <c r="BE40" s="24">
        <f t="shared" si="30"/>
        <v>1407450</v>
      </c>
      <c r="BF40" s="24">
        <f t="shared" si="31"/>
        <v>2157450</v>
      </c>
      <c r="BI40" t="str">
        <f>RegionWideSubstations!C40</f>
        <v>Idaho Falls City of</v>
      </c>
      <c r="BJ40" s="417">
        <f>RegionWideSubstations!AE40/8760</f>
        <v>0.39275594513409234</v>
      </c>
      <c r="BK40" s="416">
        <f>RegionWideSubstations!AF40/8760</f>
        <v>0.55640425560663076</v>
      </c>
      <c r="BL40" s="70">
        <f>(RegionWideSubstations!AK40/8760)-BJ40</f>
        <v>0.20609635541254762</v>
      </c>
      <c r="BM40" s="415">
        <f>(RegionWideSubstations!AL40/8760)-BK40</f>
        <v>0.14225676169778245</v>
      </c>
      <c r="BN40" s="70">
        <f>(RegionWideSubstations!AQ40/8760)-BJ40-BL40</f>
        <v>0.22657793026040618</v>
      </c>
      <c r="BO40" s="415">
        <f>(RegionWideSubstations!AR40/8760)-BK40-BM40</f>
        <v>0.24141230111472267</v>
      </c>
      <c r="BP40" s="70">
        <f t="shared" si="19"/>
        <v>0.11464308761208974</v>
      </c>
      <c r="BQ40" s="24">
        <f t="shared" si="20"/>
        <v>0.94007331841913588</v>
      </c>
    </row>
    <row r="41" spans="1:69">
      <c r="A41">
        <f t="shared" si="3"/>
        <v>29</v>
      </c>
      <c r="B41">
        <v>15979</v>
      </c>
      <c r="C41" t="s">
        <v>70</v>
      </c>
      <c r="D41" t="s">
        <v>1</v>
      </c>
      <c r="E41" t="s">
        <v>62</v>
      </c>
      <c r="F41" s="3">
        <v>24052</v>
      </c>
      <c r="G41" s="3">
        <v>618256</v>
      </c>
      <c r="H41" s="122">
        <f>VLOOKUP($C41&amp;$D41,Sales!$A$21:$W$209,23,FALSE)</f>
        <v>663537</v>
      </c>
      <c r="I41" s="3">
        <v>369780</v>
      </c>
      <c r="J41" s="122">
        <f>VLOOKUP($C41&amp;$D41,Sales!$A$21:$W$209,11,FALSE)</f>
        <v>425976</v>
      </c>
      <c r="K41" s="3">
        <v>28619</v>
      </c>
      <c r="L41" s="122">
        <f>VLOOKUP($C41&amp;$D41,Sales!$A$21:$W$209,12,FALSE)</f>
        <v>30001</v>
      </c>
      <c r="M41" s="3">
        <f t="shared" si="0"/>
        <v>12920.786889828436</v>
      </c>
      <c r="N41">
        <v>1</v>
      </c>
      <c r="O41">
        <v>1</v>
      </c>
      <c r="P41">
        <v>1</v>
      </c>
      <c r="Q41" s="3">
        <f t="shared" si="36"/>
        <v>246247.51569506727</v>
      </c>
      <c r="R41" s="122">
        <f>VLOOKUP($C41&amp;$D41,Sales!$A$21:$W$209,14,FALSE)</f>
        <v>185203</v>
      </c>
      <c r="S41" s="3">
        <v>2210</v>
      </c>
      <c r="T41" s="3">
        <f t="shared" si="37"/>
        <v>2228.4843049327355</v>
      </c>
      <c r="U41" s="122">
        <f>VLOOKUP($C41&amp;$D41,Sales!$A$21:$W$209,17,FALSE)</f>
        <v>52358</v>
      </c>
      <c r="V41" s="3">
        <v>1</v>
      </c>
      <c r="X41" s="27">
        <f t="shared" si="38"/>
        <v>3.4937190597716641</v>
      </c>
      <c r="Y41" s="28">
        <v>0.9</v>
      </c>
      <c r="Z41" s="27">
        <f t="shared" si="4"/>
        <v>3</v>
      </c>
      <c r="AA41" s="132">
        <f t="shared" si="5"/>
        <v>3</v>
      </c>
      <c r="AB41" s="27">
        <f t="shared" si="1"/>
        <v>0.49371905977166408</v>
      </c>
      <c r="AC41" s="5">
        <f>2*$AC$9</f>
        <v>2</v>
      </c>
      <c r="AD41">
        <f t="shared" si="35"/>
        <v>0.55000000000000004</v>
      </c>
      <c r="AE41" s="24">
        <f t="shared" si="22"/>
        <v>4200.4051600385419</v>
      </c>
      <c r="AF41" s="24">
        <f t="shared" si="7"/>
        <v>5950.5739767212681</v>
      </c>
      <c r="AG41" s="24">
        <f t="shared" si="8"/>
        <v>75000</v>
      </c>
      <c r="AH41" s="24">
        <f t="shared" si="9"/>
        <v>825000</v>
      </c>
      <c r="AI41" s="5">
        <f t="shared" si="10"/>
        <v>2.5</v>
      </c>
      <c r="AJ41" s="5">
        <f t="shared" si="23"/>
        <v>0.56100000000000005</v>
      </c>
      <c r="AK41" s="24">
        <f t="shared" si="11"/>
        <v>6278.241190256309</v>
      </c>
      <c r="AL41" s="24">
        <f t="shared" si="12"/>
        <v>7324.6147219656932</v>
      </c>
      <c r="AM41" s="24">
        <f t="shared" si="13"/>
        <v>180000</v>
      </c>
      <c r="AN41" s="24">
        <f t="shared" si="14"/>
        <v>960000</v>
      </c>
      <c r="AO41" s="5">
        <f t="shared" si="24"/>
        <v>3</v>
      </c>
      <c r="AP41" s="5">
        <f t="shared" si="25"/>
        <v>0.57222000000000006</v>
      </c>
      <c r="AQ41" s="24">
        <f t="shared" si="15"/>
        <v>8445.3590432342589</v>
      </c>
      <c r="AR41" s="24">
        <f t="shared" si="16"/>
        <v>9618.3255770167943</v>
      </c>
      <c r="AS41" s="24">
        <f t="shared" si="17"/>
        <v>1785050</v>
      </c>
      <c r="AT41" s="24">
        <f t="shared" si="18"/>
        <v>2535050</v>
      </c>
      <c r="BA41" s="5">
        <f t="shared" si="26"/>
        <v>3</v>
      </c>
      <c r="BB41" s="5">
        <f t="shared" si="27"/>
        <v>0.57222000000000006</v>
      </c>
      <c r="BC41" s="24">
        <f t="shared" si="28"/>
        <v>8445.3590432342589</v>
      </c>
      <c r="BD41" s="24">
        <f t="shared" si="29"/>
        <v>9618.3255770167943</v>
      </c>
      <c r="BE41" s="24">
        <f t="shared" si="30"/>
        <v>1785050</v>
      </c>
      <c r="BF41" s="24">
        <f t="shared" si="31"/>
        <v>2535050</v>
      </c>
      <c r="BI41" t="str">
        <f>RegionWideSubstations!C41</f>
        <v>PUD No 3 of Mason County</v>
      </c>
      <c r="BJ41" s="417">
        <f>RegionWideSubstations!AE41/8760</f>
        <v>0.47949830594047282</v>
      </c>
      <c r="BK41" s="416">
        <f>RegionWideSubstations!AF41/8760</f>
        <v>0.67928926674900325</v>
      </c>
      <c r="BL41" s="70">
        <f>(RegionWideSubstations!AK41/8760)-BJ41</f>
        <v>0.23719589386047568</v>
      </c>
      <c r="BM41" s="415">
        <f>(RegionWideSubstations!AL41/8760)-BK41</f>
        <v>0.15685396635210325</v>
      </c>
      <c r="BN41" s="70">
        <f>(RegionWideSubstations!AQ41/8760)-BJ41-BL41</f>
        <v>0.24738788276003998</v>
      </c>
      <c r="BO41" s="415">
        <f>(RegionWideSubstations!AR41/8760)-BK41-BM41</f>
        <v>0.26183913870446363</v>
      </c>
      <c r="BP41" s="70">
        <f t="shared" si="19"/>
        <v>0.13390028924458164</v>
      </c>
      <c r="BQ41" s="24">
        <f t="shared" si="20"/>
        <v>1.0979823718055701</v>
      </c>
    </row>
    <row r="42" spans="1:69">
      <c r="A42">
        <f t="shared" si="3"/>
        <v>30</v>
      </c>
      <c r="B42">
        <v>6716</v>
      </c>
      <c r="C42" t="s">
        <v>99</v>
      </c>
      <c r="D42" t="s">
        <v>5</v>
      </c>
      <c r="E42" t="s">
        <v>91</v>
      </c>
      <c r="F42" s="3">
        <v>20291</v>
      </c>
      <c r="G42" s="10">
        <v>617168</v>
      </c>
      <c r="H42" s="122">
        <f>VLOOKUP($C42&amp;$D42,Sales!$A$21:$W$209,23,FALSE)</f>
        <v>392705</v>
      </c>
      <c r="I42" s="3">
        <v>251024</v>
      </c>
      <c r="J42" s="122">
        <f>VLOOKUP($C42&amp;$D42,Sales!$A$21:$W$209,11,FALSE)</f>
        <v>269083</v>
      </c>
      <c r="K42" s="3">
        <v>18587</v>
      </c>
      <c r="L42" s="122">
        <f>VLOOKUP($C42&amp;$D42,Sales!$A$21:$W$209,12,FALSE)</f>
        <v>19723</v>
      </c>
      <c r="M42" s="3">
        <f t="shared" si="0"/>
        <v>13505.353203852153</v>
      </c>
      <c r="N42">
        <v>1</v>
      </c>
      <c r="O42">
        <v>1</v>
      </c>
      <c r="P42">
        <v>2</v>
      </c>
      <c r="Q42" s="3">
        <f t="shared" si="36"/>
        <v>24875.24497991968</v>
      </c>
      <c r="R42" s="122">
        <f>VLOOKUP($C42&amp;$D42,Sales!$A$21:$W$209,14,FALSE)</f>
        <v>104203</v>
      </c>
      <c r="S42" s="3">
        <v>812</v>
      </c>
      <c r="T42" s="3">
        <f t="shared" si="37"/>
        <v>341268.75502008037</v>
      </c>
      <c r="U42" s="122">
        <f>VLOOKUP($C42&amp;$D42,Sales!$A$21:$W$209,17,FALSE)</f>
        <v>19419</v>
      </c>
      <c r="V42" s="3">
        <v>557</v>
      </c>
      <c r="X42" s="27">
        <f t="shared" si="38"/>
        <v>3.4875708520113973</v>
      </c>
      <c r="Y42" s="28">
        <v>0.9</v>
      </c>
      <c r="Z42" s="27">
        <f t="shared" si="4"/>
        <v>3</v>
      </c>
      <c r="AA42" s="132">
        <f t="shared" si="5"/>
        <v>4</v>
      </c>
      <c r="AB42" s="27">
        <f t="shared" si="1"/>
        <v>0.48757085201139727</v>
      </c>
      <c r="AC42" s="5">
        <f t="shared" ref="AC42:AC59" si="39">1.5*$AC$9</f>
        <v>1.5</v>
      </c>
      <c r="AD42">
        <f t="shared" si="35"/>
        <v>0.55000000000000004</v>
      </c>
      <c r="AE42" s="24">
        <f t="shared" si="22"/>
        <v>1938.3807958648283</v>
      </c>
      <c r="AF42" s="24">
        <f t="shared" si="7"/>
        <v>3015.2590157897325</v>
      </c>
      <c r="AG42" s="24">
        <f t="shared" si="8"/>
        <v>100000</v>
      </c>
      <c r="AH42" s="24">
        <f t="shared" si="9"/>
        <v>1100000</v>
      </c>
      <c r="AI42" s="5">
        <f t="shared" si="10"/>
        <v>2</v>
      </c>
      <c r="AJ42" s="5">
        <f t="shared" si="23"/>
        <v>0.56100000000000005</v>
      </c>
      <c r="AK42" s="24">
        <f t="shared" si="11"/>
        <v>3077.5189202344986</v>
      </c>
      <c r="AL42" s="24">
        <f t="shared" si="12"/>
        <v>3718.6686952833525</v>
      </c>
      <c r="AM42" s="24">
        <f t="shared" si="13"/>
        <v>240000</v>
      </c>
      <c r="AN42" s="24">
        <f t="shared" si="14"/>
        <v>1280000</v>
      </c>
      <c r="AO42" s="5">
        <f t="shared" si="24"/>
        <v>2.5</v>
      </c>
      <c r="AP42" s="5">
        <f t="shared" si="25"/>
        <v>0.57222000000000006</v>
      </c>
      <c r="AQ42" s="24">
        <f t="shared" si="15"/>
        <v>4292.475959265169</v>
      </c>
      <c r="AR42" s="24">
        <f t="shared" si="16"/>
        <v>5007.8886191426973</v>
      </c>
      <c r="AS42" s="24">
        <f t="shared" si="17"/>
        <v>1366150</v>
      </c>
      <c r="AT42" s="24">
        <f t="shared" si="18"/>
        <v>2366150</v>
      </c>
      <c r="BA42" s="5">
        <f t="shared" si="26"/>
        <v>2.5</v>
      </c>
      <c r="BB42" s="5">
        <f t="shared" si="27"/>
        <v>0.57222000000000006</v>
      </c>
      <c r="BC42" s="24">
        <f t="shared" si="28"/>
        <v>4292.475959265169</v>
      </c>
      <c r="BD42" s="24">
        <f t="shared" si="29"/>
        <v>5007.8886191426973</v>
      </c>
      <c r="BE42" s="24">
        <f t="shared" si="30"/>
        <v>1366150</v>
      </c>
      <c r="BF42" s="24">
        <f t="shared" si="31"/>
        <v>2366150</v>
      </c>
      <c r="BI42" t="str">
        <f>RegionWideSubstations!C42</f>
        <v>Consumers Power, Inc</v>
      </c>
      <c r="BJ42" s="417">
        <f>RegionWideSubstations!AE42/8760</f>
        <v>0.22127634655991191</v>
      </c>
      <c r="BK42" s="416">
        <f>RegionWideSubstations!AF42/8760</f>
        <v>0.34420765020430738</v>
      </c>
      <c r="BL42" s="70">
        <f>(RegionWideSubstations!AK42/8760)-BJ42</f>
        <v>0.1300385986723368</v>
      </c>
      <c r="BM42" s="415">
        <f>(RegionWideSubstations!AL42/8760)-BK42</f>
        <v>8.029790861799313E-2</v>
      </c>
      <c r="BN42" s="70">
        <f>(RegionWideSubstations!AQ42/8760)-BJ42-BL42</f>
        <v>0.13869372591674317</v>
      </c>
      <c r="BO42" s="415">
        <f>(RegionWideSubstations!AR42/8760)-BK42-BM42</f>
        <v>0.14717122418485667</v>
      </c>
      <c r="BP42" s="70">
        <f t="shared" si="19"/>
        <v>8.1668111858165304E-2</v>
      </c>
      <c r="BQ42" s="24">
        <f t="shared" si="20"/>
        <v>0.57167678300715719</v>
      </c>
    </row>
    <row r="43" spans="1:69">
      <c r="A43">
        <f t="shared" si="3"/>
        <v>31</v>
      </c>
      <c r="B43">
        <v>10454</v>
      </c>
      <c r="C43" t="s">
        <v>114</v>
      </c>
      <c r="D43" t="s">
        <v>5</v>
      </c>
      <c r="E43" t="s">
        <v>91</v>
      </c>
      <c r="F43" s="3">
        <v>10857</v>
      </c>
      <c r="G43" s="3">
        <v>597904</v>
      </c>
      <c r="H43" s="122">
        <f>VLOOKUP($C43&amp;$D43,Sales!$A$21:$W$209,23,FALSE)</f>
        <v>973381</v>
      </c>
      <c r="I43" s="3">
        <v>153858</v>
      </c>
      <c r="J43" s="122">
        <f>VLOOKUP($C43&amp;$D43,Sales!$A$21:$W$209,11,FALSE)</f>
        <v>164377</v>
      </c>
      <c r="K43" s="3">
        <v>10285</v>
      </c>
      <c r="L43" s="122">
        <f>VLOOKUP($C43&amp;$D43,Sales!$A$21:$W$209,12,FALSE)</f>
        <v>10961</v>
      </c>
      <c r="M43" s="3">
        <f t="shared" si="0"/>
        <v>14959.455517744289</v>
      </c>
      <c r="N43">
        <v>1</v>
      </c>
      <c r="O43">
        <v>3</v>
      </c>
      <c r="P43">
        <v>3</v>
      </c>
      <c r="Q43" s="3">
        <f t="shared" si="36"/>
        <v>401524.49521203828</v>
      </c>
      <c r="R43" s="122">
        <f>VLOOKUP($C43&amp;$D43,Sales!$A$21:$W$209,14,FALSE)</f>
        <v>167374</v>
      </c>
      <c r="S43" s="3">
        <v>1322</v>
      </c>
      <c r="T43" s="3">
        <f t="shared" si="37"/>
        <v>42521.50478796169</v>
      </c>
      <c r="U43" s="122">
        <f>VLOOKUP($C43&amp;$D43,Sales!$A$21:$W$209,17,FALSE)</f>
        <v>641630</v>
      </c>
      <c r="V43" s="3">
        <v>7</v>
      </c>
      <c r="X43" s="27">
        <f t="shared" si="38"/>
        <v>3.3787114087266716</v>
      </c>
      <c r="Y43" s="28">
        <v>0.9</v>
      </c>
      <c r="Z43" s="27">
        <f t="shared" si="4"/>
        <v>3</v>
      </c>
      <c r="AA43" s="132">
        <f t="shared" si="5"/>
        <v>3</v>
      </c>
      <c r="AB43" s="27">
        <f t="shared" si="1"/>
        <v>0.37871140872667164</v>
      </c>
      <c r="AC43" s="5">
        <f t="shared" si="39"/>
        <v>1.5</v>
      </c>
      <c r="AD43">
        <f t="shared" si="35"/>
        <v>0.55000000000000004</v>
      </c>
      <c r="AE43" s="24">
        <f t="shared" si="22"/>
        <v>1879.5236065058114</v>
      </c>
      <c r="AF43" s="24">
        <f t="shared" si="7"/>
        <v>2923.7033878979287</v>
      </c>
      <c r="AG43" s="24">
        <f t="shared" si="8"/>
        <v>75000</v>
      </c>
      <c r="AH43" s="24">
        <f t="shared" si="9"/>
        <v>825000</v>
      </c>
      <c r="AI43" s="5">
        <f t="shared" si="10"/>
        <v>2</v>
      </c>
      <c r="AJ43" s="5">
        <f t="shared" si="23"/>
        <v>0.56100000000000005</v>
      </c>
      <c r="AK43" s="24">
        <f t="shared" si="11"/>
        <v>3404.6434338644758</v>
      </c>
      <c r="AL43" s="24">
        <f t="shared" si="12"/>
        <v>4113.9441492529086</v>
      </c>
      <c r="AM43" s="24">
        <f t="shared" si="13"/>
        <v>180000</v>
      </c>
      <c r="AN43" s="24">
        <f t="shared" si="14"/>
        <v>960000</v>
      </c>
      <c r="AO43" s="5">
        <f t="shared" si="24"/>
        <v>2.5</v>
      </c>
      <c r="AP43" s="5">
        <f t="shared" si="25"/>
        <v>0.57222000000000006</v>
      </c>
      <c r="AQ43" s="24">
        <f t="shared" si="15"/>
        <v>5304.2089258982287</v>
      </c>
      <c r="AR43" s="24">
        <f t="shared" si="16"/>
        <v>6188.2437468812668</v>
      </c>
      <c r="AS43" s="24">
        <f t="shared" si="17"/>
        <v>833050</v>
      </c>
      <c r="AT43" s="24">
        <f t="shared" si="18"/>
        <v>1583050</v>
      </c>
      <c r="BA43" s="5">
        <f t="shared" si="26"/>
        <v>2.5</v>
      </c>
      <c r="BB43" s="5">
        <f t="shared" si="27"/>
        <v>0.57222000000000006</v>
      </c>
      <c r="BC43" s="24">
        <f t="shared" si="28"/>
        <v>5304.2089258982287</v>
      </c>
      <c r="BD43" s="24">
        <f t="shared" si="29"/>
        <v>6188.2437468812668</v>
      </c>
      <c r="BE43" s="24">
        <f t="shared" si="30"/>
        <v>833050</v>
      </c>
      <c r="BF43" s="24">
        <f t="shared" si="31"/>
        <v>1583050</v>
      </c>
      <c r="BI43" t="str">
        <f>RegionWideSubstations!C43</f>
        <v>Umatilla Electric Coop Assn</v>
      </c>
      <c r="BJ43" s="417">
        <f>RegionWideSubstations!AE43/8760</f>
        <v>0.21455748932714741</v>
      </c>
      <c r="BK43" s="416">
        <f>RegionWideSubstations!AF43/8760</f>
        <v>0.33375609450889598</v>
      </c>
      <c r="BL43" s="70">
        <f>(RegionWideSubstations!AK43/8760)-BJ43</f>
        <v>0.17410043691308957</v>
      </c>
      <c r="BM43" s="415">
        <f>(RegionWideSubstations!AL43/8760)-BK43</f>
        <v>0.1358722330313904</v>
      </c>
      <c r="BN43" s="70">
        <f>(RegionWideSubstations!AQ43/8760)-BJ43-BL43</f>
        <v>0.21684537580293983</v>
      </c>
      <c r="BO43" s="415">
        <f>(RegionWideSubstations!AR43/8760)-BK43-BM43</f>
        <v>0.23679219151008657</v>
      </c>
      <c r="BP43" s="70">
        <f t="shared" si="19"/>
        <v>0.10091721700719614</v>
      </c>
      <c r="BQ43" s="24">
        <f t="shared" si="20"/>
        <v>0.70642051905037295</v>
      </c>
    </row>
    <row r="44" spans="1:69">
      <c r="A44">
        <f t="shared" si="3"/>
        <v>32</v>
      </c>
      <c r="B44">
        <v>4743</v>
      </c>
      <c r="C44" t="s">
        <v>71</v>
      </c>
      <c r="D44" t="s">
        <v>1</v>
      </c>
      <c r="E44" t="s">
        <v>62</v>
      </c>
      <c r="F44" s="3">
        <v>27737</v>
      </c>
      <c r="G44" s="3">
        <v>595906</v>
      </c>
      <c r="H44" s="122">
        <f>VLOOKUP($C44&amp;$D44,Sales!$A$21:$W$209,23,FALSE)</f>
        <v>647502</v>
      </c>
      <c r="I44" s="3">
        <v>402235</v>
      </c>
      <c r="J44" s="122">
        <f>VLOOKUP($C44&amp;$D44,Sales!$A$21:$W$209,11,FALSE)</f>
        <v>446567</v>
      </c>
      <c r="K44" s="3">
        <v>25376</v>
      </c>
      <c r="L44" s="122">
        <f>VLOOKUP($C44&amp;$D44,Sales!$A$21:$W$209,12,FALSE)</f>
        <v>27183</v>
      </c>
      <c r="M44" s="3">
        <f t="shared" si="0"/>
        <v>15851.000945775535</v>
      </c>
      <c r="N44">
        <v>1</v>
      </c>
      <c r="O44">
        <v>1</v>
      </c>
      <c r="P44">
        <v>1</v>
      </c>
      <c r="Q44" s="3">
        <f t="shared" si="36"/>
        <v>52933.0912394025</v>
      </c>
      <c r="R44" s="122">
        <f>VLOOKUP($C44&amp;$D44,Sales!$A$21:$W$209,14,FALSE)</f>
        <v>172056</v>
      </c>
      <c r="S44" s="3">
        <v>2708</v>
      </c>
      <c r="T44" s="3">
        <f t="shared" si="37"/>
        <v>140737.90876059749</v>
      </c>
      <c r="U44" s="122">
        <f>VLOOKUP($C44&amp;$D44,Sales!$A$21:$W$209,17,FALSE)</f>
        <v>28879</v>
      </c>
      <c r="V44" s="3">
        <v>360</v>
      </c>
      <c r="X44" s="27">
        <f t="shared" si="38"/>
        <v>3.3674208580786815</v>
      </c>
      <c r="Y44" s="28">
        <v>0.9</v>
      </c>
      <c r="Z44" s="27">
        <f t="shared" si="4"/>
        <v>3</v>
      </c>
      <c r="AA44" s="132">
        <f t="shared" si="5"/>
        <v>4</v>
      </c>
      <c r="AB44" s="27">
        <f t="shared" si="1"/>
        <v>0.36742085807868152</v>
      </c>
      <c r="AC44" s="5">
        <f t="shared" si="39"/>
        <v>1.5</v>
      </c>
      <c r="AD44">
        <f t="shared" si="35"/>
        <v>0.55000000000000004</v>
      </c>
      <c r="AE44" s="24">
        <f t="shared" si="22"/>
        <v>3212.0839967415868</v>
      </c>
      <c r="AF44" s="24">
        <f t="shared" si="7"/>
        <v>4996.5751060424682</v>
      </c>
      <c r="AG44" s="24">
        <f t="shared" si="8"/>
        <v>100000</v>
      </c>
      <c r="AH44" s="24">
        <f t="shared" si="9"/>
        <v>1100000</v>
      </c>
      <c r="AI44" s="5">
        <f t="shared" si="10"/>
        <v>2</v>
      </c>
      <c r="AJ44" s="5">
        <f t="shared" si="23"/>
        <v>0.56100000000000005</v>
      </c>
      <c r="AK44" s="24">
        <f t="shared" si="11"/>
        <v>5097.3823404116874</v>
      </c>
      <c r="AL44" s="24">
        <f t="shared" si="12"/>
        <v>6159.3369946641214</v>
      </c>
      <c r="AM44" s="24">
        <f t="shared" si="13"/>
        <v>240000</v>
      </c>
      <c r="AN44" s="24">
        <f t="shared" si="14"/>
        <v>1280000</v>
      </c>
      <c r="AO44" s="5">
        <f t="shared" si="24"/>
        <v>2.5</v>
      </c>
      <c r="AP44" s="5">
        <f t="shared" si="25"/>
        <v>0.57222000000000006</v>
      </c>
      <c r="AQ44" s="24">
        <f t="shared" si="15"/>
        <v>7106.5365260370072</v>
      </c>
      <c r="AR44" s="24">
        <f t="shared" si="16"/>
        <v>8290.9592803765081</v>
      </c>
      <c r="AS44" s="24">
        <f t="shared" si="17"/>
        <v>1739150</v>
      </c>
      <c r="AT44" s="24">
        <f t="shared" si="18"/>
        <v>2739150</v>
      </c>
      <c r="BA44" s="5">
        <f t="shared" si="26"/>
        <v>2.5</v>
      </c>
      <c r="BB44" s="5">
        <f t="shared" si="27"/>
        <v>0.57222000000000006</v>
      </c>
      <c r="BC44" s="24">
        <f t="shared" si="28"/>
        <v>7106.5365260370072</v>
      </c>
      <c r="BD44" s="24">
        <f t="shared" si="29"/>
        <v>8290.9592803765081</v>
      </c>
      <c r="BE44" s="24">
        <f t="shared" si="30"/>
        <v>1739150</v>
      </c>
      <c r="BF44" s="24">
        <f t="shared" si="31"/>
        <v>2739150</v>
      </c>
      <c r="BI44" t="str">
        <f>RegionWideSubstations!C44</f>
        <v>PUD No 1 of Clallam County</v>
      </c>
      <c r="BJ44" s="417">
        <f>RegionWideSubstations!AE44/8760</f>
        <v>0.36667625533579756</v>
      </c>
      <c r="BK44" s="416">
        <f>RegionWideSubstations!AF44/8760</f>
        <v>0.57038528607790728</v>
      </c>
      <c r="BL44" s="70">
        <f>(RegionWideSubstations!AK44/8760)-BJ44</f>
        <v>0.2152167058984133</v>
      </c>
      <c r="BM44" s="415">
        <f>(RegionWideSubstations!AL44/8760)-BK44</f>
        <v>0.13273537541343083</v>
      </c>
      <c r="BN44" s="70">
        <f>(RegionWideSubstations!AQ44/8760)-BJ44-BL44</f>
        <v>0.22935550064215982</v>
      </c>
      <c r="BO44" s="415">
        <f>(RegionWideSubstations!AR44/8760)-BK44-BM44</f>
        <v>0.24333587736442763</v>
      </c>
      <c r="BP44" s="70">
        <f t="shared" si="19"/>
        <v>0.13520807697939508</v>
      </c>
      <c r="BQ44" s="24">
        <f t="shared" si="20"/>
        <v>0.94645653885576575</v>
      </c>
    </row>
    <row r="45" spans="1:69">
      <c r="A45">
        <f t="shared" si="3"/>
        <v>33</v>
      </c>
      <c r="B45">
        <v>11273</v>
      </c>
      <c r="C45" t="s">
        <v>78</v>
      </c>
      <c r="D45" t="s">
        <v>1</v>
      </c>
      <c r="E45" t="s">
        <v>62</v>
      </c>
      <c r="F45" s="3">
        <v>7770</v>
      </c>
      <c r="G45" s="3">
        <v>550564</v>
      </c>
      <c r="H45" s="122">
        <f>VLOOKUP($C45&amp;$D45,Sales!$A$21:$W$209,23,FALSE)</f>
        <v>752097</v>
      </c>
      <c r="I45" s="3">
        <v>338778</v>
      </c>
      <c r="J45" s="122">
        <f>VLOOKUP($C45&amp;$D45,Sales!$A$21:$W$209,11,FALSE)</f>
        <v>392981</v>
      </c>
      <c r="K45" s="3">
        <v>14766</v>
      </c>
      <c r="L45" s="122">
        <f>VLOOKUP($C45&amp;$D45,Sales!$A$21:$W$209,12,FALSE)</f>
        <v>13893</v>
      </c>
      <c r="M45" s="3">
        <f t="shared" ref="M45:M67" si="40">I45/K45*1000</f>
        <v>22943.112555871598</v>
      </c>
      <c r="N45">
        <v>1</v>
      </c>
      <c r="O45">
        <v>3</v>
      </c>
      <c r="P45">
        <v>3</v>
      </c>
      <c r="Q45" s="3">
        <f t="shared" si="36"/>
        <v>25197.430722891568</v>
      </c>
      <c r="R45" s="122">
        <f>VLOOKUP($C45&amp;$D45,Sales!$A$21:$W$209,14,FALSE)</f>
        <v>254538</v>
      </c>
      <c r="S45" s="3">
        <v>1580</v>
      </c>
      <c r="T45" s="3">
        <f t="shared" si="37"/>
        <v>186588.56927710844</v>
      </c>
      <c r="U45" s="122">
        <f>VLOOKUP($C45&amp;$D45,Sales!$A$21:$W$209,17,FALSE)</f>
        <v>104578</v>
      </c>
      <c r="V45" s="3">
        <v>585</v>
      </c>
      <c r="X45" s="27">
        <f t="shared" si="38"/>
        <v>3.1111965600400584</v>
      </c>
      <c r="Y45" s="28">
        <v>0.9</v>
      </c>
      <c r="Z45" s="27">
        <f t="shared" si="4"/>
        <v>3</v>
      </c>
      <c r="AA45" s="132">
        <f t="shared" si="5"/>
        <v>4</v>
      </c>
      <c r="AB45" s="27">
        <f t="shared" ref="AB45:AB76" si="41">+X45-Z45</f>
        <v>0.1111965600400584</v>
      </c>
      <c r="AC45" s="5">
        <f t="shared" si="39"/>
        <v>1.5</v>
      </c>
      <c r="AD45">
        <f t="shared" si="35"/>
        <v>0.55000000000000004</v>
      </c>
      <c r="AE45" s="24">
        <f t="shared" si="22"/>
        <v>3226.4691933215431</v>
      </c>
      <c r="AF45" s="24">
        <f t="shared" si="7"/>
        <v>5018.9520785001778</v>
      </c>
      <c r="AG45" s="24">
        <f t="shared" si="8"/>
        <v>100000</v>
      </c>
      <c r="AH45" s="24">
        <f t="shared" si="9"/>
        <v>1100000</v>
      </c>
      <c r="AI45" s="5">
        <f t="shared" si="10"/>
        <v>2</v>
      </c>
      <c r="AJ45" s="5">
        <f t="shared" si="23"/>
        <v>0.56100000000000005</v>
      </c>
      <c r="AK45" s="24">
        <f t="shared" si="11"/>
        <v>5208.4632639888841</v>
      </c>
      <c r="AL45" s="24">
        <f t="shared" si="12"/>
        <v>6293.5597773199006</v>
      </c>
      <c r="AM45" s="24">
        <f t="shared" si="13"/>
        <v>240000</v>
      </c>
      <c r="AN45" s="24">
        <f t="shared" si="14"/>
        <v>1280000</v>
      </c>
      <c r="AO45" s="5">
        <f t="shared" si="24"/>
        <v>2.5</v>
      </c>
      <c r="AP45" s="5">
        <f t="shared" si="25"/>
        <v>0.57222000000000006</v>
      </c>
      <c r="AQ45" s="24">
        <f t="shared" si="15"/>
        <v>7403.491654174738</v>
      </c>
      <c r="AR45" s="24">
        <f t="shared" si="16"/>
        <v>8637.4069298705272</v>
      </c>
      <c r="AS45" s="24">
        <f t="shared" si="17"/>
        <v>1074650</v>
      </c>
      <c r="AT45" s="24">
        <f t="shared" si="18"/>
        <v>2074650</v>
      </c>
      <c r="BA45" s="5">
        <f t="shared" si="26"/>
        <v>2.5</v>
      </c>
      <c r="BB45" s="5">
        <f t="shared" si="27"/>
        <v>0.57222000000000006</v>
      </c>
      <c r="BC45" s="24">
        <f t="shared" si="28"/>
        <v>7403.491654174738</v>
      </c>
      <c r="BD45" s="24">
        <f t="shared" si="29"/>
        <v>8637.4069298705272</v>
      </c>
      <c r="BE45" s="24">
        <f t="shared" si="30"/>
        <v>1074650</v>
      </c>
      <c r="BF45" s="24">
        <f t="shared" si="31"/>
        <v>2074650</v>
      </c>
      <c r="BI45" t="str">
        <f>RegionWideSubstations!C45</f>
        <v>PUD No 1 of Douglas County</v>
      </c>
      <c r="BJ45" s="417">
        <f>RegionWideSubstations!AE45/8760</f>
        <v>0.36831840106410307</v>
      </c>
      <c r="BK45" s="416">
        <f>RegionWideSubstations!AF45/8760</f>
        <v>0.57293973498860473</v>
      </c>
      <c r="BL45" s="70">
        <f>(RegionWideSubstations!AK45/8760)-BJ45</f>
        <v>0.22625503089809829</v>
      </c>
      <c r="BM45" s="415">
        <f>(RegionWideSubstations!AL45/8760)-BK45</f>
        <v>0.14550316196572177</v>
      </c>
      <c r="BN45" s="70">
        <f>(RegionWideSubstations!AQ45/8760)-BJ45-BL45</f>
        <v>0.25057401714450389</v>
      </c>
      <c r="BO45" s="415">
        <f>(RegionWideSubstations!AR45/8760)-BK45-BM45</f>
        <v>0.26756246033682951</v>
      </c>
      <c r="BP45" s="70">
        <f t="shared" si="19"/>
        <v>0.14085790818445076</v>
      </c>
      <c r="BQ45" s="24">
        <f t="shared" si="20"/>
        <v>0.98600535729115601</v>
      </c>
    </row>
    <row r="46" spans="1:69">
      <c r="A46">
        <f t="shared" ref="A46:A77" si="42">A45+1</f>
        <v>34</v>
      </c>
      <c r="B46">
        <v>18917</v>
      </c>
      <c r="C46" t="s">
        <v>77</v>
      </c>
      <c r="D46" t="s">
        <v>5</v>
      </c>
      <c r="E46" t="s">
        <v>62</v>
      </c>
      <c r="F46" s="3">
        <v>12489</v>
      </c>
      <c r="G46" s="3">
        <v>488199</v>
      </c>
      <c r="H46" s="122">
        <f>VLOOKUP($C46&amp;$D46,Sales!$A$21:$W$209,23,FALSE)</f>
        <v>461062</v>
      </c>
      <c r="I46" s="3">
        <v>188505</v>
      </c>
      <c r="J46" s="122">
        <f>VLOOKUP($C46&amp;$D46,Sales!$A$21:$W$209,11,FALSE)</f>
        <v>211529</v>
      </c>
      <c r="K46" s="3">
        <v>15254</v>
      </c>
      <c r="L46" s="122">
        <f>VLOOKUP($C46&amp;$D46,Sales!$A$21:$W$209,12,FALSE)</f>
        <v>16111</v>
      </c>
      <c r="M46" s="3">
        <f t="shared" si="40"/>
        <v>12357.742231545824</v>
      </c>
      <c r="N46">
        <v>1</v>
      </c>
      <c r="O46">
        <v>1</v>
      </c>
      <c r="P46">
        <v>2</v>
      </c>
      <c r="Q46" s="3">
        <f t="shared" si="36"/>
        <v>189105.80811808119</v>
      </c>
      <c r="R46" s="122">
        <f>VLOOKUP($C46&amp;$D46,Sales!$A$21:$W$209,14,FALSE)</f>
        <v>88068</v>
      </c>
      <c r="S46" s="3">
        <v>2394</v>
      </c>
      <c r="T46" s="3">
        <f t="shared" si="37"/>
        <v>110588.19188191883</v>
      </c>
      <c r="U46" s="122">
        <f>VLOOKUP($C46&amp;$D46,Sales!$A$21:$W$209,17,FALSE)</f>
        <v>161465</v>
      </c>
      <c r="V46" s="3">
        <v>70</v>
      </c>
      <c r="X46" s="27">
        <v>7</v>
      </c>
      <c r="Y46" s="28">
        <v>0.9</v>
      </c>
      <c r="Z46" s="27">
        <f t="shared" si="4"/>
        <v>6</v>
      </c>
      <c r="AA46" s="132">
        <f t="shared" si="5"/>
        <v>6</v>
      </c>
      <c r="AB46" s="27">
        <f t="shared" si="41"/>
        <v>1</v>
      </c>
      <c r="AC46" s="5">
        <f t="shared" si="39"/>
        <v>1.5</v>
      </c>
      <c r="AD46">
        <f t="shared" si="35"/>
        <v>0.55000000000000004</v>
      </c>
      <c r="AE46" s="24">
        <f t="shared" si="22"/>
        <v>1623.0605942835787</v>
      </c>
      <c r="AF46" s="24">
        <f t="shared" si="7"/>
        <v>2524.7609244411219</v>
      </c>
      <c r="AG46" s="24">
        <f t="shared" si="8"/>
        <v>150000</v>
      </c>
      <c r="AH46" s="24">
        <f t="shared" si="9"/>
        <v>900000</v>
      </c>
      <c r="AI46" s="5">
        <f t="shared" si="10"/>
        <v>2</v>
      </c>
      <c r="AJ46" s="5">
        <f t="shared" si="23"/>
        <v>0.56100000000000005</v>
      </c>
      <c r="AK46" s="24">
        <f t="shared" si="11"/>
        <v>2667.5456862794363</v>
      </c>
      <c r="AL46" s="24">
        <f t="shared" si="12"/>
        <v>3223.2843709209856</v>
      </c>
      <c r="AM46" s="24">
        <f t="shared" si="13"/>
        <v>360000</v>
      </c>
      <c r="AN46" s="24">
        <f t="shared" si="14"/>
        <v>1005000</v>
      </c>
      <c r="AO46" s="5">
        <f t="shared" si="24"/>
        <v>2.5</v>
      </c>
      <c r="AP46" s="5">
        <f t="shared" si="25"/>
        <v>0.57222000000000006</v>
      </c>
      <c r="AQ46" s="24">
        <f t="shared" si="15"/>
        <v>3835.3136071047793</v>
      </c>
      <c r="AR46" s="24">
        <f t="shared" si="16"/>
        <v>4474.5325416222422</v>
      </c>
      <c r="AS46" s="24">
        <f t="shared" si="17"/>
        <v>1375550</v>
      </c>
      <c r="AT46" s="24">
        <f t="shared" si="18"/>
        <v>2005550</v>
      </c>
      <c r="BA46" s="5">
        <f t="shared" si="26"/>
        <v>2.5</v>
      </c>
      <c r="BB46" s="5">
        <f t="shared" si="27"/>
        <v>0.57222000000000006</v>
      </c>
      <c r="BC46" s="24">
        <f t="shared" si="28"/>
        <v>3835.3136071047793</v>
      </c>
      <c r="BD46" s="24">
        <f t="shared" si="29"/>
        <v>4474.5325416222422</v>
      </c>
      <c r="BE46" s="24">
        <f t="shared" si="30"/>
        <v>1375550</v>
      </c>
      <c r="BF46" s="24">
        <f t="shared" si="31"/>
        <v>2005550</v>
      </c>
      <c r="BI46" t="str">
        <f>RegionWideSubstations!C46</f>
        <v>Columbia River Peoples Ut Dist</v>
      </c>
      <c r="BJ46" s="417">
        <f>RegionWideSubstations!AE46/8760</f>
        <v>0.1852808897583994</v>
      </c>
      <c r="BK46" s="416">
        <f>RegionWideSubstations!AF46/8760</f>
        <v>0.28821471740195453</v>
      </c>
      <c r="BL46" s="70">
        <f>(RegionWideSubstations!AK46/8760)-BJ46</f>
        <v>0.1192334579903947</v>
      </c>
      <c r="BM46" s="415">
        <f>(RegionWideSubstations!AL46/8760)-BK46</f>
        <v>7.9740119461171655E-2</v>
      </c>
      <c r="BN46" s="70">
        <f>(RegionWideSubstations!AQ46/8760)-BJ46-BL46</f>
        <v>0.13330684027686562</v>
      </c>
      <c r="BO46" s="415">
        <f>(RegionWideSubstations!AR46/8760)-BK46-BM46</f>
        <v>0.14283654916681016</v>
      </c>
      <c r="BP46" s="70">
        <f t="shared" si="19"/>
        <v>7.2970198004276621E-2</v>
      </c>
      <c r="BQ46" s="24">
        <f t="shared" si="20"/>
        <v>0.51079138602993635</v>
      </c>
    </row>
    <row r="47" spans="1:69">
      <c r="A47">
        <f t="shared" si="42"/>
        <v>35</v>
      </c>
      <c r="B47">
        <v>40437</v>
      </c>
      <c r="C47" t="s">
        <v>92</v>
      </c>
      <c r="D47" t="s">
        <v>93</v>
      </c>
      <c r="E47" t="s">
        <v>91</v>
      </c>
      <c r="F47" s="3">
        <v>29635</v>
      </c>
      <c r="G47" s="3">
        <v>473000</v>
      </c>
      <c r="H47" s="122">
        <f>VLOOKUP($C47&amp;"WA",Sales!$A$21:$W$209,23,FALSE)+VLOOKUP($C47&amp;"ID",Sales!$A$21:$W$209,23,FALSE)</f>
        <v>852814</v>
      </c>
      <c r="I47" s="3">
        <v>545226</v>
      </c>
      <c r="J47" s="122">
        <f>VLOOKUP($C47&amp;"WA",Sales!$A$21:$W$209,11,FALSE)+VLOOKUP($C47&amp;"ID",Sales!$A$21:$W$209,11,FALSE)</f>
        <v>615280</v>
      </c>
      <c r="K47" s="3">
        <v>31987</v>
      </c>
      <c r="L47" s="122">
        <f>VLOOKUP($C47&amp;"WA",Sales!$A$21:$W$209,12,FALSE)+VLOOKUP($C47&amp;"ID",Sales!$A$21:$W$209,12,FALSE)</f>
        <v>36026</v>
      </c>
      <c r="M47" s="3">
        <f t="shared" si="40"/>
        <v>17045.237127583081</v>
      </c>
      <c r="N47">
        <v>2</v>
      </c>
      <c r="O47">
        <v>2</v>
      </c>
      <c r="P47">
        <v>3</v>
      </c>
      <c r="Q47" s="3"/>
      <c r="R47" s="122">
        <f>VLOOKUP($C47&amp;"WA",Sales!$A$21:$W$209,14,FALSE)+VLOOKUP($C47&amp;"ID",Sales!$A$21:$W$209,14,FALSE)</f>
        <v>120409</v>
      </c>
      <c r="S47" s="3">
        <v>897</v>
      </c>
      <c r="T47" s="3"/>
      <c r="U47" s="122">
        <f>VLOOKUP($C47&amp;"WA",Sales!$A$21:$W$209,17,FALSE)+VLOOKUP($C47&amp;"ID",Sales!$A$21:$W$209,17,FALSE)</f>
        <v>117125</v>
      </c>
      <c r="V47" s="3">
        <v>51</v>
      </c>
      <c r="X47" s="27">
        <f>IF(G47&lt;$X$11,1,G47/$X$11)</f>
        <v>2.6728881163660314</v>
      </c>
      <c r="Y47" s="28">
        <v>0.9</v>
      </c>
      <c r="Z47" s="27">
        <f t="shared" si="4"/>
        <v>2</v>
      </c>
      <c r="AA47" s="132">
        <f t="shared" si="5"/>
        <v>2</v>
      </c>
      <c r="AB47" s="27">
        <f t="shared" si="41"/>
        <v>0.67288811636603141</v>
      </c>
      <c r="AC47" s="5">
        <f t="shared" si="39"/>
        <v>1.5</v>
      </c>
      <c r="AD47">
        <f t="shared" si="35"/>
        <v>0.55000000000000004</v>
      </c>
      <c r="AE47" s="24">
        <f t="shared" si="22"/>
        <v>4062.332916746413</v>
      </c>
      <c r="AF47" s="24">
        <f t="shared" si="7"/>
        <v>6319.1845371610871</v>
      </c>
      <c r="AG47" s="24">
        <f t="shared" si="8"/>
        <v>50000</v>
      </c>
      <c r="AH47" s="24">
        <f t="shared" si="9"/>
        <v>550000</v>
      </c>
      <c r="AI47" s="5">
        <f t="shared" si="10"/>
        <v>2</v>
      </c>
      <c r="AJ47" s="5">
        <f t="shared" si="23"/>
        <v>0.56100000000000005</v>
      </c>
      <c r="AK47" s="24">
        <f t="shared" si="11"/>
        <v>6447.6574942973439</v>
      </c>
      <c r="AL47" s="24">
        <f t="shared" si="12"/>
        <v>7790.9194722759576</v>
      </c>
      <c r="AM47" s="24">
        <f t="shared" si="13"/>
        <v>120000</v>
      </c>
      <c r="AN47" s="24">
        <f t="shared" si="14"/>
        <v>640000</v>
      </c>
      <c r="AO47" s="5">
        <f t="shared" si="24"/>
        <v>2.5</v>
      </c>
      <c r="AP47" s="5">
        <f t="shared" si="25"/>
        <v>0.57222000000000006</v>
      </c>
      <c r="AQ47" s="24">
        <f t="shared" si="15"/>
        <v>8953.7418059531228</v>
      </c>
      <c r="AR47" s="24">
        <f t="shared" si="16"/>
        <v>10446.032106945309</v>
      </c>
      <c r="AS47" s="24">
        <f t="shared" si="17"/>
        <v>1991300</v>
      </c>
      <c r="AT47" s="24">
        <f t="shared" si="18"/>
        <v>2491300</v>
      </c>
      <c r="BA47" s="5">
        <f t="shared" si="26"/>
        <v>2.5</v>
      </c>
      <c r="BB47" s="5">
        <f t="shared" si="27"/>
        <v>0.57222000000000006</v>
      </c>
      <c r="BC47" s="24">
        <f t="shared" si="28"/>
        <v>8953.7418059531228</v>
      </c>
      <c r="BD47" s="24">
        <f t="shared" si="29"/>
        <v>10446.032106945309</v>
      </c>
      <c r="BE47" s="24">
        <f t="shared" si="30"/>
        <v>1991300</v>
      </c>
      <c r="BF47" s="24">
        <f t="shared" si="31"/>
        <v>2491300</v>
      </c>
      <c r="BI47" t="str">
        <f>RegionWideSubstations!C47</f>
        <v>Inland Power &amp; Light Company</v>
      </c>
      <c r="BJ47" s="417">
        <f>RegionWideSubstations!AE47/8760</f>
        <v>0.4637366343317823</v>
      </c>
      <c r="BK47" s="416">
        <f>RegionWideSubstations!AF47/8760</f>
        <v>0.72136809784943912</v>
      </c>
      <c r="BL47" s="70">
        <f>(RegionWideSubstations!AK47/8760)-BJ47</f>
        <v>0.27229732620444419</v>
      </c>
      <c r="BM47" s="415">
        <f>(RegionWideSubstations!AL47/8760)-BK47</f>
        <v>0.16800627113183453</v>
      </c>
      <c r="BN47" s="70">
        <f>(RegionWideSubstations!AQ47/8760)-BJ47-BL47</f>
        <v>0.28608268397897002</v>
      </c>
      <c r="BO47" s="415">
        <f>(RegionWideSubstations!AR47/8760)-BK47-BM47</f>
        <v>0.30309504961978906</v>
      </c>
      <c r="BP47" s="70">
        <f t="shared" si="19"/>
        <v>0.17035277408586613</v>
      </c>
      <c r="BQ47" s="24">
        <f t="shared" si="20"/>
        <v>1.1924694186010627</v>
      </c>
    </row>
    <row r="48" spans="1:69">
      <c r="A48">
        <f t="shared" si="42"/>
        <v>36</v>
      </c>
      <c r="B48">
        <v>13758</v>
      </c>
      <c r="C48" t="s">
        <v>75</v>
      </c>
      <c r="D48" t="s">
        <v>5</v>
      </c>
      <c r="E48" t="s">
        <v>62</v>
      </c>
      <c r="F48" s="3">
        <v>18279</v>
      </c>
      <c r="G48" s="3">
        <v>443992</v>
      </c>
      <c r="H48" s="122">
        <f>VLOOKUP($C48&amp;$D48,Sales!$A$21:$W$209,23,FALSE)</f>
        <v>413573</v>
      </c>
      <c r="I48" s="3">
        <v>251360</v>
      </c>
      <c r="J48" s="122">
        <f>VLOOKUP($C48&amp;$D48,Sales!$A$21:$W$209,11,FALSE)</f>
        <v>280175</v>
      </c>
      <c r="K48" s="3">
        <v>16274</v>
      </c>
      <c r="L48" s="122">
        <f>VLOOKUP($C48&amp;$D48,Sales!$A$21:$W$209,12,FALSE)</f>
        <v>18118</v>
      </c>
      <c r="M48" s="3">
        <f t="shared" si="40"/>
        <v>15445.495883003565</v>
      </c>
      <c r="N48">
        <v>1</v>
      </c>
      <c r="O48">
        <v>2</v>
      </c>
      <c r="P48">
        <v>2</v>
      </c>
      <c r="Q48" s="3">
        <f>($G48-$I48)/($S48+$V48*20)*S48</f>
        <v>176829.53896636586</v>
      </c>
      <c r="R48" s="122">
        <f>VLOOKUP($C48&amp;$D48,Sales!$A$21:$W$209,14,FALSE)</f>
        <v>86512</v>
      </c>
      <c r="S48" s="3">
        <v>2238</v>
      </c>
      <c r="T48" s="3">
        <f>($G48-$I48)/($S48+$V48*20)*V48*20</f>
        <v>15802.461033634127</v>
      </c>
      <c r="U48" s="122">
        <f>VLOOKUP($C48&amp;$D48,Sales!$A$21:$W$209,17,FALSE)</f>
        <v>46886</v>
      </c>
      <c r="V48" s="3">
        <v>10</v>
      </c>
      <c r="X48" s="27">
        <v>9</v>
      </c>
      <c r="Y48" s="28">
        <v>0.9</v>
      </c>
      <c r="Z48" s="27">
        <f t="shared" si="4"/>
        <v>8</v>
      </c>
      <c r="AA48" s="132">
        <f t="shared" si="5"/>
        <v>8</v>
      </c>
      <c r="AB48" s="27">
        <f t="shared" si="41"/>
        <v>1</v>
      </c>
      <c r="AC48" s="5">
        <f t="shared" si="39"/>
        <v>1.5</v>
      </c>
      <c r="AD48">
        <f t="shared" si="35"/>
        <v>0.55000000000000004</v>
      </c>
      <c r="AE48" s="24">
        <f t="shared" si="22"/>
        <v>1956.2581523553099</v>
      </c>
      <c r="AF48" s="24">
        <f t="shared" si="7"/>
        <v>3043.0682369971482</v>
      </c>
      <c r="AG48" s="24">
        <f t="shared" si="8"/>
        <v>200000</v>
      </c>
      <c r="AH48" s="24">
        <f t="shared" si="9"/>
        <v>1200000</v>
      </c>
      <c r="AI48" s="5">
        <f t="shared" si="10"/>
        <v>2</v>
      </c>
      <c r="AJ48" s="5">
        <f t="shared" si="23"/>
        <v>0.56100000000000005</v>
      </c>
      <c r="AK48" s="24">
        <f t="shared" si="11"/>
        <v>3113.4362279058578</v>
      </c>
      <c r="AL48" s="24">
        <f t="shared" si="12"/>
        <v>3762.0687753862449</v>
      </c>
      <c r="AM48" s="24">
        <f t="shared" si="13"/>
        <v>480000</v>
      </c>
      <c r="AN48" s="24">
        <f t="shared" si="14"/>
        <v>1340000</v>
      </c>
      <c r="AO48" s="5">
        <f t="shared" si="24"/>
        <v>2.5</v>
      </c>
      <c r="AP48" s="5">
        <f t="shared" si="25"/>
        <v>0.57222000000000006</v>
      </c>
      <c r="AQ48" s="24">
        <f t="shared" si="15"/>
        <v>4345.0669357509032</v>
      </c>
      <c r="AR48" s="24">
        <f t="shared" si="16"/>
        <v>5069.2447583760541</v>
      </c>
      <c r="AS48" s="24">
        <f t="shared" si="17"/>
        <v>1665900</v>
      </c>
      <c r="AT48" s="24">
        <f t="shared" si="18"/>
        <v>2505900</v>
      </c>
      <c r="BA48" s="5">
        <f t="shared" si="26"/>
        <v>2.5</v>
      </c>
      <c r="BB48" s="5">
        <f t="shared" si="27"/>
        <v>0.57222000000000006</v>
      </c>
      <c r="BC48" s="24">
        <f t="shared" si="28"/>
        <v>4345.0669357509032</v>
      </c>
      <c r="BD48" s="24">
        <f t="shared" si="29"/>
        <v>5069.2447583760541</v>
      </c>
      <c r="BE48" s="24">
        <f t="shared" si="30"/>
        <v>1665900</v>
      </c>
      <c r="BF48" s="24">
        <f t="shared" si="31"/>
        <v>2505900</v>
      </c>
      <c r="BI48" t="str">
        <f>RegionWideSubstations!C48</f>
        <v>Emerald People's Utility Dist</v>
      </c>
      <c r="BJ48" s="417">
        <f>RegionWideSubstations!AE48/8760</f>
        <v>0.22331714067982988</v>
      </c>
      <c r="BK48" s="416">
        <f>RegionWideSubstations!AF48/8760</f>
        <v>0.34738221883529091</v>
      </c>
      <c r="BL48" s="70">
        <f>(RegionWideSubstations!AK48/8760)-BJ48</f>
        <v>0.13209795382997125</v>
      </c>
      <c r="BM48" s="415">
        <f>(RegionWideSubstations!AL48/8760)-BK48</f>
        <v>8.2077687030718771E-2</v>
      </c>
      <c r="BN48" s="70">
        <f>(RegionWideSubstations!AQ48/8760)-BJ48-BL48</f>
        <v>0.14059711276769926</v>
      </c>
      <c r="BO48" s="415">
        <f>(RegionWideSubstations!AR48/8760)-BK48-BM48</f>
        <v>0.14922100262440741</v>
      </c>
      <c r="BP48" s="70">
        <f t="shared" si="19"/>
        <v>8.2668701212916695E-2</v>
      </c>
      <c r="BQ48" s="24">
        <f t="shared" si="20"/>
        <v>0.57868090849041709</v>
      </c>
    </row>
    <row r="49" spans="1:69">
      <c r="A49">
        <f t="shared" si="42"/>
        <v>37</v>
      </c>
      <c r="B49">
        <v>14055</v>
      </c>
      <c r="C49" t="s">
        <v>124</v>
      </c>
      <c r="D49" t="s">
        <v>1</v>
      </c>
      <c r="E49" t="s">
        <v>91</v>
      </c>
      <c r="F49" s="3">
        <v>5090</v>
      </c>
      <c r="G49" s="3">
        <v>403284</v>
      </c>
      <c r="H49" s="122">
        <f>VLOOKUP($C49&amp;$D49,Sales!$A$21:$W$209,23,FALSE)</f>
        <v>493656</v>
      </c>
      <c r="I49" s="3">
        <v>90453</v>
      </c>
      <c r="J49" s="122">
        <f>VLOOKUP($C49&amp;$D49,Sales!$A$21:$W$209,11,FALSE)</f>
        <v>97757</v>
      </c>
      <c r="K49" s="3">
        <v>4094</v>
      </c>
      <c r="L49" s="122">
        <f>VLOOKUP($C49&amp;$D49,Sales!$A$21:$W$209,12,FALSE)</f>
        <v>4600</v>
      </c>
      <c r="M49" s="3">
        <f t="shared" si="40"/>
        <v>22094.040058622377</v>
      </c>
      <c r="N49">
        <v>2</v>
      </c>
      <c r="O49">
        <v>2</v>
      </c>
      <c r="P49">
        <v>3</v>
      </c>
      <c r="Q49" s="3">
        <f>($G49-$I49)/($S49+$V49*20)*S49</f>
        <v>3508.7516661635282</v>
      </c>
      <c r="R49" s="122">
        <f>VLOOKUP($C49&amp;$D49,Sales!$A$21:$W$209,14,FALSE)</f>
        <v>395899</v>
      </c>
      <c r="S49" s="3">
        <v>483</v>
      </c>
      <c r="T49" s="3">
        <f>($G49-$I49)/($S49+$V49*20)*V49*20</f>
        <v>309322.2483338365</v>
      </c>
      <c r="U49" s="122">
        <f>VLOOKUP($C49&amp;$D49,Sales!$A$21:$W$209,17,FALSE)</f>
        <v>0</v>
      </c>
      <c r="V49" s="3">
        <v>2129</v>
      </c>
      <c r="X49" s="27">
        <f t="shared" ref="X49:X82" si="43">IF(G49&lt;$X$11,1,G49/$X$11)</f>
        <v>2.2789281419039296</v>
      </c>
      <c r="Y49" s="28">
        <v>0.9</v>
      </c>
      <c r="Z49" s="27">
        <f t="shared" si="4"/>
        <v>2</v>
      </c>
      <c r="AA49" s="132">
        <f t="shared" si="5"/>
        <v>6</v>
      </c>
      <c r="AB49" s="27">
        <f t="shared" si="41"/>
        <v>0.27892814190392956</v>
      </c>
      <c r="AC49" s="5">
        <f t="shared" si="39"/>
        <v>1.5</v>
      </c>
      <c r="AD49">
        <f t="shared" si="35"/>
        <v>0.55000000000000004</v>
      </c>
      <c r="AE49" s="24">
        <f t="shared" si="22"/>
        <v>1942.0281667538363</v>
      </c>
      <c r="AF49" s="24">
        <f t="shared" si="7"/>
        <v>3020.9327038393008</v>
      </c>
      <c r="AG49" s="24">
        <f t="shared" si="8"/>
        <v>150000</v>
      </c>
      <c r="AH49" s="24">
        <f t="shared" si="9"/>
        <v>1650000</v>
      </c>
      <c r="AI49" s="5">
        <f t="shared" si="10"/>
        <v>2</v>
      </c>
      <c r="AJ49" s="5">
        <f t="shared" si="23"/>
        <v>0.56100000000000005</v>
      </c>
      <c r="AK49" s="24">
        <f t="shared" si="11"/>
        <v>3218.5114974689927</v>
      </c>
      <c r="AL49" s="24">
        <f t="shared" si="12"/>
        <v>3889.0347261083662</v>
      </c>
      <c r="AM49" s="24">
        <f t="shared" si="13"/>
        <v>360000</v>
      </c>
      <c r="AN49" s="24">
        <f t="shared" si="14"/>
        <v>1920000</v>
      </c>
      <c r="AO49" s="5">
        <f t="shared" si="24"/>
        <v>2.5</v>
      </c>
      <c r="AP49" s="5">
        <f t="shared" si="25"/>
        <v>0.57222000000000006</v>
      </c>
      <c r="AQ49" s="24">
        <f t="shared" si="15"/>
        <v>4769.2315492841308</v>
      </c>
      <c r="AR49" s="24">
        <f t="shared" si="16"/>
        <v>5564.1034741648191</v>
      </c>
      <c r="AS49" s="24">
        <f t="shared" si="17"/>
        <v>800000</v>
      </c>
      <c r="AT49" s="24">
        <f t="shared" si="18"/>
        <v>2300000</v>
      </c>
      <c r="BA49" s="5">
        <f t="shared" si="26"/>
        <v>2.5</v>
      </c>
      <c r="BB49" s="5">
        <f t="shared" si="27"/>
        <v>0.57222000000000006</v>
      </c>
      <c r="BC49" s="24">
        <f t="shared" si="28"/>
        <v>4769.2315492841308</v>
      </c>
      <c r="BD49" s="24">
        <f t="shared" si="29"/>
        <v>5564.1034741648191</v>
      </c>
      <c r="BE49" s="24">
        <f t="shared" si="30"/>
        <v>800000</v>
      </c>
      <c r="BF49" s="24">
        <f t="shared" si="31"/>
        <v>2300000</v>
      </c>
      <c r="BI49" t="str">
        <f>RegionWideSubstations!C49</f>
        <v>Big Bend Electric Coop, Inc</v>
      </c>
      <c r="BJ49" s="417">
        <f>RegionWideSubstations!AE49/8760</f>
        <v>0.221692713099753</v>
      </c>
      <c r="BK49" s="416">
        <f>RegionWideSubstations!AF49/8760</f>
        <v>0.34485533148850467</v>
      </c>
      <c r="BL49" s="70">
        <f>(RegionWideSubstations!AK49/8760)-BJ49</f>
        <v>0.14571727519579411</v>
      </c>
      <c r="BM49" s="415">
        <f>(RegionWideSubstations!AL49/8760)-BK49</f>
        <v>9.9098404368614779E-2</v>
      </c>
      <c r="BN49" s="70">
        <f>(RegionWideSubstations!AQ49/8760)-BJ49-BL49</f>
        <v>0.17702283696519841</v>
      </c>
      <c r="BO49" s="415">
        <f>(RegionWideSubstations!AR49/8760)-BK49-BM49</f>
        <v>0.19121789361375036</v>
      </c>
      <c r="BP49" s="70">
        <f t="shared" si="19"/>
        <v>9.0738804210124258E-2</v>
      </c>
      <c r="BQ49" s="24">
        <f t="shared" si="20"/>
        <v>0.6351716294708698</v>
      </c>
    </row>
    <row r="50" spans="1:69">
      <c r="A50">
        <f t="shared" si="42"/>
        <v>38</v>
      </c>
      <c r="B50">
        <v>16555</v>
      </c>
      <c r="C50" t="s">
        <v>74</v>
      </c>
      <c r="D50" t="s">
        <v>5</v>
      </c>
      <c r="E50" t="s">
        <v>62</v>
      </c>
      <c r="F50" s="3">
        <v>16671</v>
      </c>
      <c r="G50" s="3">
        <v>402184</v>
      </c>
      <c r="H50" s="122">
        <f>VLOOKUP($C50&amp;$D50,Sales!$A$21:$W$209,23,FALSE)</f>
        <v>460767</v>
      </c>
      <c r="I50" s="3">
        <v>208751</v>
      </c>
      <c r="J50" s="122">
        <f>VLOOKUP($C50&amp;$D50,Sales!$A$21:$W$209,11,FALSE)</f>
        <v>229065</v>
      </c>
      <c r="K50" s="3">
        <v>17120</v>
      </c>
      <c r="L50" s="122">
        <f>VLOOKUP($C50&amp;$D50,Sales!$A$21:$W$209,12,FALSE)</f>
        <v>18433</v>
      </c>
      <c r="M50" s="3">
        <f t="shared" si="40"/>
        <v>12193.39953271028</v>
      </c>
      <c r="N50">
        <v>1</v>
      </c>
      <c r="O50">
        <v>1</v>
      </c>
      <c r="P50">
        <v>2</v>
      </c>
      <c r="Q50" s="3">
        <f>($G50-$I50)/($S50+$V50*20)*S50</f>
        <v>186282.05730129391</v>
      </c>
      <c r="R50" s="122">
        <f>VLOOKUP($C50&amp;$D50,Sales!$A$21:$W$209,14,FALSE)</f>
        <v>122911</v>
      </c>
      <c r="S50" s="3">
        <v>2084</v>
      </c>
      <c r="T50" s="3">
        <f>($G50-$I50)/($S50+$V50*20)*V50*20</f>
        <v>7150.9426987060997</v>
      </c>
      <c r="U50" s="122">
        <f>VLOOKUP($C50&amp;$D50,Sales!$A$21:$W$209,17,FALSE)</f>
        <v>108791</v>
      </c>
      <c r="V50" s="3">
        <v>4</v>
      </c>
      <c r="X50" s="27">
        <f t="shared" si="43"/>
        <v>2.2727121230286595</v>
      </c>
      <c r="Y50" s="28">
        <v>0.9</v>
      </c>
      <c r="Z50" s="27">
        <f t="shared" si="4"/>
        <v>2</v>
      </c>
      <c r="AA50" s="132">
        <f t="shared" si="5"/>
        <v>2</v>
      </c>
      <c r="AB50" s="27">
        <f t="shared" si="41"/>
        <v>0.27271212302865955</v>
      </c>
      <c r="AC50" s="5">
        <f t="shared" si="39"/>
        <v>1.5</v>
      </c>
      <c r="AD50">
        <f t="shared" si="35"/>
        <v>0.55000000000000004</v>
      </c>
      <c r="AE50" s="24">
        <f t="shared" si="22"/>
        <v>1817.9036924050765</v>
      </c>
      <c r="AF50" s="24">
        <f t="shared" si="7"/>
        <v>2827.8501881856746</v>
      </c>
      <c r="AG50" s="24">
        <f t="shared" si="8"/>
        <v>50000</v>
      </c>
      <c r="AH50" s="24">
        <f t="shared" si="9"/>
        <v>550000</v>
      </c>
      <c r="AI50" s="5">
        <f t="shared" si="10"/>
        <v>2</v>
      </c>
      <c r="AJ50" s="5">
        <f t="shared" si="23"/>
        <v>0.56100000000000005</v>
      </c>
      <c r="AK50" s="24">
        <f t="shared" si="11"/>
        <v>2955.2581242554029</v>
      </c>
      <c r="AL50" s="24">
        <f t="shared" si="12"/>
        <v>3570.936900141945</v>
      </c>
      <c r="AM50" s="24">
        <f t="shared" si="13"/>
        <v>120000</v>
      </c>
      <c r="AN50" s="24">
        <f t="shared" si="14"/>
        <v>640000</v>
      </c>
      <c r="AO50" s="5">
        <f t="shared" si="24"/>
        <v>2.5</v>
      </c>
      <c r="AP50" s="5">
        <f t="shared" si="25"/>
        <v>0.57222000000000006</v>
      </c>
      <c r="AQ50" s="24">
        <f t="shared" si="15"/>
        <v>4218.4765802952643</v>
      </c>
      <c r="AR50" s="24">
        <f t="shared" si="16"/>
        <v>4921.556010344475</v>
      </c>
      <c r="AS50" s="24">
        <f t="shared" si="17"/>
        <v>1111650</v>
      </c>
      <c r="AT50" s="24">
        <f t="shared" si="18"/>
        <v>1611650</v>
      </c>
      <c r="BA50" s="5">
        <f t="shared" si="26"/>
        <v>2.5</v>
      </c>
      <c r="BB50" s="5">
        <f t="shared" si="27"/>
        <v>0.57222000000000006</v>
      </c>
      <c r="BC50" s="24">
        <f t="shared" si="28"/>
        <v>4218.4765802952643</v>
      </c>
      <c r="BD50" s="24">
        <f t="shared" si="29"/>
        <v>4921.556010344475</v>
      </c>
      <c r="BE50" s="24">
        <f t="shared" si="30"/>
        <v>1111650</v>
      </c>
      <c r="BF50" s="24">
        <f t="shared" si="31"/>
        <v>1611650</v>
      </c>
      <c r="BI50" t="str">
        <f>RegionWideSubstations!C50</f>
        <v>Tillamook Peoples Utility Dist</v>
      </c>
      <c r="BJ50" s="417">
        <f>RegionWideSubstations!AE50/8760</f>
        <v>0.20752325255765713</v>
      </c>
      <c r="BK50" s="416">
        <f>RegionWideSubstations!AF50/8760</f>
        <v>0.32281394842302219</v>
      </c>
      <c r="BL50" s="70">
        <f>(RegionWideSubstations!AK50/8760)-BJ50</f>
        <v>0.1298349808048318</v>
      </c>
      <c r="BM50" s="415">
        <f>(RegionWideSubstations!AL50/8760)-BK50</f>
        <v>8.4827250223318551E-2</v>
      </c>
      <c r="BN50" s="70">
        <f>(RegionWideSubstations!AQ50/8760)-BJ50-BL50</f>
        <v>0.14420302009587455</v>
      </c>
      <c r="BO50" s="415">
        <f>(RegionWideSubstations!AR50/8760)-BK50-BM50</f>
        <v>0.15418026372174998</v>
      </c>
      <c r="BP50" s="70">
        <f t="shared" si="19"/>
        <v>8.0260208909727238E-2</v>
      </c>
      <c r="BQ50" s="24">
        <f t="shared" si="20"/>
        <v>0.56182146236809072</v>
      </c>
    </row>
    <row r="51" spans="1:69">
      <c r="A51">
        <f t="shared" si="42"/>
        <v>39</v>
      </c>
      <c r="B51">
        <v>40438</v>
      </c>
      <c r="C51" t="s">
        <v>95</v>
      </c>
      <c r="D51" t="s">
        <v>5</v>
      </c>
      <c r="E51" t="s">
        <v>91</v>
      </c>
      <c r="F51" s="3">
        <v>29264</v>
      </c>
      <c r="G51" s="10">
        <v>398735</v>
      </c>
      <c r="H51" s="122">
        <f>VLOOKUP($C51&amp;$D51,Sales!$A$21:$W$209,23,FALSE)</f>
        <v>647088</v>
      </c>
      <c r="I51" s="3">
        <v>400482</v>
      </c>
      <c r="J51" s="122">
        <f>VLOOKUP($C51&amp;$D51,Sales!$A$21:$W$209,11,FALSE)</f>
        <v>440371</v>
      </c>
      <c r="K51" s="3">
        <v>24585</v>
      </c>
      <c r="L51" s="122">
        <f>VLOOKUP($C51&amp;$D51,Sales!$A$21:$W$209,12,FALSE)</f>
        <v>27188</v>
      </c>
      <c r="M51" s="3">
        <f t="shared" si="40"/>
        <v>16289.688834655277</v>
      </c>
      <c r="N51">
        <v>2</v>
      </c>
      <c r="O51">
        <v>3</v>
      </c>
      <c r="P51">
        <v>4</v>
      </c>
      <c r="Q51" s="3"/>
      <c r="R51" s="122">
        <f>VLOOKUP($C51&amp;$D51,Sales!$A$21:$W$209,14,FALSE)</f>
        <v>97063</v>
      </c>
      <c r="S51" s="3">
        <v>1260</v>
      </c>
      <c r="T51" s="3"/>
      <c r="U51" s="122">
        <f>VLOOKUP($C51&amp;$D51,Sales!$A$21:$W$209,17,FALSE)</f>
        <v>109654</v>
      </c>
      <c r="V51" s="3">
        <v>1380</v>
      </c>
      <c r="X51" s="27">
        <f t="shared" si="43"/>
        <v>2.2532220783915635</v>
      </c>
      <c r="Y51" s="28">
        <v>0.9</v>
      </c>
      <c r="Z51" s="27">
        <f t="shared" si="4"/>
        <v>2</v>
      </c>
      <c r="AA51" s="132">
        <f t="shared" si="5"/>
        <v>2</v>
      </c>
      <c r="AB51" s="27">
        <f t="shared" si="41"/>
        <v>0.25322207839156352</v>
      </c>
      <c r="AC51" s="5">
        <f t="shared" si="39"/>
        <v>1.5</v>
      </c>
      <c r="AD51">
        <f t="shared" si="35"/>
        <v>0.55000000000000004</v>
      </c>
      <c r="AE51" s="24">
        <f t="shared" si="22"/>
        <v>2959.0192310743214</v>
      </c>
      <c r="AF51" s="24">
        <f t="shared" si="7"/>
        <v>4602.9188038933889</v>
      </c>
      <c r="AG51" s="24">
        <f t="shared" si="8"/>
        <v>50000</v>
      </c>
      <c r="AH51" s="24">
        <f t="shared" si="9"/>
        <v>550000</v>
      </c>
      <c r="AI51" s="5">
        <f t="shared" si="10"/>
        <v>2</v>
      </c>
      <c r="AJ51" s="5">
        <f t="shared" ref="AJ51:AJ67" si="44">+AD51*$AJ$9</f>
        <v>0.56100000000000005</v>
      </c>
      <c r="AK51" s="24">
        <f t="shared" si="11"/>
        <v>4716.3532282634251</v>
      </c>
      <c r="AL51" s="24">
        <f t="shared" si="12"/>
        <v>5698.9268174849713</v>
      </c>
      <c r="AM51" s="24">
        <f t="shared" si="13"/>
        <v>120000</v>
      </c>
      <c r="AN51" s="24">
        <f t="shared" si="14"/>
        <v>640000</v>
      </c>
      <c r="AO51" s="5">
        <f t="shared" ref="AO51:AO67" si="45">AI51+$AO$9</f>
        <v>2.5</v>
      </c>
      <c r="AP51" s="5">
        <f t="shared" ref="AP51:AP67" si="46">+AJ51*$AP$9</f>
        <v>0.57222000000000006</v>
      </c>
      <c r="AQ51" s="24">
        <f t="shared" si="15"/>
        <v>6578.1947419974385</v>
      </c>
      <c r="AR51" s="24">
        <f t="shared" si="16"/>
        <v>7674.5605323303453</v>
      </c>
      <c r="AS51" s="24">
        <f t="shared" si="17"/>
        <v>1549400</v>
      </c>
      <c r="AT51" s="24">
        <f t="shared" si="18"/>
        <v>2049400</v>
      </c>
      <c r="BA51" s="5">
        <f t="shared" si="26"/>
        <v>2.5</v>
      </c>
      <c r="BB51" s="5">
        <f t="shared" si="27"/>
        <v>0.57222000000000006</v>
      </c>
      <c r="BC51" s="24">
        <f t="shared" si="28"/>
        <v>6578.1947419974385</v>
      </c>
      <c r="BD51" s="24">
        <f t="shared" si="29"/>
        <v>7674.5605323303453</v>
      </c>
      <c r="BE51" s="24">
        <f t="shared" si="30"/>
        <v>1549400</v>
      </c>
      <c r="BF51" s="24">
        <f t="shared" si="31"/>
        <v>2049400</v>
      </c>
      <c r="BI51" t="str">
        <f>RegionWideSubstations!C51</f>
        <v>Central Electric Coop Inc</v>
      </c>
      <c r="BJ51" s="417">
        <f>RegionWideSubstations!AE51/8760</f>
        <v>0.33778758345597276</v>
      </c>
      <c r="BK51" s="416">
        <f>RegionWideSubstations!AF51/8760</f>
        <v>0.52544735204262427</v>
      </c>
      <c r="BL51" s="70">
        <f>(RegionWideSubstations!AK51/8760)-BJ51</f>
        <v>0.20060890378871049</v>
      </c>
      <c r="BM51" s="415">
        <f>(RegionWideSubstations!AL51/8760)-BK51</f>
        <v>0.12511507004470124</v>
      </c>
      <c r="BN51" s="70">
        <f>(RegionWideSubstations!AQ51/8760)-BJ51-BL51</f>
        <v>0.21253898558607454</v>
      </c>
      <c r="BO51" s="415">
        <f>(RegionWideSubstations!AR51/8760)-BK51-BM51</f>
        <v>0.22552896288189195</v>
      </c>
      <c r="BP51" s="70">
        <f t="shared" si="19"/>
        <v>0.12515591213845967</v>
      </c>
      <c r="BQ51" s="24">
        <f t="shared" si="20"/>
        <v>0.87609138496921746</v>
      </c>
    </row>
    <row r="52" spans="1:69">
      <c r="A52">
        <f t="shared" si="42"/>
        <v>40</v>
      </c>
      <c r="B52">
        <v>12439</v>
      </c>
      <c r="C52" t="s">
        <v>94</v>
      </c>
      <c r="D52" t="s">
        <v>1</v>
      </c>
      <c r="E52" t="s">
        <v>91</v>
      </c>
      <c r="F52" s="3">
        <v>28761</v>
      </c>
      <c r="G52" s="9">
        <f>+I52</f>
        <v>386574</v>
      </c>
      <c r="H52" s="122">
        <f>VLOOKUP($C52&amp;$D52,Sales!$A$21:$W$209,23,FALSE)</f>
        <v>579675</v>
      </c>
      <c r="I52" s="3">
        <v>386574</v>
      </c>
      <c r="J52" s="122">
        <f>VLOOKUP($C52&amp;$D52,Sales!$A$21:$W$209,11,FALSE)</f>
        <v>423183</v>
      </c>
      <c r="K52" s="3">
        <v>25787</v>
      </c>
      <c r="L52" s="122">
        <f>VLOOKUP($C52&amp;$D52,Sales!$A$21:$W$209,12,FALSE)</f>
        <v>27232</v>
      </c>
      <c r="M52" s="3">
        <f t="shared" si="40"/>
        <v>14991.041997905922</v>
      </c>
      <c r="N52">
        <v>2</v>
      </c>
      <c r="O52">
        <v>1</v>
      </c>
      <c r="P52">
        <v>3</v>
      </c>
      <c r="Q52" s="3"/>
      <c r="R52" s="122">
        <f>VLOOKUP($C52&amp;$D52,Sales!$A$21:$W$209,14,FALSE)</f>
        <v>156492</v>
      </c>
      <c r="T52" s="3"/>
      <c r="U52" s="122">
        <f>VLOOKUP($C52&amp;$D52,Sales!$A$21:$W$209,17,FALSE)</f>
        <v>0</v>
      </c>
      <c r="X52" s="27">
        <f t="shared" si="43"/>
        <v>2.1845011642623304</v>
      </c>
      <c r="Y52" s="28">
        <v>0.9</v>
      </c>
      <c r="Z52" s="27">
        <f t="shared" si="4"/>
        <v>2</v>
      </c>
      <c r="AA52" s="132">
        <f t="shared" si="5"/>
        <v>2</v>
      </c>
      <c r="AB52" s="27">
        <f t="shared" si="41"/>
        <v>0.18450116426233043</v>
      </c>
      <c r="AC52" s="5">
        <f t="shared" si="39"/>
        <v>1.5</v>
      </c>
      <c r="AD52">
        <f t="shared" si="35"/>
        <v>0.55000000000000004</v>
      </c>
      <c r="AE52" s="24">
        <f t="shared" si="22"/>
        <v>3006.5678808150842</v>
      </c>
      <c r="AF52" s="24">
        <f t="shared" si="7"/>
        <v>4676.8833701567974</v>
      </c>
      <c r="AG52" s="24">
        <f t="shared" si="8"/>
        <v>50000</v>
      </c>
      <c r="AH52" s="24">
        <f t="shared" si="9"/>
        <v>550000</v>
      </c>
      <c r="AI52" s="5">
        <f t="shared" si="10"/>
        <v>2</v>
      </c>
      <c r="AJ52" s="5">
        <f t="shared" si="44"/>
        <v>0.56100000000000005</v>
      </c>
      <c r="AK52" s="24">
        <f t="shared" si="11"/>
        <v>4752.1397660555094</v>
      </c>
      <c r="AL52" s="24">
        <f t="shared" si="12"/>
        <v>5742.1688839837407</v>
      </c>
      <c r="AM52" s="24">
        <f t="shared" si="13"/>
        <v>120000</v>
      </c>
      <c r="AN52" s="24">
        <f t="shared" si="14"/>
        <v>640000</v>
      </c>
      <c r="AO52" s="5">
        <f t="shared" si="45"/>
        <v>2.5</v>
      </c>
      <c r="AP52" s="5">
        <f t="shared" si="46"/>
        <v>0.57222000000000006</v>
      </c>
      <c r="AQ52" s="24">
        <f t="shared" si="15"/>
        <v>6599.3959114775771</v>
      </c>
      <c r="AR52" s="24">
        <f t="shared" si="16"/>
        <v>7699.2952300571742</v>
      </c>
      <c r="AS52" s="24">
        <f t="shared" si="17"/>
        <v>1551600</v>
      </c>
      <c r="AT52" s="24">
        <f t="shared" si="18"/>
        <v>2051600</v>
      </c>
      <c r="BA52" s="5">
        <f t="shared" si="26"/>
        <v>2.5</v>
      </c>
      <c r="BB52" s="5">
        <f t="shared" si="27"/>
        <v>0.57222000000000006</v>
      </c>
      <c r="BC52" s="24">
        <f t="shared" si="28"/>
        <v>6599.3959114775771</v>
      </c>
      <c r="BD52" s="24">
        <f t="shared" si="29"/>
        <v>7699.2952300571742</v>
      </c>
      <c r="BE52" s="24">
        <f t="shared" si="30"/>
        <v>1551600</v>
      </c>
      <c r="BF52" s="24">
        <f t="shared" si="31"/>
        <v>2051600</v>
      </c>
      <c r="BI52" t="str">
        <f>RegionWideSubstations!C52</f>
        <v>Peninsula Light Company</v>
      </c>
      <c r="BJ52" s="417">
        <f>RegionWideSubstations!AE52/8760</f>
        <v>0.34321551150857127</v>
      </c>
      <c r="BK52" s="416">
        <f>RegionWideSubstations!AF52/8760</f>
        <v>0.53389079567999975</v>
      </c>
      <c r="BL52" s="70">
        <f>(RegionWideSubstations!AK52/8760)-BJ52</f>
        <v>0.19926619694525399</v>
      </c>
      <c r="BM52" s="415">
        <f>(RegionWideSubstations!AL52/8760)-BK52</f>
        <v>0.12160793536837244</v>
      </c>
      <c r="BN52" s="70">
        <f>(RegionWideSubstations!AQ52/8760)-BJ52-BL52</f>
        <v>0.21087398920343237</v>
      </c>
      <c r="BO52" s="415">
        <f>(RegionWideSubstations!AR52/8760)-BK52-BM52</f>
        <v>0.22341624955176187</v>
      </c>
      <c r="BP52" s="70">
        <f t="shared" si="19"/>
        <v>0.12555928294287644</v>
      </c>
      <c r="BQ52" s="24">
        <f t="shared" si="20"/>
        <v>0.87891498060013407</v>
      </c>
    </row>
    <row r="53" spans="1:69">
      <c r="A53">
        <f t="shared" si="42"/>
        <v>41</v>
      </c>
      <c r="B53">
        <v>5326</v>
      </c>
      <c r="C53" t="s">
        <v>110</v>
      </c>
      <c r="D53" t="s">
        <v>1</v>
      </c>
      <c r="E53" t="s">
        <v>91</v>
      </c>
      <c r="F53" s="3">
        <v>16043</v>
      </c>
      <c r="G53" s="3">
        <v>330430</v>
      </c>
      <c r="H53" s="122">
        <f>VLOOKUP($C53&amp;$D53,Sales!$A$21:$W$209,23,FALSE)</f>
        <v>554323</v>
      </c>
      <c r="I53" s="3">
        <v>207909</v>
      </c>
      <c r="J53" s="122">
        <f>VLOOKUP($C53&amp;$D53,Sales!$A$21:$W$209,11,FALSE)</f>
        <v>223469</v>
      </c>
      <c r="K53" s="3">
        <v>11292</v>
      </c>
      <c r="L53" s="122">
        <f>VLOOKUP($C53&amp;$D53,Sales!$A$21:$W$209,12,FALSE)</f>
        <v>11933</v>
      </c>
      <c r="M53" s="3">
        <f t="shared" si="40"/>
        <v>18412.061636556853</v>
      </c>
      <c r="N53">
        <v>1</v>
      </c>
      <c r="O53">
        <v>3</v>
      </c>
      <c r="P53">
        <v>3</v>
      </c>
      <c r="Q53" s="3">
        <f>($G53-$I53)/($S53+$V53*20)*S53</f>
        <v>110838.42550655542</v>
      </c>
      <c r="R53" s="122">
        <f>VLOOKUP($C53&amp;$D53,Sales!$A$21:$W$209,14,FALSE)</f>
        <v>118874</v>
      </c>
      <c r="S53" s="3">
        <v>759</v>
      </c>
      <c r="T53" s="3">
        <f>($G53-$I53)/($S53+$V53*20)*V53*20</f>
        <v>11682.574493444576</v>
      </c>
      <c r="U53" s="122">
        <f>VLOOKUP($C53&amp;$D53,Sales!$A$21:$W$209,17,FALSE)</f>
        <v>211980</v>
      </c>
      <c r="V53" s="3">
        <v>4</v>
      </c>
      <c r="X53" s="27">
        <f t="shared" si="43"/>
        <v>1.8672355608685576</v>
      </c>
      <c r="Y53" s="28">
        <v>0.9</v>
      </c>
      <c r="Z53" s="27">
        <f t="shared" si="4"/>
        <v>2</v>
      </c>
      <c r="AA53" s="132">
        <f t="shared" si="5"/>
        <v>2</v>
      </c>
      <c r="AB53" s="27">
        <f t="shared" si="41"/>
        <v>-0.13276443913144242</v>
      </c>
      <c r="AC53" s="5">
        <f t="shared" si="39"/>
        <v>1.5</v>
      </c>
      <c r="AD53">
        <f t="shared" si="35"/>
        <v>0.55000000000000004</v>
      </c>
      <c r="AE53" s="24">
        <f t="shared" si="22"/>
        <v>1826.3354998626121</v>
      </c>
      <c r="AF53" s="24">
        <f t="shared" si="7"/>
        <v>2840.9663331196184</v>
      </c>
      <c r="AG53" s="24">
        <f t="shared" si="8"/>
        <v>50000</v>
      </c>
      <c r="AH53" s="24">
        <f t="shared" si="9"/>
        <v>550000</v>
      </c>
      <c r="AI53" s="5">
        <f t="shared" si="10"/>
        <v>2</v>
      </c>
      <c r="AJ53" s="5">
        <f t="shared" si="44"/>
        <v>0.56100000000000005</v>
      </c>
      <c r="AK53" s="24">
        <f t="shared" si="11"/>
        <v>3030.4525782407513</v>
      </c>
      <c r="AL53" s="24">
        <f t="shared" si="12"/>
        <v>3661.796865374241</v>
      </c>
      <c r="AM53" s="24">
        <f t="shared" si="13"/>
        <v>120000</v>
      </c>
      <c r="AN53" s="24">
        <f t="shared" si="14"/>
        <v>640000</v>
      </c>
      <c r="AO53" s="5">
        <f t="shared" si="45"/>
        <v>2.5</v>
      </c>
      <c r="AP53" s="5">
        <f t="shared" si="46"/>
        <v>0.57222000000000006</v>
      </c>
      <c r="AQ53" s="24">
        <f t="shared" si="15"/>
        <v>4399.6371515036035</v>
      </c>
      <c r="AR53" s="24">
        <f t="shared" si="16"/>
        <v>5132.9100100875376</v>
      </c>
      <c r="AS53" s="24">
        <f t="shared" si="17"/>
        <v>786650</v>
      </c>
      <c r="AT53" s="24">
        <f t="shared" si="18"/>
        <v>1286650</v>
      </c>
      <c r="BA53" s="5">
        <f t="shared" si="26"/>
        <v>2.5</v>
      </c>
      <c r="BB53" s="5">
        <f t="shared" si="27"/>
        <v>0.57222000000000006</v>
      </c>
      <c r="BC53" s="24">
        <f t="shared" si="28"/>
        <v>4399.6371515036035</v>
      </c>
      <c r="BD53" s="24">
        <f t="shared" si="29"/>
        <v>5132.9100100875376</v>
      </c>
      <c r="BE53" s="24">
        <f t="shared" si="30"/>
        <v>786650</v>
      </c>
      <c r="BF53" s="24">
        <f t="shared" si="31"/>
        <v>1286650</v>
      </c>
      <c r="BI53" t="str">
        <f>RegionWideSubstations!C53</f>
        <v>Benton Rural Electric Assn</v>
      </c>
      <c r="BJ53" s="417">
        <f>RegionWideSubstations!AE53/8760</f>
        <v>0.20848578765554932</v>
      </c>
      <c r="BK53" s="416">
        <f>RegionWideSubstations!AF53/8760</f>
        <v>0.32431122524196559</v>
      </c>
      <c r="BL53" s="70">
        <f>(RegionWideSubstations!AK53/8760)-BJ53</f>
        <v>0.13745628748608896</v>
      </c>
      <c r="BM53" s="415">
        <f>(RegionWideSubstations!AL53/8760)-BK53</f>
        <v>9.3702115554180621E-2</v>
      </c>
      <c r="BN53" s="70">
        <f>(RegionWideSubstations!AQ53/8760)-BJ53-BL53</f>
        <v>0.15629960881996025</v>
      </c>
      <c r="BO53" s="415">
        <f>(RegionWideSubstations!AR53/8760)-BK53-BM53</f>
        <v>0.16793529049238548</v>
      </c>
      <c r="BP53" s="70">
        <f t="shared" si="19"/>
        <v>8.3706947326933179E-2</v>
      </c>
      <c r="BQ53" s="24">
        <f t="shared" si="20"/>
        <v>0.5859486312885317</v>
      </c>
    </row>
    <row r="54" spans="1:69">
      <c r="A54">
        <f t="shared" si="42"/>
        <v>42</v>
      </c>
      <c r="B54">
        <v>4317</v>
      </c>
      <c r="C54" t="s">
        <v>100</v>
      </c>
      <c r="D54" t="s">
        <v>101</v>
      </c>
      <c r="E54" t="s">
        <v>91</v>
      </c>
      <c r="F54" s="3">
        <v>18087</v>
      </c>
      <c r="G54" s="9">
        <f>+I54</f>
        <v>329905</v>
      </c>
      <c r="H54" s="126">
        <f>G54*SUM(H$13:H$53,H$55:H$64,H$66:H$70,H$72:H$76,H$78:H$110,H$112:H$114,H$117:H$121,H$123:H$142)/SUM(G$13:G$53,G$55:G$64,G$66:G$70,G$72:G$76,G$78:G$110,G$112:G$114,G$117:G$121,G$123:G$142)</f>
        <v>353421.8624038964</v>
      </c>
      <c r="I54" s="3">
        <v>329905</v>
      </c>
      <c r="J54" s="126">
        <f>I54*SUM(J$13:J$53,J$55:J$64,J$66:J$70,J$72:J$76,J$78:J$110,J$112:J$114,J$117:J$121,J$123:J$142)/SUM(I$13:I$53,I$55:I$64,I$66:I$70,I$72:I$76,I$78:I$110,I$112:I$114,I$117:I$121,I$123:I$142)</f>
        <v>354221.92324806354</v>
      </c>
      <c r="K54" s="3">
        <v>18097</v>
      </c>
      <c r="L54" s="126">
        <f>K54*SUM(L$13:L$53,L$55:L$64,L$66:L$70,L$72:L$76,L$78:L$110,L$112:L$114,L$117:L$121,L$123:L$142)/SUM(K$13:K$53,K$55:K$64,K$66:K$70,K$72:K$76,K$78:K$110,K$112:K$114,K$117:K$121,K$123:K$142)</f>
        <v>19455.769843990889</v>
      </c>
      <c r="M54" s="3">
        <f t="shared" si="40"/>
        <v>18229.817096756367</v>
      </c>
      <c r="N54">
        <v>3</v>
      </c>
      <c r="O54">
        <v>1</v>
      </c>
      <c r="P54">
        <v>3</v>
      </c>
      <c r="Q54" s="3"/>
      <c r="R54" s="126">
        <f>Q54*SUM(R$13:R$53,R$55:R$64,R$66:R$70,R$72:R$76,R$78:R$110,R$112:R$114,R$117:R$121,R$123:R$142)/SUM(H$13:H$53,H$55:H$64,H$66:H$70,H$72:H$76,H$78:H$110,H$112:H$114,H$117:H$121,H$123:H$142)</f>
        <v>0</v>
      </c>
      <c r="T54" s="3"/>
      <c r="U54" s="126">
        <f>T54*SUM(U$13:U$53,U$55:U$64,U$66:U$70,U$72:U$76,U$78:U$110,U$112:U$114,U$117:U$121,U$123:U$142)/SUM(T$13:T$53,T$55:T$64,T$66:T$70,T$72:T$76,T$78:T$110,T$112:T$114,T$117:T$121,T$123:T$142)</f>
        <v>0</v>
      </c>
      <c r="X54" s="27">
        <f t="shared" si="43"/>
        <v>1.8642688245871788</v>
      </c>
      <c r="Y54" s="28">
        <v>0.9</v>
      </c>
      <c r="Z54" s="27">
        <f t="shared" si="4"/>
        <v>2</v>
      </c>
      <c r="AA54" s="132">
        <f t="shared" si="5"/>
        <v>2</v>
      </c>
      <c r="AB54" s="27">
        <f t="shared" si="41"/>
        <v>-0.1357311754128212</v>
      </c>
      <c r="AC54" s="5">
        <f t="shared" si="39"/>
        <v>1.5</v>
      </c>
      <c r="AD54">
        <f t="shared" si="35"/>
        <v>0.55000000000000004</v>
      </c>
      <c r="AE54" s="24">
        <f t="shared" si="22"/>
        <v>2062.3888237100509</v>
      </c>
      <c r="AF54" s="24">
        <f t="shared" si="7"/>
        <v>3208.1603924378569</v>
      </c>
      <c r="AG54" s="24">
        <f t="shared" si="8"/>
        <v>50000</v>
      </c>
      <c r="AH54" s="24">
        <f t="shared" si="9"/>
        <v>550000</v>
      </c>
      <c r="AI54" s="5">
        <f t="shared" si="10"/>
        <v>2</v>
      </c>
      <c r="AJ54" s="5">
        <f t="shared" si="44"/>
        <v>0.56100000000000005</v>
      </c>
      <c r="AK54" s="24">
        <f t="shared" si="11"/>
        <v>3205.5414859950515</v>
      </c>
      <c r="AL54" s="24">
        <f t="shared" si="12"/>
        <v>3873.3626289106869</v>
      </c>
      <c r="AM54" s="24">
        <f t="shared" si="13"/>
        <v>120000</v>
      </c>
      <c r="AN54" s="24">
        <f t="shared" si="14"/>
        <v>640000</v>
      </c>
      <c r="AO54" s="5">
        <f t="shared" si="45"/>
        <v>2.5</v>
      </c>
      <c r="AP54" s="5">
        <f t="shared" si="46"/>
        <v>0.57222000000000006</v>
      </c>
      <c r="AQ54" s="24">
        <f t="shared" si="15"/>
        <v>4342.5069818089214</v>
      </c>
      <c r="AR54" s="24">
        <f t="shared" si="16"/>
        <v>5066.2581454437413</v>
      </c>
      <c r="AS54" s="24">
        <f t="shared" si="17"/>
        <v>1162788.4921995443</v>
      </c>
      <c r="AT54" s="24">
        <f t="shared" si="18"/>
        <v>1662788.4921995443</v>
      </c>
      <c r="BA54" s="5">
        <f t="shared" si="26"/>
        <v>2.5</v>
      </c>
      <c r="BB54" s="5">
        <f t="shared" si="27"/>
        <v>0.57222000000000006</v>
      </c>
      <c r="BC54" s="24">
        <f t="shared" si="28"/>
        <v>4342.5069818089214</v>
      </c>
      <c r="BD54" s="24">
        <f t="shared" si="29"/>
        <v>5066.2581454437413</v>
      </c>
      <c r="BE54" s="24">
        <f t="shared" si="30"/>
        <v>1162788.4921995443</v>
      </c>
      <c r="BF54" s="24">
        <f t="shared" si="31"/>
        <v>1662788.4921995443</v>
      </c>
      <c r="BI54" t="str">
        <f>RegionWideSubstations!C54</f>
        <v>Lower Valley Energy Inc</v>
      </c>
      <c r="BJ54" s="417">
        <f>RegionWideSubstations!AE54/8760</f>
        <v>0.23543251412215194</v>
      </c>
      <c r="BK54" s="416">
        <f>RegionWideSubstations!AF54/8760</f>
        <v>0.36622835530112524</v>
      </c>
      <c r="BL54" s="70">
        <f>(RegionWideSubstations!AK54/8760)-BJ54</f>
        <v>0.13049687925627862</v>
      </c>
      <c r="BM54" s="415">
        <f>(RegionWideSubstations!AL54/8760)-BK54</f>
        <v>7.5936328364478278E-2</v>
      </c>
      <c r="BN54" s="70">
        <f>(RegionWideSubstations!AQ54/8760)-BJ54-BL54</f>
        <v>0.12979058171391206</v>
      </c>
      <c r="BO54" s="415">
        <f>(RegionWideSubstations!AR54/8760)-BK54-BM54</f>
        <v>0.13617528727546285</v>
      </c>
      <c r="BP54" s="70">
        <f t="shared" si="19"/>
        <v>8.261999584872376E-2</v>
      </c>
      <c r="BQ54" s="24">
        <f t="shared" si="20"/>
        <v>0.57833997094106637</v>
      </c>
    </row>
    <row r="55" spans="1:69">
      <c r="A55">
        <f t="shared" si="42"/>
        <v>43</v>
      </c>
      <c r="B55">
        <v>14324</v>
      </c>
      <c r="C55" t="s">
        <v>105</v>
      </c>
      <c r="D55" t="s">
        <v>5</v>
      </c>
      <c r="E55" t="s">
        <v>91</v>
      </c>
      <c r="F55" s="3">
        <v>16040</v>
      </c>
      <c r="G55" s="10">
        <v>284620</v>
      </c>
      <c r="H55" s="122">
        <f>VLOOKUP($C55&amp;$D55,Sales!$A$21:$W$209,23,FALSE)</f>
        <v>338679</v>
      </c>
      <c r="I55" s="3">
        <v>182058</v>
      </c>
      <c r="J55" s="122">
        <f>VLOOKUP($C55&amp;$D55,Sales!$A$21:$W$209,11,FALSE)</f>
        <v>196349</v>
      </c>
      <c r="K55" s="3">
        <v>14390</v>
      </c>
      <c r="L55" s="122">
        <f>VLOOKUP($C55&amp;$D55,Sales!$A$21:$W$209,12,FALSE)</f>
        <v>14938</v>
      </c>
      <c r="M55" s="3">
        <f t="shared" si="40"/>
        <v>12651.702571230022</v>
      </c>
      <c r="N55">
        <v>1</v>
      </c>
      <c r="O55">
        <v>1</v>
      </c>
      <c r="P55">
        <v>3</v>
      </c>
      <c r="Q55" s="3">
        <f>($G55-$I55)/($S55+$V55*20)*S55</f>
        <v>102562.00000000001</v>
      </c>
      <c r="R55" s="122">
        <f>VLOOKUP($C55&amp;$D55,Sales!$A$21:$W$209,14,FALSE)</f>
        <v>94495</v>
      </c>
      <c r="S55" s="3">
        <v>2066</v>
      </c>
      <c r="T55" s="3">
        <f>($G55-$I55)/($S55+$V55*20)*V55*20</f>
        <v>0</v>
      </c>
      <c r="U55" s="122">
        <f>VLOOKUP($C55&amp;$D55,Sales!$A$21:$W$209,17,FALSE)</f>
        <v>47835</v>
      </c>
      <c r="X55" s="27">
        <f t="shared" si="43"/>
        <v>1.60836662934482</v>
      </c>
      <c r="Y55" s="28">
        <v>0.9</v>
      </c>
      <c r="Z55" s="27">
        <f t="shared" si="4"/>
        <v>1</v>
      </c>
      <c r="AA55" s="132">
        <f t="shared" si="5"/>
        <v>1</v>
      </c>
      <c r="AB55" s="27">
        <f t="shared" si="41"/>
        <v>0.60836662934482</v>
      </c>
      <c r="AC55" s="5">
        <f t="shared" si="39"/>
        <v>1.5</v>
      </c>
      <c r="AD55">
        <f t="shared" si="35"/>
        <v>0.55000000000000004</v>
      </c>
      <c r="AE55" s="24">
        <f t="shared" si="22"/>
        <v>1496.385978101943</v>
      </c>
      <c r="AF55" s="24">
        <f t="shared" si="7"/>
        <v>2327.7115214919113</v>
      </c>
      <c r="AG55" s="24">
        <f t="shared" si="8"/>
        <v>25000</v>
      </c>
      <c r="AH55" s="24">
        <f t="shared" si="9"/>
        <v>275000</v>
      </c>
      <c r="AI55" s="5">
        <f t="shared" si="10"/>
        <v>2</v>
      </c>
      <c r="AJ55" s="5">
        <f t="shared" si="44"/>
        <v>0.56100000000000005</v>
      </c>
      <c r="AK55" s="24">
        <f t="shared" si="11"/>
        <v>2403.2870035841806</v>
      </c>
      <c r="AL55" s="24">
        <f t="shared" si="12"/>
        <v>2903.9717959975519</v>
      </c>
      <c r="AM55" s="24">
        <f t="shared" si="13"/>
        <v>60000</v>
      </c>
      <c r="AN55" s="24">
        <f t="shared" si="14"/>
        <v>320000</v>
      </c>
      <c r="AO55" s="5">
        <f t="shared" si="45"/>
        <v>2.5</v>
      </c>
      <c r="AP55" s="5">
        <f t="shared" si="46"/>
        <v>0.57222000000000006</v>
      </c>
      <c r="AQ55" s="24">
        <f t="shared" si="15"/>
        <v>3392.0545697290577</v>
      </c>
      <c r="AR55" s="24">
        <f t="shared" si="16"/>
        <v>3957.3969980172346</v>
      </c>
      <c r="AS55" s="24">
        <f t="shared" si="17"/>
        <v>841900</v>
      </c>
      <c r="AT55" s="24">
        <f t="shared" si="18"/>
        <v>1091900</v>
      </c>
      <c r="BA55" s="5">
        <f t="shared" si="26"/>
        <v>2.5</v>
      </c>
      <c r="BB55" s="5">
        <f t="shared" si="27"/>
        <v>0.57222000000000006</v>
      </c>
      <c r="BC55" s="24">
        <f t="shared" si="28"/>
        <v>3392.0545697290577</v>
      </c>
      <c r="BD55" s="24">
        <f t="shared" si="29"/>
        <v>3957.3969980172346</v>
      </c>
      <c r="BE55" s="24">
        <f t="shared" si="30"/>
        <v>841900</v>
      </c>
      <c r="BF55" s="24">
        <f t="shared" si="31"/>
        <v>1091900</v>
      </c>
      <c r="BI55" t="str">
        <f>RegionWideSubstations!C55</f>
        <v>Coos-Curry Electric Coop, Inc</v>
      </c>
      <c r="BJ55" s="417">
        <f>RegionWideSubstations!AE55/8760</f>
        <v>0.17082031713492501</v>
      </c>
      <c r="BK55" s="416">
        <f>RegionWideSubstations!AF55/8760</f>
        <v>0.26572049332099446</v>
      </c>
      <c r="BL55" s="70">
        <f>(RegionWideSubstations!AK55/8760)-BJ55</f>
        <v>0.10352751432445634</v>
      </c>
      <c r="BM55" s="415">
        <f>(RegionWideSubstations!AL55/8760)-BK55</f>
        <v>6.5783136359091388E-2</v>
      </c>
      <c r="BN55" s="70">
        <f>(RegionWideSubstations!AQ55/8760)-BJ55-BL55</f>
        <v>0.11287300983389009</v>
      </c>
      <c r="BO55" s="415">
        <f>(RegionWideSubstations!AR55/8760)-BK55-BM55</f>
        <v>0.12025401849539757</v>
      </c>
      <c r="BP55" s="70">
        <f t="shared" si="19"/>
        <v>6.4536806882211972E-2</v>
      </c>
      <c r="BQ55" s="24">
        <f t="shared" si="20"/>
        <v>0.45175764817548342</v>
      </c>
    </row>
    <row r="56" spans="1:69">
      <c r="A56">
        <f t="shared" si="42"/>
        <v>44</v>
      </c>
      <c r="B56">
        <v>19603</v>
      </c>
      <c r="C56" t="s">
        <v>79</v>
      </c>
      <c r="D56" t="s">
        <v>1</v>
      </c>
      <c r="E56" t="s">
        <v>62</v>
      </c>
      <c r="F56" s="3">
        <v>9459</v>
      </c>
      <c r="G56" s="3">
        <v>282250</v>
      </c>
      <c r="H56" s="122">
        <f>VLOOKUP($C56&amp;$D56,Sales!$A$21:$W$209,23,FALSE)</f>
        <v>315932</v>
      </c>
      <c r="I56" s="3">
        <v>119451</v>
      </c>
      <c r="J56" s="122">
        <f>VLOOKUP($C56&amp;$D56,Sales!$A$21:$W$209,11,FALSE)</f>
        <v>139822</v>
      </c>
      <c r="K56" s="3">
        <v>9244</v>
      </c>
      <c r="L56" s="122">
        <f>VLOOKUP($C56&amp;$D56,Sales!$A$21:$W$209,12,FALSE)</f>
        <v>10075</v>
      </c>
      <c r="M56" s="3">
        <f t="shared" si="40"/>
        <v>12922.00346170489</v>
      </c>
      <c r="N56">
        <v>2</v>
      </c>
      <c r="O56">
        <v>2</v>
      </c>
      <c r="P56">
        <v>3</v>
      </c>
      <c r="Q56" s="3">
        <f>($G56-$I56)/($S56+$V56*20)*S56</f>
        <v>157838.13661757237</v>
      </c>
      <c r="R56" s="122">
        <f>VLOOKUP($C56&amp;$D56,Sales!$A$21:$W$209,14,FALSE)</f>
        <v>98078</v>
      </c>
      <c r="S56" s="3">
        <v>1909</v>
      </c>
      <c r="T56" s="3">
        <f>($G56-$I56)/($S56+$V56*20)*V56*20</f>
        <v>4960.8633824276285</v>
      </c>
      <c r="U56" s="122">
        <f>VLOOKUP($C56&amp;$D56,Sales!$A$21:$W$209,17,FALSE)</f>
        <v>78032</v>
      </c>
      <c r="V56" s="3">
        <v>3</v>
      </c>
      <c r="X56" s="27">
        <f t="shared" si="43"/>
        <v>1.5949739341317386</v>
      </c>
      <c r="Y56" s="28">
        <v>0.9</v>
      </c>
      <c r="Z56" s="27">
        <f t="shared" si="4"/>
        <v>1</v>
      </c>
      <c r="AA56" s="132">
        <f t="shared" si="5"/>
        <v>1</v>
      </c>
      <c r="AB56" s="27">
        <f t="shared" si="41"/>
        <v>0.5949739341317386</v>
      </c>
      <c r="AC56" s="5">
        <f t="shared" si="39"/>
        <v>1.5</v>
      </c>
      <c r="AD56">
        <f t="shared" si="35"/>
        <v>0.55000000000000004</v>
      </c>
      <c r="AE56" s="24">
        <f t="shared" si="22"/>
        <v>1195.7919165349567</v>
      </c>
      <c r="AF56" s="24">
        <f t="shared" si="7"/>
        <v>1860.1207590543768</v>
      </c>
      <c r="AG56" s="24">
        <f t="shared" si="8"/>
        <v>25000</v>
      </c>
      <c r="AH56" s="24">
        <f t="shared" si="9"/>
        <v>275000</v>
      </c>
      <c r="AI56" s="5">
        <f t="shared" si="10"/>
        <v>2</v>
      </c>
      <c r="AJ56" s="5">
        <f t="shared" si="44"/>
        <v>0.56100000000000005</v>
      </c>
      <c r="AK56" s="24">
        <f t="shared" si="11"/>
        <v>1956.6549454259582</v>
      </c>
      <c r="AL56" s="24">
        <f t="shared" si="12"/>
        <v>2364.2913923896995</v>
      </c>
      <c r="AM56" s="24">
        <f t="shared" si="13"/>
        <v>60000</v>
      </c>
      <c r="AN56" s="24">
        <f t="shared" si="14"/>
        <v>320000</v>
      </c>
      <c r="AO56" s="5">
        <f t="shared" si="45"/>
        <v>2.5</v>
      </c>
      <c r="AP56" s="5">
        <f t="shared" si="46"/>
        <v>0.57222000000000006</v>
      </c>
      <c r="AQ56" s="24">
        <f t="shared" si="15"/>
        <v>2815.1364841151344</v>
      </c>
      <c r="AR56" s="24">
        <f t="shared" si="16"/>
        <v>3284.3258981343233</v>
      </c>
      <c r="AS56" s="24">
        <f t="shared" si="17"/>
        <v>598750</v>
      </c>
      <c r="AT56" s="24">
        <f t="shared" si="18"/>
        <v>848750</v>
      </c>
      <c r="BA56" s="5">
        <f t="shared" si="26"/>
        <v>2.5</v>
      </c>
      <c r="BB56" s="5">
        <f t="shared" si="27"/>
        <v>0.57222000000000006</v>
      </c>
      <c r="BC56" s="24">
        <f t="shared" si="28"/>
        <v>2815.1364841151344</v>
      </c>
      <c r="BD56" s="24">
        <f t="shared" si="29"/>
        <v>3284.3258981343233</v>
      </c>
      <c r="BE56" s="24">
        <f t="shared" si="30"/>
        <v>598750</v>
      </c>
      <c r="BF56" s="24">
        <f t="shared" si="31"/>
        <v>848750</v>
      </c>
      <c r="BI56" t="str">
        <f>RegionWideSubstations!C56</f>
        <v>PUD No 1 of Klickitat County</v>
      </c>
      <c r="BJ56" s="417">
        <f>RegionWideSubstations!AE56/8760</f>
        <v>0.13650592654508639</v>
      </c>
      <c r="BK56" s="416">
        <f>RegionWideSubstations!AF56/8760</f>
        <v>0.21234255240346767</v>
      </c>
      <c r="BL56" s="70">
        <f>(RegionWideSubstations!AK56/8760)-BJ56</f>
        <v>8.6856510147374583E-2</v>
      </c>
      <c r="BM56" s="415">
        <f>(RegionWideSubstations!AL56/8760)-BK56</f>
        <v>5.7553725266589362E-2</v>
      </c>
      <c r="BN56" s="70">
        <f>(RegionWideSubstations!AQ56/8760)-BJ56-BL56</f>
        <v>9.800017564944935E-2</v>
      </c>
      <c r="BO56" s="415">
        <f>(RegionWideSubstations!AR56/8760)-BK56-BM56</f>
        <v>0.10502677006217165</v>
      </c>
      <c r="BP56" s="70">
        <f t="shared" si="19"/>
        <v>5.3560435390318351E-2</v>
      </c>
      <c r="BQ56" s="24">
        <f t="shared" si="20"/>
        <v>0.37492304773222868</v>
      </c>
    </row>
    <row r="57" spans="1:69">
      <c r="A57">
        <f t="shared" si="42"/>
        <v>45</v>
      </c>
      <c r="B57">
        <v>5832</v>
      </c>
      <c r="C57" t="s">
        <v>347</v>
      </c>
      <c r="D57" t="s">
        <v>1</v>
      </c>
      <c r="E57" t="s">
        <v>62</v>
      </c>
      <c r="F57" s="3">
        <v>11442</v>
      </c>
      <c r="G57" s="3">
        <v>281058</v>
      </c>
      <c r="H57" s="122">
        <f>VLOOKUP($C57&amp;$D57,Sales!$A$21:$W$209,23,FALSE)</f>
        <v>285855</v>
      </c>
      <c r="I57" s="3">
        <v>165674</v>
      </c>
      <c r="J57" s="122">
        <f>VLOOKUP($C57&amp;$D57,Sales!$A$21:$W$209,11,FALSE)</f>
        <v>179572</v>
      </c>
      <c r="K57" s="3">
        <v>14367</v>
      </c>
      <c r="L57" s="122">
        <f>VLOOKUP($C57&amp;$D57,Sales!$A$21:$W$209,12,FALSE)</f>
        <v>14998</v>
      </c>
      <c r="M57" s="3">
        <f t="shared" si="40"/>
        <v>11531.565392914317</v>
      </c>
      <c r="N57">
        <v>1</v>
      </c>
      <c r="O57">
        <v>1</v>
      </c>
      <c r="P57">
        <v>1</v>
      </c>
      <c r="Q57" s="3">
        <f>($G57-$I57)/($S57+$V57*20)*S57</f>
        <v>113245.27896200186</v>
      </c>
      <c r="R57" s="122">
        <f>VLOOKUP($C57&amp;$D57,Sales!$A$21:$W$209,14,FALSE)</f>
        <v>83201</v>
      </c>
      <c r="S57" s="3">
        <v>2118</v>
      </c>
      <c r="T57" s="3">
        <f>($G57-$I57)/($S57+$V57*20)*V57*20</f>
        <v>2138.7210379981466</v>
      </c>
      <c r="U57" s="122">
        <f>VLOOKUP($C57&amp;$D57,Sales!$A$21:$W$209,17,FALSE)</f>
        <v>23082</v>
      </c>
      <c r="V57" s="3">
        <v>2</v>
      </c>
      <c r="X57" s="27">
        <f t="shared" si="43"/>
        <v>1.5882380300414463</v>
      </c>
      <c r="Y57" s="28">
        <v>0.9</v>
      </c>
      <c r="Z57" s="27">
        <f t="shared" si="4"/>
        <v>1</v>
      </c>
      <c r="AA57" s="132">
        <f t="shared" si="5"/>
        <v>1</v>
      </c>
      <c r="AB57" s="27">
        <f t="shared" si="41"/>
        <v>0.58823803004144626</v>
      </c>
      <c r="AC57" s="5">
        <f t="shared" si="39"/>
        <v>1.5</v>
      </c>
      <c r="AD57">
        <f t="shared" si="35"/>
        <v>0.55000000000000004</v>
      </c>
      <c r="AE57" s="24">
        <f t="shared" si="22"/>
        <v>1346.3445711299842</v>
      </c>
      <c r="AF57" s="24">
        <f t="shared" si="7"/>
        <v>2094.3137773133085</v>
      </c>
      <c r="AG57" s="24">
        <f t="shared" si="8"/>
        <v>25000</v>
      </c>
      <c r="AH57" s="24">
        <f t="shared" si="9"/>
        <v>275000</v>
      </c>
      <c r="AI57" s="5">
        <f t="shared" si="10"/>
        <v>2</v>
      </c>
      <c r="AJ57" s="5">
        <f t="shared" si="44"/>
        <v>0.56100000000000005</v>
      </c>
      <c r="AK57" s="24">
        <f t="shared" si="11"/>
        <v>2148.9897623542724</v>
      </c>
      <c r="AL57" s="24">
        <f t="shared" si="12"/>
        <v>2596.6959628447457</v>
      </c>
      <c r="AM57" s="24">
        <f t="shared" si="13"/>
        <v>60000</v>
      </c>
      <c r="AN57" s="24">
        <f t="shared" si="14"/>
        <v>320000</v>
      </c>
      <c r="AO57" s="5">
        <f t="shared" si="45"/>
        <v>2.5</v>
      </c>
      <c r="AP57" s="5">
        <f t="shared" si="46"/>
        <v>0.57222000000000006</v>
      </c>
      <c r="AQ57" s="24">
        <f t="shared" si="15"/>
        <v>3015.8668748358109</v>
      </c>
      <c r="AR57" s="24">
        <f t="shared" si="16"/>
        <v>3518.5113539751128</v>
      </c>
      <c r="AS57" s="24">
        <f t="shared" si="17"/>
        <v>844900</v>
      </c>
      <c r="AT57" s="24">
        <f t="shared" si="18"/>
        <v>1094900</v>
      </c>
      <c r="BA57" s="5">
        <f t="shared" si="26"/>
        <v>2.5</v>
      </c>
      <c r="BB57" s="5">
        <f t="shared" si="27"/>
        <v>0.57222000000000006</v>
      </c>
      <c r="BC57" s="24">
        <f t="shared" si="28"/>
        <v>3015.8668748358109</v>
      </c>
      <c r="BD57" s="24">
        <f t="shared" si="29"/>
        <v>3518.5113539751128</v>
      </c>
      <c r="BE57" s="24">
        <f t="shared" si="30"/>
        <v>844900</v>
      </c>
      <c r="BF57" s="24">
        <f t="shared" si="31"/>
        <v>1094900</v>
      </c>
      <c r="BI57" t="str">
        <f>RegionWideSubstations!C57</f>
        <v>Pacific Public Utility District No 2</v>
      </c>
      <c r="BJ57" s="417">
        <f>RegionWideSubstations!AE57/8760</f>
        <v>0.15369230264040915</v>
      </c>
      <c r="BK57" s="416">
        <f>RegionWideSubstations!AF57/8760</f>
        <v>0.2390769152184142</v>
      </c>
      <c r="BL57" s="70">
        <f>(RegionWideSubstations!AK57/8760)-BJ57</f>
        <v>9.1626163381768072E-2</v>
      </c>
      <c r="BM57" s="415">
        <f>(RegionWideSubstations!AL57/8760)-BK57</f>
        <v>5.7349564558383276E-2</v>
      </c>
      <c r="BN57" s="70">
        <f>(RegionWideSubstations!AQ57/8760)-BJ57-BL57</f>
        <v>9.8958574484193873E-2</v>
      </c>
      <c r="BO57" s="415">
        <f>(RegionWideSubstations!AR57/8760)-BK57-BM57</f>
        <v>0.10523006748063551</v>
      </c>
      <c r="BP57" s="70">
        <f t="shared" si="19"/>
        <v>5.7379506751061904E-2</v>
      </c>
      <c r="BQ57" s="24">
        <f t="shared" si="20"/>
        <v>0.40165654725743299</v>
      </c>
    </row>
    <row r="58" spans="1:69">
      <c r="A58">
        <f t="shared" si="42"/>
        <v>46</v>
      </c>
      <c r="B58">
        <v>12187</v>
      </c>
      <c r="C58" t="s">
        <v>144</v>
      </c>
      <c r="D58" t="s">
        <v>3</v>
      </c>
      <c r="E58" t="s">
        <v>91</v>
      </c>
      <c r="F58" s="3">
        <v>2155</v>
      </c>
      <c r="G58" s="3">
        <v>272874</v>
      </c>
      <c r="H58" s="122">
        <f>VLOOKUP($C58&amp;$D58,Sales!$A$21:$W$209,23,FALSE)</f>
        <v>277743</v>
      </c>
      <c r="I58" s="3">
        <v>26881</v>
      </c>
      <c r="J58" s="122">
        <f>VLOOKUP($C58&amp;$D58,Sales!$A$21:$W$209,11,FALSE)</f>
        <v>32666</v>
      </c>
      <c r="K58" s="3">
        <v>1951</v>
      </c>
      <c r="L58" s="122">
        <f>VLOOKUP($C58&amp;$D58,Sales!$A$21:$W$209,12,FALSE)</f>
        <v>2142</v>
      </c>
      <c r="M58" s="3">
        <f t="shared" si="40"/>
        <v>13778.062532034854</v>
      </c>
      <c r="N58">
        <v>3</v>
      </c>
      <c r="O58">
        <v>1</v>
      </c>
      <c r="P58">
        <v>4</v>
      </c>
      <c r="Q58" s="3">
        <f>($G58-$I68)/($S58+$V58*20)*S58</f>
        <v>245171.05583756344</v>
      </c>
      <c r="R58" s="122">
        <f>VLOOKUP($C58&amp;$D58,Sales!$A$21:$W$209,14,FALSE)</f>
        <v>19882</v>
      </c>
      <c r="S58" s="3">
        <v>354</v>
      </c>
      <c r="T58" s="3">
        <f>($G58-$I68)/($S58+$V58*20)*V58*10</f>
        <v>13851.472081218273</v>
      </c>
      <c r="U58" s="122">
        <f>VLOOKUP($C58&amp;$D58,Sales!$A$21:$W$209,17,FALSE)</f>
        <v>225195</v>
      </c>
      <c r="V58" s="3">
        <v>2</v>
      </c>
      <c r="X58" s="27">
        <f t="shared" si="43"/>
        <v>1.5419908496094386</v>
      </c>
      <c r="Y58" s="28">
        <v>0.9</v>
      </c>
      <c r="Z58" s="27">
        <f t="shared" si="4"/>
        <v>1</v>
      </c>
      <c r="AA58" s="132">
        <f t="shared" si="5"/>
        <v>1</v>
      </c>
      <c r="AB58" s="27">
        <f t="shared" si="41"/>
        <v>0.54199084960943855</v>
      </c>
      <c r="AC58" s="5">
        <f t="shared" si="39"/>
        <v>1.5</v>
      </c>
      <c r="AD58">
        <f t="shared" si="35"/>
        <v>0.55000000000000004</v>
      </c>
      <c r="AE58" s="24">
        <f t="shared" si="22"/>
        <v>379.19302758300904</v>
      </c>
      <c r="AF58" s="24">
        <f t="shared" si="7"/>
        <v>589.85582068468068</v>
      </c>
      <c r="AG58" s="24">
        <f t="shared" si="8"/>
        <v>25000</v>
      </c>
      <c r="AH58" s="24">
        <f t="shared" si="9"/>
        <v>150000</v>
      </c>
      <c r="AI58" s="5">
        <f t="shared" si="10"/>
        <v>2</v>
      </c>
      <c r="AJ58" s="5">
        <f t="shared" si="44"/>
        <v>0.56100000000000005</v>
      </c>
      <c r="AK58" s="24">
        <f t="shared" si="11"/>
        <v>739.37250339784498</v>
      </c>
      <c r="AL58" s="24">
        <f t="shared" si="12"/>
        <v>893.40844160572931</v>
      </c>
      <c r="AM58" s="24">
        <f t="shared" si="13"/>
        <v>60000</v>
      </c>
      <c r="AN58" s="24">
        <f t="shared" si="14"/>
        <v>167500</v>
      </c>
      <c r="AO58" s="5">
        <f t="shared" si="45"/>
        <v>2.5</v>
      </c>
      <c r="AP58" s="5">
        <f t="shared" si="46"/>
        <v>0.57222000000000006</v>
      </c>
      <c r="AQ58" s="24">
        <f t="shared" si="15"/>
        <v>1204.3226000079894</v>
      </c>
      <c r="AR58" s="24">
        <f t="shared" si="16"/>
        <v>1405.0430333426543</v>
      </c>
      <c r="AS58" s="24">
        <f t="shared" si="17"/>
        <v>202100</v>
      </c>
      <c r="AT58" s="24">
        <f t="shared" si="18"/>
        <v>307100</v>
      </c>
      <c r="BA58" s="5">
        <f t="shared" si="26"/>
        <v>2.5</v>
      </c>
      <c r="BB58" s="5">
        <f t="shared" si="27"/>
        <v>0.57222000000000006</v>
      </c>
      <c r="BC58" s="24">
        <f t="shared" si="28"/>
        <v>1204.3226000079894</v>
      </c>
      <c r="BD58" s="24">
        <f t="shared" si="29"/>
        <v>1405.0430333426543</v>
      </c>
      <c r="BE58" s="24">
        <f t="shared" si="30"/>
        <v>202100</v>
      </c>
      <c r="BF58" s="24">
        <f t="shared" si="31"/>
        <v>307100</v>
      </c>
      <c r="BI58" t="str">
        <f>RegionWideSubstations!C58</f>
        <v>Salmon River Electric Coop Inc</v>
      </c>
      <c r="BJ58" s="417">
        <f>RegionWideSubstations!AE58/8760</f>
        <v>4.3286875294864045E-2</v>
      </c>
      <c r="BK58" s="416">
        <f>RegionWideSubstations!AF58/8760</f>
        <v>6.7335139347566283E-2</v>
      </c>
      <c r="BL58" s="70">
        <f>(RegionWideSubstations!AK58/8760)-BJ58</f>
        <v>4.1116378517675335E-2</v>
      </c>
      <c r="BM58" s="415">
        <f>(RegionWideSubstations!AL58/8760)-BK58</f>
        <v>3.4652125675918799E-2</v>
      </c>
      <c r="BN58" s="70">
        <f>(RegionWideSubstations!AQ58/8760)-BJ58-BL58</f>
        <v>5.3076495046820125E-2</v>
      </c>
      <c r="BO58" s="415">
        <f>(RegionWideSubstations!AR58/8760)-BK58-BM58</f>
        <v>5.8405775312434363E-2</v>
      </c>
      <c r="BP58" s="70">
        <f t="shared" si="19"/>
        <v>2.2913291476559933E-2</v>
      </c>
      <c r="BQ58" s="24">
        <f t="shared" si="20"/>
        <v>0.16039304033591945</v>
      </c>
    </row>
    <row r="59" spans="1:69">
      <c r="A59">
        <f t="shared" si="42"/>
        <v>47</v>
      </c>
      <c r="B59">
        <v>12692</v>
      </c>
      <c r="C59" t="s">
        <v>104</v>
      </c>
      <c r="D59" t="s">
        <v>5</v>
      </c>
      <c r="E59" t="s">
        <v>91</v>
      </c>
      <c r="F59" s="3">
        <v>14215</v>
      </c>
      <c r="G59" s="3">
        <v>259482</v>
      </c>
      <c r="H59" s="122">
        <f>VLOOKUP($C59&amp;$D59,Sales!$A$21:$W$209,23,FALSE)</f>
        <v>371579</v>
      </c>
      <c r="I59" s="3">
        <v>208436</v>
      </c>
      <c r="J59" s="122">
        <f>VLOOKUP($C59&amp;$D59,Sales!$A$21:$W$209,11,FALSE)</f>
        <v>231394</v>
      </c>
      <c r="K59" s="3">
        <v>15141</v>
      </c>
      <c r="L59" s="122">
        <f>VLOOKUP($C59&amp;$D59,Sales!$A$21:$W$209,12,FALSE)</f>
        <v>16160</v>
      </c>
      <c r="M59" s="3">
        <f t="shared" si="40"/>
        <v>13766.329832904035</v>
      </c>
      <c r="N59">
        <v>2</v>
      </c>
      <c r="O59">
        <v>3</v>
      </c>
      <c r="P59">
        <v>4</v>
      </c>
      <c r="Q59" s="3">
        <f>($G59-$I59)/($S59+$V59*20)*S59</f>
        <v>7811.5506413091553</v>
      </c>
      <c r="R59" s="122">
        <f>VLOOKUP($C59&amp;$D59,Sales!$A$21:$W$209,14,FALSE)</f>
        <v>112104</v>
      </c>
      <c r="S59" s="3">
        <v>1384</v>
      </c>
      <c r="T59" s="3">
        <f>($G59-$I59)/($S59+$V59*20)*V59*20</f>
        <v>43234.449358690843</v>
      </c>
      <c r="U59" s="122">
        <f>VLOOKUP($C59&amp;$D59,Sales!$A$21:$W$209,17,FALSE)</f>
        <v>28081</v>
      </c>
      <c r="V59" s="3">
        <v>383</v>
      </c>
      <c r="X59" s="27">
        <f t="shared" si="43"/>
        <v>1.4663136452661534</v>
      </c>
      <c r="Y59" s="28">
        <v>0.9</v>
      </c>
      <c r="Z59" s="27">
        <f t="shared" si="4"/>
        <v>1</v>
      </c>
      <c r="AA59" s="132">
        <f t="shared" si="5"/>
        <v>1</v>
      </c>
      <c r="AB59" s="27">
        <f t="shared" si="41"/>
        <v>0.46631364526615338</v>
      </c>
      <c r="AC59" s="5">
        <f t="shared" si="39"/>
        <v>1.5</v>
      </c>
      <c r="AD59">
        <f t="shared" ref="AD59:AD90" si="47">0.5*$AD$9</f>
        <v>0.55000000000000004</v>
      </c>
      <c r="AE59" s="24">
        <f t="shared" si="22"/>
        <v>1750.9600385854312</v>
      </c>
      <c r="AF59" s="24">
        <f t="shared" si="7"/>
        <v>2723.7156155773373</v>
      </c>
      <c r="AG59" s="24">
        <f t="shared" si="8"/>
        <v>25000</v>
      </c>
      <c r="AH59" s="24">
        <f t="shared" si="9"/>
        <v>275000</v>
      </c>
      <c r="AI59" s="5">
        <f t="shared" si="10"/>
        <v>2</v>
      </c>
      <c r="AJ59" s="5">
        <f t="shared" si="44"/>
        <v>0.56100000000000005</v>
      </c>
      <c r="AK59" s="24">
        <f t="shared" si="11"/>
        <v>2795.5890063678198</v>
      </c>
      <c r="AL59" s="24">
        <f t="shared" si="12"/>
        <v>3378.0033826944491</v>
      </c>
      <c r="AM59" s="24">
        <f t="shared" si="13"/>
        <v>60000</v>
      </c>
      <c r="AN59" s="24">
        <f t="shared" si="14"/>
        <v>320000</v>
      </c>
      <c r="AO59" s="5">
        <f t="shared" si="45"/>
        <v>2.5</v>
      </c>
      <c r="AP59" s="5">
        <f t="shared" si="46"/>
        <v>0.57222000000000006</v>
      </c>
      <c r="AQ59" s="24">
        <f t="shared" si="15"/>
        <v>3925.7211035646114</v>
      </c>
      <c r="AR59" s="24">
        <f t="shared" si="16"/>
        <v>4580.0079541587129</v>
      </c>
      <c r="AS59" s="24">
        <f t="shared" si="17"/>
        <v>903000</v>
      </c>
      <c r="AT59" s="24">
        <f t="shared" si="18"/>
        <v>1153000</v>
      </c>
      <c r="BA59" s="5">
        <f t="shared" si="26"/>
        <v>2.5</v>
      </c>
      <c r="BB59" s="5">
        <f t="shared" si="27"/>
        <v>0.57222000000000006</v>
      </c>
      <c r="BC59" s="24">
        <f t="shared" si="28"/>
        <v>3925.7211035646114</v>
      </c>
      <c r="BD59" s="24">
        <f t="shared" si="29"/>
        <v>4580.0079541587129</v>
      </c>
      <c r="BE59" s="24">
        <f t="shared" si="30"/>
        <v>903000</v>
      </c>
      <c r="BF59" s="24">
        <f t="shared" si="31"/>
        <v>1153000</v>
      </c>
      <c r="BI59" t="str">
        <f>RegionWideSubstations!C59</f>
        <v>Midstate Electric Coop, Inc</v>
      </c>
      <c r="BJ59" s="417">
        <f>RegionWideSubstations!AE59/8760</f>
        <v>0.19988128294354238</v>
      </c>
      <c r="BK59" s="416">
        <f>RegionWideSubstations!AF59/8760</f>
        <v>0.31092644013439924</v>
      </c>
      <c r="BL59" s="70">
        <f>(RegionWideSubstations!AK59/8760)-BJ59</f>
        <v>0.11924988216693935</v>
      </c>
      <c r="BM59" s="415">
        <f>(RegionWideSubstations!AL59/8760)-BK59</f>
        <v>7.4690384374099528E-2</v>
      </c>
      <c r="BN59" s="70">
        <f>(RegionWideSubstations!AQ59/8760)-BJ59-BL59</f>
        <v>0.12901051337862918</v>
      </c>
      <c r="BO59" s="415">
        <f>(RegionWideSubstations!AR59/8760)-BK59-BM59</f>
        <v>0.13721513372879723</v>
      </c>
      <c r="BP59" s="70">
        <f t="shared" si="19"/>
        <v>7.4690279748185096E-2</v>
      </c>
      <c r="BQ59" s="24">
        <f t="shared" si="20"/>
        <v>0.522831958237296</v>
      </c>
    </row>
    <row r="60" spans="1:69">
      <c r="A60">
        <f t="shared" si="42"/>
        <v>48</v>
      </c>
      <c r="B60">
        <v>10681</v>
      </c>
      <c r="C60" t="s">
        <v>34</v>
      </c>
      <c r="D60" t="s">
        <v>5</v>
      </c>
      <c r="E60" t="s">
        <v>29</v>
      </c>
      <c r="F60" s="3">
        <v>5107</v>
      </c>
      <c r="G60" s="3">
        <v>249995</v>
      </c>
      <c r="H60" s="122">
        <f>VLOOKUP($C60&amp;$D60,Sales!$A$21:$W$209,23,FALSE)</f>
        <v>232553</v>
      </c>
      <c r="I60" s="3">
        <v>105163</v>
      </c>
      <c r="J60" s="122">
        <f>VLOOKUP($C60&amp;$D60,Sales!$A$21:$W$209,11,FALSE)</f>
        <v>109097</v>
      </c>
      <c r="K60" s="3">
        <v>7596</v>
      </c>
      <c r="L60" s="122">
        <f>VLOOKUP($C60&amp;$D60,Sales!$A$21:$W$209,12,FALSE)</f>
        <v>8159</v>
      </c>
      <c r="M60" s="3">
        <f t="shared" si="40"/>
        <v>13844.523433385992</v>
      </c>
      <c r="N60">
        <v>1</v>
      </c>
      <c r="O60">
        <v>2</v>
      </c>
      <c r="P60">
        <v>2</v>
      </c>
      <c r="Q60" s="3">
        <f>($G60-$I60)/($S60+$V60*20)*S60</f>
        <v>46640.813559322036</v>
      </c>
      <c r="R60" s="122">
        <f>VLOOKUP($C60&amp;$D60,Sales!$A$21:$W$209,14,FALSE)</f>
        <v>20915</v>
      </c>
      <c r="S60" s="3">
        <v>1045</v>
      </c>
      <c r="T60" s="3">
        <f>($G60-$I60)/($S60+$V60*20)*V60*20</f>
        <v>98191.186440677979</v>
      </c>
      <c r="U60" s="122">
        <f>VLOOKUP($C60&amp;$D60,Sales!$A$21:$W$209,17,FALSE)</f>
        <v>102541</v>
      </c>
      <c r="V60" s="3">
        <v>110</v>
      </c>
      <c r="X60" s="27">
        <f t="shared" si="43"/>
        <v>1.4127033079300761</v>
      </c>
      <c r="Y60" s="28">
        <v>0.9</v>
      </c>
      <c r="Z60" s="27">
        <f t="shared" si="4"/>
        <v>1</v>
      </c>
      <c r="AA60" s="132">
        <f t="shared" si="5"/>
        <v>1</v>
      </c>
      <c r="AB60" s="27">
        <f t="shared" si="41"/>
        <v>0.41270330793007615</v>
      </c>
      <c r="AC60" s="5">
        <f>2*$AC$9</f>
        <v>2</v>
      </c>
      <c r="AD60">
        <f t="shared" si="47"/>
        <v>0.55000000000000004</v>
      </c>
      <c r="AE60" s="24">
        <f t="shared" si="22"/>
        <v>1016.5201770892584</v>
      </c>
      <c r="AF60" s="24">
        <f t="shared" si="7"/>
        <v>1440.0702508764493</v>
      </c>
      <c r="AG60" s="24">
        <f t="shared" si="8"/>
        <v>25000</v>
      </c>
      <c r="AH60" s="24">
        <f t="shared" si="9"/>
        <v>275000</v>
      </c>
      <c r="AI60" s="5">
        <f t="shared" si="10"/>
        <v>2.5</v>
      </c>
      <c r="AJ60" s="5">
        <f t="shared" si="44"/>
        <v>0.56100000000000005</v>
      </c>
      <c r="AK60" s="24">
        <f t="shared" si="11"/>
        <v>1574.0830727567604</v>
      </c>
      <c r="AL60" s="24">
        <f t="shared" si="12"/>
        <v>1836.430251549554</v>
      </c>
      <c r="AM60" s="24">
        <f t="shared" si="13"/>
        <v>60000</v>
      </c>
      <c r="AN60" s="24">
        <f t="shared" si="14"/>
        <v>320000</v>
      </c>
      <c r="AO60" s="5">
        <f t="shared" si="45"/>
        <v>3</v>
      </c>
      <c r="AP60" s="5">
        <f t="shared" si="46"/>
        <v>0.57222000000000006</v>
      </c>
      <c r="AQ60" s="24">
        <f t="shared" si="15"/>
        <v>2172.5656641293667</v>
      </c>
      <c r="AR60" s="24">
        <f t="shared" si="16"/>
        <v>2474.3108952584453</v>
      </c>
      <c r="AS60" s="24">
        <f t="shared" si="17"/>
        <v>502950</v>
      </c>
      <c r="AT60" s="24">
        <f t="shared" si="18"/>
        <v>752950</v>
      </c>
      <c r="BA60" s="5">
        <f t="shared" si="26"/>
        <v>3</v>
      </c>
      <c r="BB60" s="5">
        <f t="shared" si="27"/>
        <v>0.57222000000000006</v>
      </c>
      <c r="BC60" s="24">
        <f t="shared" si="28"/>
        <v>2172.5656641293667</v>
      </c>
      <c r="BD60" s="24">
        <f t="shared" si="29"/>
        <v>2474.3108952584453</v>
      </c>
      <c r="BE60" s="24">
        <f t="shared" si="30"/>
        <v>502950</v>
      </c>
      <c r="BF60" s="24">
        <f t="shared" si="31"/>
        <v>752950</v>
      </c>
      <c r="BI60" t="str">
        <f>RegionWideSubstations!C60</f>
        <v>City of Forest Grove</v>
      </c>
      <c r="BJ60" s="417">
        <f>RegionWideSubstations!AE60/8760</f>
        <v>0.11604111610607973</v>
      </c>
      <c r="BK60" s="416">
        <f>RegionWideSubstations!AF60/8760</f>
        <v>0.1643915811502796</v>
      </c>
      <c r="BL60" s="70">
        <f>(RegionWideSubstations!AK60/8760)-BJ60</f>
        <v>6.364873238213492E-2</v>
      </c>
      <c r="BM60" s="415">
        <f>(RegionWideSubstations!AL60/8760)-BK60</f>
        <v>4.5246575419304186E-2</v>
      </c>
      <c r="BN60" s="70">
        <f>(RegionWideSubstations!AQ60/8760)-BJ60-BL60</f>
        <v>6.8319930521987038E-2</v>
      </c>
      <c r="BO60" s="415">
        <f>(RegionWideSubstations!AR60/8760)-BK60-BM60</f>
        <v>7.2817425080923648E-2</v>
      </c>
      <c r="BP60" s="70">
        <f t="shared" si="19"/>
        <v>3.444580264030575E-2</v>
      </c>
      <c r="BQ60" s="24">
        <f t="shared" si="20"/>
        <v>0.28245558165050744</v>
      </c>
    </row>
    <row r="61" spans="1:69">
      <c r="A61">
        <f t="shared" si="42"/>
        <v>49</v>
      </c>
      <c r="B61">
        <v>1625</v>
      </c>
      <c r="C61" t="s">
        <v>96</v>
      </c>
      <c r="D61" t="s">
        <v>5</v>
      </c>
      <c r="E61" t="s">
        <v>91</v>
      </c>
      <c r="F61" s="3">
        <v>22621</v>
      </c>
      <c r="G61" s="9">
        <f>+I61</f>
        <v>246248</v>
      </c>
      <c r="H61" s="122">
        <f>VLOOKUP($C61&amp;$D61,Sales!$A$21:$W$209,23,FALSE)</f>
        <v>631608</v>
      </c>
      <c r="I61" s="3">
        <v>246248</v>
      </c>
      <c r="J61" s="122">
        <f>VLOOKUP($C61&amp;$D61,Sales!$A$21:$W$209,11,FALSE)</f>
        <v>280932</v>
      </c>
      <c r="K61" s="3">
        <v>24046</v>
      </c>
      <c r="L61" s="122">
        <f>VLOOKUP($C61&amp;$D61,Sales!$A$21:$W$209,12,FALSE)</f>
        <v>25033</v>
      </c>
      <c r="M61" s="3">
        <f t="shared" si="40"/>
        <v>10240.705314813275</v>
      </c>
      <c r="N61">
        <v>2</v>
      </c>
      <c r="O61">
        <v>2</v>
      </c>
      <c r="P61">
        <v>3</v>
      </c>
      <c r="Q61" s="3"/>
      <c r="R61" s="122">
        <f>VLOOKUP($C61&amp;$D61,Sales!$A$21:$W$209,14,FALSE)</f>
        <v>244065</v>
      </c>
      <c r="T61" s="3"/>
      <c r="U61" s="122">
        <f>VLOOKUP($C61&amp;$D61,Sales!$A$21:$W$209,17,FALSE)</f>
        <v>106611</v>
      </c>
      <c r="X61" s="27">
        <f t="shared" si="43"/>
        <v>1.391529287270407</v>
      </c>
      <c r="Y61" s="28">
        <v>0.9</v>
      </c>
      <c r="Z61" s="27">
        <f t="shared" si="4"/>
        <v>1</v>
      </c>
      <c r="AA61" s="132">
        <f t="shared" si="5"/>
        <v>2</v>
      </c>
      <c r="AB61" s="27">
        <f t="shared" si="41"/>
        <v>0.39152928727040703</v>
      </c>
      <c r="AC61" s="5">
        <f>1.5*$AC$9</f>
        <v>1.5</v>
      </c>
      <c r="AD61">
        <f t="shared" si="47"/>
        <v>0.55000000000000004</v>
      </c>
      <c r="AE61" s="24">
        <f t="shared" si="22"/>
        <v>2538.8521770877833</v>
      </c>
      <c r="AF61" s="24">
        <f t="shared" si="7"/>
        <v>3949.3256088032181</v>
      </c>
      <c r="AG61" s="24">
        <f t="shared" si="8"/>
        <v>50000</v>
      </c>
      <c r="AH61" s="24">
        <f t="shared" si="9"/>
        <v>550000</v>
      </c>
      <c r="AI61" s="5">
        <f t="shared" si="10"/>
        <v>2</v>
      </c>
      <c r="AJ61" s="5">
        <f t="shared" si="44"/>
        <v>0.56100000000000005</v>
      </c>
      <c r="AK61" s="24">
        <f t="shared" si="11"/>
        <v>4135.6814774678651</v>
      </c>
      <c r="AL61" s="24">
        <f t="shared" si="12"/>
        <v>4997.2817852736698</v>
      </c>
      <c r="AM61" s="24">
        <f t="shared" si="13"/>
        <v>120000</v>
      </c>
      <c r="AN61" s="24">
        <f t="shared" si="14"/>
        <v>640000</v>
      </c>
      <c r="AO61" s="5">
        <f t="shared" si="45"/>
        <v>2.5</v>
      </c>
      <c r="AP61" s="5">
        <f t="shared" si="46"/>
        <v>0.57222000000000006</v>
      </c>
      <c r="AQ61" s="24">
        <f t="shared" si="15"/>
        <v>5941.0283845646509</v>
      </c>
      <c r="AR61" s="24">
        <f t="shared" si="16"/>
        <v>6931.1997819920925</v>
      </c>
      <c r="AS61" s="24">
        <f t="shared" si="17"/>
        <v>1441650</v>
      </c>
      <c r="AT61" s="24">
        <f t="shared" si="18"/>
        <v>1941650</v>
      </c>
      <c r="BA61" s="5">
        <f t="shared" si="26"/>
        <v>2.5</v>
      </c>
      <c r="BB61" s="5">
        <f t="shared" si="27"/>
        <v>0.57222000000000006</v>
      </c>
      <c r="BC61" s="24">
        <f t="shared" si="28"/>
        <v>5941.0283845646509</v>
      </c>
      <c r="BD61" s="24">
        <f t="shared" si="29"/>
        <v>6931.1997819920925</v>
      </c>
      <c r="BE61" s="24">
        <f t="shared" si="30"/>
        <v>1441650</v>
      </c>
      <c r="BF61" s="24">
        <f t="shared" si="31"/>
        <v>1941650</v>
      </c>
      <c r="BI61" t="str">
        <f>RegionWideSubstations!C61</f>
        <v>Oregon Trail El Cons Coop, Inc</v>
      </c>
      <c r="BJ61" s="417">
        <f>RegionWideSubstations!AE61/8760</f>
        <v>0.28982330788673327</v>
      </c>
      <c r="BK61" s="416">
        <f>RegionWideSubstations!AF61/8760</f>
        <v>0.45083625671269612</v>
      </c>
      <c r="BL61" s="70">
        <f>(RegionWideSubstations!AK61/8760)-BJ61</f>
        <v>0.1822864498150778</v>
      </c>
      <c r="BM61" s="415">
        <f>(RegionWideSubstations!AL61/8760)-BK61</f>
        <v>0.11962970051032551</v>
      </c>
      <c r="BN61" s="70">
        <f>(RegionWideSubstations!AQ61/8760)-BJ61-BL61</f>
        <v>0.20608982957725863</v>
      </c>
      <c r="BO61" s="415">
        <f>(RegionWideSubstations!AR61/8760)-BK61-BM61</f>
        <v>0.22076689460255972</v>
      </c>
      <c r="BP61" s="70">
        <f t="shared" si="19"/>
        <v>0.11303326454651164</v>
      </c>
      <c r="BQ61" s="24">
        <f t="shared" si="20"/>
        <v>0.79123285182558134</v>
      </c>
    </row>
    <row r="62" spans="1:69">
      <c r="A62">
        <f t="shared" si="42"/>
        <v>50</v>
      </c>
      <c r="B62">
        <v>14170</v>
      </c>
      <c r="C62" t="s">
        <v>80</v>
      </c>
      <c r="D62" t="s">
        <v>5</v>
      </c>
      <c r="E62" t="s">
        <v>62</v>
      </c>
      <c r="F62" s="3">
        <v>7618</v>
      </c>
      <c r="G62" s="3">
        <v>242429</v>
      </c>
      <c r="H62" s="122">
        <f>VLOOKUP($C62&amp;$D62,Sales!$A$21:$W$209,23,FALSE)</f>
        <v>550475</v>
      </c>
      <c r="I62" s="3">
        <v>130575</v>
      </c>
      <c r="J62" s="122">
        <f>VLOOKUP($C62&amp;$D62,Sales!$A$21:$W$209,11,FALSE)</f>
        <v>139695</v>
      </c>
      <c r="K62" s="3">
        <v>8888</v>
      </c>
      <c r="L62" s="122">
        <f>VLOOKUP($C62&amp;$D62,Sales!$A$21:$W$209,12,FALSE)</f>
        <v>9198</v>
      </c>
      <c r="M62" s="3">
        <f t="shared" si="40"/>
        <v>14691.156615661566</v>
      </c>
      <c r="N62">
        <v>2</v>
      </c>
      <c r="O62">
        <v>3</v>
      </c>
      <c r="P62">
        <v>3</v>
      </c>
      <c r="Q62" s="3">
        <f>($G62-$I62)/($S62+$V62*20)*S62</f>
        <v>10997.635491606714</v>
      </c>
      <c r="R62" s="122">
        <f>VLOOKUP($C62&amp;$D62,Sales!$A$21:$W$209,14,FALSE)</f>
        <v>17549</v>
      </c>
      <c r="S62" s="3">
        <v>410</v>
      </c>
      <c r="T62" s="3">
        <f>($G62-$I62)/($S62+$V62*20)*V62*20</f>
        <v>100856.36450839329</v>
      </c>
      <c r="U62" s="122">
        <f>VLOOKUP($C62&amp;$D62,Sales!$A$21:$W$209,17,FALSE)</f>
        <v>393231</v>
      </c>
      <c r="V62" s="3">
        <v>188</v>
      </c>
      <c r="X62" s="27">
        <f t="shared" si="43"/>
        <v>1.36994839992072</v>
      </c>
      <c r="Y62" s="28">
        <v>0.9</v>
      </c>
      <c r="Z62" s="27">
        <f t="shared" si="4"/>
        <v>1</v>
      </c>
      <c r="AA62" s="132">
        <f t="shared" si="5"/>
        <v>1</v>
      </c>
      <c r="AB62" s="27">
        <f t="shared" si="41"/>
        <v>0.36994839992072004</v>
      </c>
      <c r="AC62" s="5">
        <f>1.5*$AC$9</f>
        <v>1.5</v>
      </c>
      <c r="AD62">
        <f t="shared" si="47"/>
        <v>0.55000000000000004</v>
      </c>
      <c r="AE62" s="24">
        <f t="shared" si="22"/>
        <v>1083.8426110199689</v>
      </c>
      <c r="AF62" s="24">
        <f t="shared" si="7"/>
        <v>1685.9773949199514</v>
      </c>
      <c r="AG62" s="24">
        <f t="shared" si="8"/>
        <v>25000</v>
      </c>
      <c r="AH62" s="24">
        <f t="shared" si="9"/>
        <v>275000</v>
      </c>
      <c r="AI62" s="5">
        <f t="shared" si="10"/>
        <v>2</v>
      </c>
      <c r="AJ62" s="5">
        <f t="shared" si="44"/>
        <v>0.56100000000000005</v>
      </c>
      <c r="AK62" s="24">
        <f t="shared" si="11"/>
        <v>1937.849793694902</v>
      </c>
      <c r="AL62" s="24">
        <f t="shared" si="12"/>
        <v>2341.5685007146731</v>
      </c>
      <c r="AM62" s="24">
        <f t="shared" si="13"/>
        <v>60000</v>
      </c>
      <c r="AN62" s="24">
        <f t="shared" si="14"/>
        <v>320000</v>
      </c>
      <c r="AO62" s="5">
        <f t="shared" si="45"/>
        <v>2.5</v>
      </c>
      <c r="AP62" s="5">
        <f t="shared" si="46"/>
        <v>0.57222000000000006</v>
      </c>
      <c r="AQ62" s="24">
        <f t="shared" si="15"/>
        <v>2961.3950270230775</v>
      </c>
      <c r="AR62" s="24">
        <f t="shared" si="16"/>
        <v>3454.9608648602575</v>
      </c>
      <c r="AS62" s="24">
        <f t="shared" si="17"/>
        <v>554900</v>
      </c>
      <c r="AT62" s="24">
        <f t="shared" si="18"/>
        <v>804900</v>
      </c>
      <c r="BA62" s="5">
        <f t="shared" si="26"/>
        <v>2.5</v>
      </c>
      <c r="BB62" s="5">
        <f t="shared" si="27"/>
        <v>0.57222000000000006</v>
      </c>
      <c r="BC62" s="24">
        <f t="shared" si="28"/>
        <v>2961.3950270230775</v>
      </c>
      <c r="BD62" s="24">
        <f t="shared" si="29"/>
        <v>3454.9608648602575</v>
      </c>
      <c r="BE62" s="24">
        <f t="shared" si="30"/>
        <v>554900</v>
      </c>
      <c r="BF62" s="24">
        <f t="shared" si="31"/>
        <v>804900</v>
      </c>
      <c r="BI62" t="str">
        <f>RegionWideSubstations!C62</f>
        <v>Northern Wasco County PUD</v>
      </c>
      <c r="BJ62" s="417">
        <f>RegionWideSubstations!AE62/8760</f>
        <v>0.12372632545890055</v>
      </c>
      <c r="BK62" s="416">
        <f>RegionWideSubstations!AF62/8760</f>
        <v>0.19246317293606752</v>
      </c>
      <c r="BL62" s="70">
        <f>(RegionWideSubstations!AK62/8760)-BJ62</f>
        <v>9.7489404414946718E-2</v>
      </c>
      <c r="BM62" s="415">
        <f>(RegionWideSubstations!AL62/8760)-BK62</f>
        <v>7.4839167328164591E-2</v>
      </c>
      <c r="BN62" s="70">
        <f>(RegionWideSubstations!AQ62/8760)-BJ62-BL62</f>
        <v>0.11684306316531681</v>
      </c>
      <c r="BO62" s="415">
        <f>(RegionWideSubstations!AR62/8760)-BK62-BM62</f>
        <v>0.12709958494812607</v>
      </c>
      <c r="BP62" s="70">
        <f t="shared" si="19"/>
        <v>5.6343132173194088E-2</v>
      </c>
      <c r="BQ62" s="24">
        <f t="shared" si="20"/>
        <v>0.39440192521235817</v>
      </c>
    </row>
    <row r="63" spans="1:69">
      <c r="A63">
        <f t="shared" si="42"/>
        <v>51</v>
      </c>
      <c r="B63">
        <v>6169</v>
      </c>
      <c r="C63" t="s">
        <v>97</v>
      </c>
      <c r="D63" t="s">
        <v>98</v>
      </c>
      <c r="E63" t="s">
        <v>91</v>
      </c>
      <c r="F63" s="3">
        <v>15200</v>
      </c>
      <c r="G63" s="3">
        <v>233093</v>
      </c>
      <c r="H63" s="122">
        <f>VLOOKUP($C63&amp;"WA",Sales!$A$21:$W$209,23,FALSE)+VLOOKUP($C63&amp;"ID",Sales!$A$21:$W$209,23,FALSE)</f>
        <v>412618</v>
      </c>
      <c r="I63" s="3">
        <v>243294</v>
      </c>
      <c r="J63" s="122">
        <f>VLOOKUP($C63&amp;"WA",Sales!$A$21:$W$209,11,FALSE)+VLOOKUP($C63&amp;"ID",Sales!$A$21:$W$209,11,FALSE)</f>
        <v>281910</v>
      </c>
      <c r="K63" s="3">
        <v>18702</v>
      </c>
      <c r="L63" s="122">
        <f>VLOOKUP($C63&amp;"WA",Sales!$A$21:$W$209,12,FALSE)+VLOOKUP($C63&amp;"ID",Sales!$A$21:$W$209,12,FALSE)</f>
        <v>20648</v>
      </c>
      <c r="M63" s="3">
        <f t="shared" si="40"/>
        <v>13008.982996470966</v>
      </c>
      <c r="N63">
        <v>2</v>
      </c>
      <c r="O63">
        <v>2</v>
      </c>
      <c r="P63">
        <v>3</v>
      </c>
      <c r="Q63" s="3"/>
      <c r="R63" s="122">
        <f>VLOOKUP($C63&amp;"WA",Sales!$A$21:$W$209,14,FALSE)+VLOOKUP($C63&amp;"ID",Sales!$A$21:$W$209,14,FALSE)</f>
        <v>102203</v>
      </c>
      <c r="S63" s="3">
        <v>876</v>
      </c>
      <c r="T63" s="3"/>
      <c r="U63" s="122">
        <f>VLOOKUP($C63&amp;"WA",Sales!$A$21:$W$209,17,FALSE)+VLOOKUP($C63&amp;"ID",Sales!$A$21:$W$209,17,FALSE)</f>
        <v>28505</v>
      </c>
      <c r="V63" s="3">
        <v>87</v>
      </c>
      <c r="X63" s="27">
        <f t="shared" si="43"/>
        <v>1.31719135244843</v>
      </c>
      <c r="Y63" s="28">
        <v>0.9</v>
      </c>
      <c r="Z63" s="27">
        <f t="shared" si="4"/>
        <v>1</v>
      </c>
      <c r="AA63" s="132">
        <f t="shared" si="5"/>
        <v>1</v>
      </c>
      <c r="AB63" s="27">
        <f t="shared" si="41"/>
        <v>0.31719135244843</v>
      </c>
      <c r="AC63" s="5">
        <f>1.5*$AC$9</f>
        <v>1.5</v>
      </c>
      <c r="AD63">
        <f t="shared" si="47"/>
        <v>0.55000000000000004</v>
      </c>
      <c r="AE63" s="24">
        <f t="shared" si="22"/>
        <v>2010.972103416588</v>
      </c>
      <c r="AF63" s="24">
        <f t="shared" si="7"/>
        <v>3128.178827536914</v>
      </c>
      <c r="AG63" s="24">
        <f t="shared" si="8"/>
        <v>25000</v>
      </c>
      <c r="AH63" s="24">
        <f t="shared" si="9"/>
        <v>275000</v>
      </c>
      <c r="AI63" s="5">
        <f t="shared" si="10"/>
        <v>2</v>
      </c>
      <c r="AJ63" s="5">
        <f t="shared" si="44"/>
        <v>0.56100000000000005</v>
      </c>
      <c r="AK63" s="24">
        <f t="shared" si="11"/>
        <v>3194.9826449322877</v>
      </c>
      <c r="AL63" s="24">
        <f t="shared" si="12"/>
        <v>3860.6040292931807</v>
      </c>
      <c r="AM63" s="24">
        <f t="shared" si="13"/>
        <v>60000</v>
      </c>
      <c r="AN63" s="24">
        <f t="shared" si="14"/>
        <v>320000</v>
      </c>
      <c r="AO63" s="5">
        <f t="shared" si="45"/>
        <v>2.5</v>
      </c>
      <c r="AP63" s="5">
        <f t="shared" si="46"/>
        <v>0.57222000000000006</v>
      </c>
      <c r="AQ63" s="24">
        <f t="shared" si="15"/>
        <v>4456.8851399759133</v>
      </c>
      <c r="AR63" s="24">
        <f t="shared" si="16"/>
        <v>5199.6993299718997</v>
      </c>
      <c r="AS63" s="24">
        <f t="shared" si="17"/>
        <v>1127400</v>
      </c>
      <c r="AT63" s="24">
        <f t="shared" si="18"/>
        <v>1377400</v>
      </c>
      <c r="BA63" s="5">
        <f t="shared" si="26"/>
        <v>2.5</v>
      </c>
      <c r="BB63" s="5">
        <f t="shared" si="27"/>
        <v>0.57222000000000006</v>
      </c>
      <c r="BC63" s="24">
        <f t="shared" si="28"/>
        <v>4456.8851399759133</v>
      </c>
      <c r="BD63" s="24">
        <f t="shared" si="29"/>
        <v>5199.6993299718997</v>
      </c>
      <c r="BE63" s="24">
        <f t="shared" si="30"/>
        <v>1127400</v>
      </c>
      <c r="BF63" s="24">
        <f t="shared" si="31"/>
        <v>1377400</v>
      </c>
      <c r="BI63" t="str">
        <f>RegionWideSubstations!C63</f>
        <v>Kootenai Electric Coop Inc</v>
      </c>
      <c r="BJ63" s="417">
        <f>RegionWideSubstations!AE63/8760</f>
        <v>0.2295630255041767</v>
      </c>
      <c r="BK63" s="416">
        <f>RegionWideSubstations!AF63/8760</f>
        <v>0.35709803967316373</v>
      </c>
      <c r="BL63" s="70">
        <f>(RegionWideSubstations!AK63/8760)-BJ63</f>
        <v>0.13516102072097028</v>
      </c>
      <c r="BM63" s="415">
        <f>(RegionWideSubstations!AL63/8760)-BK63</f>
        <v>8.3610182848888881E-2</v>
      </c>
      <c r="BN63" s="70">
        <f>(RegionWideSubstations!AQ63/8760)-BJ63-BL63</f>
        <v>0.1440527962378568</v>
      </c>
      <c r="BO63" s="415">
        <f>(RegionWideSubstations!AR63/8760)-BK63-BM63</f>
        <v>0.15286476035145197</v>
      </c>
      <c r="BP63" s="70">
        <f t="shared" si="19"/>
        <v>8.4796140410500764E-2</v>
      </c>
      <c r="BQ63" s="24">
        <f t="shared" si="20"/>
        <v>0.59357298287350457</v>
      </c>
    </row>
    <row r="64" spans="1:69">
      <c r="A64">
        <f t="shared" si="42"/>
        <v>52</v>
      </c>
      <c r="B64">
        <v>19325</v>
      </c>
      <c r="C64" t="s">
        <v>33</v>
      </c>
      <c r="D64" t="s">
        <v>1</v>
      </c>
      <c r="E64" t="s">
        <v>29</v>
      </c>
      <c r="F64" s="3">
        <v>6965</v>
      </c>
      <c r="G64" s="3">
        <v>229336</v>
      </c>
      <c r="H64" s="122">
        <f>VLOOKUP($C64&amp;$D64,Sales!$A$21:$W$209,23,FALSE)</f>
        <v>260827</v>
      </c>
      <c r="I64" s="3">
        <v>112752</v>
      </c>
      <c r="J64" s="122">
        <f>VLOOKUP($C64&amp;$D64,Sales!$A$21:$W$209,11,FALSE)</f>
        <v>117052</v>
      </c>
      <c r="K64" s="3">
        <v>8037</v>
      </c>
      <c r="L64" s="122">
        <f>VLOOKUP($C64&amp;$D64,Sales!$A$21:$W$209,12,FALSE)</f>
        <v>8415</v>
      </c>
      <c r="M64" s="3">
        <f t="shared" si="40"/>
        <v>14029.115341545354</v>
      </c>
      <c r="N64">
        <v>1</v>
      </c>
      <c r="O64">
        <v>1</v>
      </c>
      <c r="P64">
        <v>2</v>
      </c>
      <c r="Q64" s="3">
        <f>($G64-$I64)/($S64+$V64*20)*S64</f>
        <v>116584</v>
      </c>
      <c r="R64" s="122">
        <f>VLOOKUP($C64&amp;$D64,Sales!$A$21:$W$209,14,FALSE)</f>
        <v>36015</v>
      </c>
      <c r="S64" s="3">
        <v>1543</v>
      </c>
      <c r="T64" s="3">
        <f>($G64-$I64)/($S64+$V64*20)*V64*20</f>
        <v>0</v>
      </c>
      <c r="U64" s="122">
        <f>VLOOKUP($C64&amp;$D64,Sales!$A$21:$W$209,17,FALSE)</f>
        <v>107760</v>
      </c>
      <c r="V64" s="3"/>
      <c r="X64" s="27">
        <f t="shared" si="43"/>
        <v>1.2959608225262582</v>
      </c>
      <c r="Y64" s="28">
        <v>0.9</v>
      </c>
      <c r="Z64" s="27">
        <f t="shared" si="4"/>
        <v>1</v>
      </c>
      <c r="AA64" s="132">
        <f t="shared" si="5"/>
        <v>1</v>
      </c>
      <c r="AB64" s="27">
        <f t="shared" si="41"/>
        <v>0.29596082252625822</v>
      </c>
      <c r="AC64" s="5">
        <f>2*$AC$9</f>
        <v>2</v>
      </c>
      <c r="AD64">
        <f t="shared" si="47"/>
        <v>0.55000000000000004</v>
      </c>
      <c r="AE64" s="24">
        <f t="shared" si="22"/>
        <v>1151.8015339970248</v>
      </c>
      <c r="AF64" s="24">
        <f t="shared" si="7"/>
        <v>1631.7188398291185</v>
      </c>
      <c r="AG64" s="24">
        <f t="shared" si="8"/>
        <v>25000</v>
      </c>
      <c r="AH64" s="24">
        <f t="shared" si="9"/>
        <v>275000</v>
      </c>
      <c r="AI64" s="5">
        <f t="shared" si="10"/>
        <v>2.5</v>
      </c>
      <c r="AJ64" s="5">
        <f t="shared" si="44"/>
        <v>0.56100000000000005</v>
      </c>
      <c r="AK64" s="24">
        <f t="shared" si="11"/>
        <v>1784.7990505949783</v>
      </c>
      <c r="AL64" s="24">
        <f t="shared" si="12"/>
        <v>2082.2655590274749</v>
      </c>
      <c r="AM64" s="24">
        <f t="shared" si="13"/>
        <v>60000</v>
      </c>
      <c r="AN64" s="24">
        <f t="shared" si="14"/>
        <v>320000</v>
      </c>
      <c r="AO64" s="5">
        <f t="shared" si="45"/>
        <v>3</v>
      </c>
      <c r="AP64" s="5">
        <f t="shared" si="46"/>
        <v>0.57222000000000006</v>
      </c>
      <c r="AQ64" s="24">
        <f t="shared" si="15"/>
        <v>2470.394344030221</v>
      </c>
      <c r="AR64" s="24">
        <f t="shared" si="16"/>
        <v>2813.5046695899737</v>
      </c>
      <c r="AS64" s="24">
        <f t="shared" si="17"/>
        <v>515750</v>
      </c>
      <c r="AT64" s="24">
        <f t="shared" si="18"/>
        <v>765750</v>
      </c>
      <c r="BA64" s="5">
        <f t="shared" si="26"/>
        <v>3</v>
      </c>
      <c r="BB64" s="5">
        <f t="shared" si="27"/>
        <v>0.57222000000000006</v>
      </c>
      <c r="BC64" s="24">
        <f t="shared" si="28"/>
        <v>2470.394344030221</v>
      </c>
      <c r="BD64" s="24">
        <f t="shared" si="29"/>
        <v>2813.5046695899737</v>
      </c>
      <c r="BE64" s="24">
        <f t="shared" si="30"/>
        <v>515750</v>
      </c>
      <c r="BF64" s="24">
        <f t="shared" si="31"/>
        <v>765750</v>
      </c>
      <c r="BI64" t="str">
        <f>RegionWideSubstations!C64</f>
        <v>City of Centralia</v>
      </c>
      <c r="BJ64" s="417">
        <f>RegionWideSubstations!AE64/8760</f>
        <v>0.1314841933786558</v>
      </c>
      <c r="BK64" s="416">
        <f>RegionWideSubstations!AF64/8760</f>
        <v>0.18626927395309573</v>
      </c>
      <c r="BL64" s="70">
        <f>(RegionWideSubstations!AK64/8760)-BJ64</f>
        <v>7.2259990479218439E-2</v>
      </c>
      <c r="BM64" s="415">
        <f>(RegionWideSubstations!AL64/8760)-BK64</f>
        <v>5.1432273881090895E-2</v>
      </c>
      <c r="BN64" s="70">
        <f>(RegionWideSubstations!AQ64/8760)-BJ64-BL64</f>
        <v>7.8264302903566507E-2</v>
      </c>
      <c r="BO64" s="415">
        <f>(RegionWideSubstations!AR64/8760)-BK64-BM64</f>
        <v>8.3474784310787531E-2</v>
      </c>
      <c r="BP64" s="70">
        <f t="shared" si="19"/>
        <v>3.9167845383533406E-2</v>
      </c>
      <c r="BQ64" s="24">
        <f t="shared" si="20"/>
        <v>0.32117633214497415</v>
      </c>
    </row>
    <row r="65" spans="1:69">
      <c r="A65">
        <f t="shared" si="42"/>
        <v>53</v>
      </c>
      <c r="B65">
        <v>907</v>
      </c>
      <c r="C65" t="s">
        <v>146</v>
      </c>
      <c r="D65" t="s">
        <v>147</v>
      </c>
      <c r="E65" t="s">
        <v>91</v>
      </c>
      <c r="F65" s="3">
        <v>1666</v>
      </c>
      <c r="G65" s="10">
        <v>222346</v>
      </c>
      <c r="H65" s="126">
        <f>G65*SUM(H$13:H$53,H$55:H$64,H$66:H$70,H$72:H$76,H$78:H$110,H$112:H$114,H$117:H$121,H$123:H$142)/SUM(G$13:G$53,G$55:G$64,G$66:G$70,G$72:G$76,G$78:G$110,G$112:G$114,G$117:G$121,G$123:G$142)</f>
        <v>238195.65456133356</v>
      </c>
      <c r="I65" s="3">
        <v>27821</v>
      </c>
      <c r="J65" s="126">
        <f>I65*SUM(J$13:J$53,J$55:J$64,J$66:J$70,J$72:J$76,J$78:J$110,J$112:J$114,J$117:J$121,J$123:J$142)/SUM(I$13:I$53,I$55:I$64,I$66:I$70,I$72:I$76,I$78:I$110,I$112:I$114,I$117:I$121,I$123:I$142)</f>
        <v>29871.654344991366</v>
      </c>
      <c r="K65" s="3">
        <v>1528</v>
      </c>
      <c r="L65" s="126">
        <f>K65*SUM(L$13:L$53,L$55:L$64,L$66:L$70,L$72:L$76,L$78:L$110,L$112:L$114,L$117:L$121,L$123:L$142)/SUM(K$13:K$53,K$55:K$64,K$66:K$70,K$72:K$76,K$78:K$110,K$112:K$114,K$117:K$121,K$123:K$142)</f>
        <v>1642.7262154842283</v>
      </c>
      <c r="M65" s="3">
        <f t="shared" si="40"/>
        <v>18207.460732984295</v>
      </c>
      <c r="N65">
        <v>3</v>
      </c>
      <c r="O65">
        <v>3</v>
      </c>
      <c r="P65">
        <v>5</v>
      </c>
      <c r="Q65" s="3">
        <f>($G65-$I65)/($S65+$V65*20)*S65</f>
        <v>1477.6203617684025</v>
      </c>
      <c r="R65" s="130">
        <f>Q65*SUM(R$13:R$53,R$55:R$64,R$66:R$70,R$72:R$76,R$78:R$110,R$112:R$114,R$117:R$121,R$123:R$142)/SUM(H$13:H$53,H$55:H$64,H$66:H$70,H$72:H$76,H$78:H$110,H$112:H$114,H$117:H$121,H$123:H$142)</f>
        <v>483.61793149559628</v>
      </c>
      <c r="S65" s="3">
        <v>139</v>
      </c>
      <c r="T65" s="3">
        <f>($G65-$I65)/($S65+$V65*20)*V65*10</f>
        <v>96523.689819115796</v>
      </c>
      <c r="U65" s="126">
        <f>T65*SUM(U$13:U$53,U$55:U$64,U$66:U$70,U$72:U$76,U$78:U$110,U$112:U$114,U$117:U$121,U$123:U$142)/SUM(T$13:T$53,T$55:T$64,T$66:T$70,T$72:T$76,T$78:T$110,T$112:T$114,T$117:T$121,T$123:T$142)</f>
        <v>136410.79565749184</v>
      </c>
      <c r="V65" s="3">
        <v>908</v>
      </c>
      <c r="X65" s="27">
        <f t="shared" si="43"/>
        <v>1.2564608480370436</v>
      </c>
      <c r="Y65" s="28">
        <v>0.9</v>
      </c>
      <c r="Z65" s="27">
        <f t="shared" si="4"/>
        <v>1</v>
      </c>
      <c r="AA65" s="132">
        <f t="shared" si="5"/>
        <v>1</v>
      </c>
      <c r="AB65" s="27">
        <f t="shared" si="41"/>
        <v>0.25646084803704361</v>
      </c>
      <c r="AC65" s="5">
        <f t="shared" ref="AC65:AC74" si="48">1.5*$AC$9</f>
        <v>1.5</v>
      </c>
      <c r="AD65">
        <f t="shared" si="47"/>
        <v>0.55000000000000004</v>
      </c>
      <c r="AE65" s="24">
        <f t="shared" si="22"/>
        <v>248.32283998895539</v>
      </c>
      <c r="AF65" s="24">
        <f t="shared" si="7"/>
        <v>0</v>
      </c>
      <c r="AG65" s="24">
        <f t="shared" si="8"/>
        <v>15000</v>
      </c>
      <c r="AH65" s="24">
        <f t="shared" si="9"/>
        <v>0</v>
      </c>
      <c r="AI65" s="5">
        <f t="shared" si="10"/>
        <v>2</v>
      </c>
      <c r="AJ65" s="5">
        <f t="shared" si="44"/>
        <v>0.56100000000000005</v>
      </c>
      <c r="AK65" s="24">
        <f t="shared" si="11"/>
        <v>470.98424802310308</v>
      </c>
      <c r="AL65" s="24">
        <f t="shared" si="12"/>
        <v>0</v>
      </c>
      <c r="AM65" s="24">
        <f t="shared" si="13"/>
        <v>32500</v>
      </c>
      <c r="AN65" s="24">
        <f t="shared" si="14"/>
        <v>0</v>
      </c>
      <c r="AO65" s="5">
        <f t="shared" si="45"/>
        <v>2.5</v>
      </c>
      <c r="AP65" s="5">
        <f t="shared" si="46"/>
        <v>0.57222000000000006</v>
      </c>
      <c r="AQ65" s="24">
        <f t="shared" si="15"/>
        <v>748.87655265541628</v>
      </c>
      <c r="AR65" s="24">
        <f t="shared" si="16"/>
        <v>0</v>
      </c>
      <c r="AS65" s="24">
        <f t="shared" si="17"/>
        <v>132136.31077421142</v>
      </c>
      <c r="AT65" s="24">
        <f t="shared" si="18"/>
        <v>0</v>
      </c>
      <c r="BA65" s="5">
        <f t="shared" si="26"/>
        <v>2.5</v>
      </c>
      <c r="BB65" s="5">
        <f t="shared" si="27"/>
        <v>0.57222000000000006</v>
      </c>
      <c r="BC65" s="24">
        <f t="shared" si="28"/>
        <v>748.87655265541628</v>
      </c>
      <c r="BD65" s="24">
        <f t="shared" si="29"/>
        <v>0</v>
      </c>
      <c r="BE65" s="24">
        <f t="shared" si="30"/>
        <v>132136.31077421142</v>
      </c>
      <c r="BF65" s="24">
        <f t="shared" si="31"/>
        <v>0</v>
      </c>
      <c r="BI65" t="str">
        <f>RegionWideSubstations!C65</f>
        <v>Harney Electric Coop, Inc</v>
      </c>
      <c r="BJ65" s="417">
        <f>RegionWideSubstations!AE65/8760</f>
        <v>2.8347356163122762E-2</v>
      </c>
      <c r="BK65" s="416">
        <f>RegionWideSubstations!AF65/8760</f>
        <v>0</v>
      </c>
      <c r="BL65" s="70">
        <f>(RegionWideSubstations!AK65/8760)-BJ65</f>
        <v>2.541796895366983E-2</v>
      </c>
      <c r="BM65" s="415">
        <f>(RegionWideSubstations!AL65/8760)-BK65</f>
        <v>0</v>
      </c>
      <c r="BN65" s="70">
        <f>(RegionWideSubstations!AQ65/8760)-BJ65-BL65</f>
        <v>3.172286582560653E-2</v>
      </c>
      <c r="BO65" s="415">
        <f>(RegionWideSubstations!AR65/8760)-BK65-BM65</f>
        <v>0</v>
      </c>
      <c r="BP65" s="70">
        <f t="shared" si="19"/>
        <v>-8.5488190942399123E-2</v>
      </c>
      <c r="BQ65" s="24">
        <f t="shared" si="20"/>
        <v>0</v>
      </c>
    </row>
    <row r="66" spans="1:69">
      <c r="A66">
        <f t="shared" si="42"/>
        <v>54</v>
      </c>
      <c r="B66">
        <v>10393</v>
      </c>
      <c r="C66" t="s">
        <v>76</v>
      </c>
      <c r="D66" t="s">
        <v>1</v>
      </c>
      <c r="E66" t="s">
        <v>62</v>
      </c>
      <c r="F66" s="3">
        <v>13487</v>
      </c>
      <c r="G66" s="3">
        <v>216486</v>
      </c>
      <c r="H66" s="122">
        <f>VLOOKUP($C66&amp;$D66,Sales!$A$21:$W$209,23,FALSE)</f>
        <v>580927</v>
      </c>
      <c r="I66" s="3">
        <v>262901</v>
      </c>
      <c r="J66" s="122">
        <f>VLOOKUP($C66&amp;$D66,Sales!$A$21:$W$209,11,FALSE)</f>
        <v>289640</v>
      </c>
      <c r="K66" s="3">
        <v>15759</v>
      </c>
      <c r="L66" s="122">
        <f>VLOOKUP($C66&amp;$D66,Sales!$A$21:$W$209,12,FALSE)</f>
        <v>16937</v>
      </c>
      <c r="M66" s="3">
        <f t="shared" si="40"/>
        <v>16682.594073227996</v>
      </c>
      <c r="N66">
        <v>2</v>
      </c>
      <c r="O66">
        <v>2</v>
      </c>
      <c r="P66">
        <v>3</v>
      </c>
      <c r="Q66" s="3"/>
      <c r="R66" s="122">
        <f>VLOOKUP($C66&amp;$D66,Sales!$A$21:$W$209,14,FALSE)</f>
        <v>270703</v>
      </c>
      <c r="S66" s="3">
        <v>3620</v>
      </c>
      <c r="T66" s="3"/>
      <c r="U66" s="122">
        <f>VLOOKUP($C66&amp;$D66,Sales!$A$21:$W$209,17,FALSE)</f>
        <v>20584</v>
      </c>
      <c r="V66" s="3">
        <v>3</v>
      </c>
      <c r="X66" s="27">
        <f t="shared" si="43"/>
        <v>1.2233464202106061</v>
      </c>
      <c r="Y66" s="28">
        <v>0.9</v>
      </c>
      <c r="Z66" s="27">
        <f t="shared" si="4"/>
        <v>1</v>
      </c>
      <c r="AA66" s="132">
        <f t="shared" si="5"/>
        <v>2</v>
      </c>
      <c r="AB66" s="27">
        <f t="shared" si="41"/>
        <v>0.22334642021060613</v>
      </c>
      <c r="AC66" s="5">
        <f t="shared" si="48"/>
        <v>1.5</v>
      </c>
      <c r="AD66">
        <f t="shared" si="47"/>
        <v>0.55000000000000004</v>
      </c>
      <c r="AE66" s="24">
        <f t="shared" si="22"/>
        <v>2636.0622311032002</v>
      </c>
      <c r="AF66" s="24">
        <f t="shared" si="7"/>
        <v>4100.5412483827558</v>
      </c>
      <c r="AG66" s="24">
        <f t="shared" si="8"/>
        <v>50000</v>
      </c>
      <c r="AH66" s="24">
        <f t="shared" si="9"/>
        <v>550000</v>
      </c>
      <c r="AI66" s="5">
        <f t="shared" si="10"/>
        <v>2</v>
      </c>
      <c r="AJ66" s="5">
        <f t="shared" si="44"/>
        <v>0.56100000000000005</v>
      </c>
      <c r="AK66" s="24">
        <f t="shared" si="11"/>
        <v>4246.7704497394407</v>
      </c>
      <c r="AL66" s="24">
        <f t="shared" si="12"/>
        <v>5131.5142934351579</v>
      </c>
      <c r="AM66" s="24">
        <f t="shared" si="13"/>
        <v>120000</v>
      </c>
      <c r="AN66" s="24">
        <f t="shared" si="14"/>
        <v>640000</v>
      </c>
      <c r="AO66" s="5">
        <f t="shared" si="45"/>
        <v>2.5</v>
      </c>
      <c r="AP66" s="5">
        <f t="shared" si="46"/>
        <v>0.57222000000000006</v>
      </c>
      <c r="AQ66" s="24">
        <f t="shared" si="15"/>
        <v>6049.4633925010985</v>
      </c>
      <c r="AR66" s="24">
        <f t="shared" si="16"/>
        <v>7057.7072912512813</v>
      </c>
      <c r="AS66" s="24">
        <f t="shared" si="17"/>
        <v>1036850</v>
      </c>
      <c r="AT66" s="24">
        <f t="shared" si="18"/>
        <v>1536850</v>
      </c>
      <c r="BA66" s="5">
        <f t="shared" si="26"/>
        <v>2.5</v>
      </c>
      <c r="BB66" s="5">
        <f t="shared" si="27"/>
        <v>0.57222000000000006</v>
      </c>
      <c r="BC66" s="24">
        <f t="shared" si="28"/>
        <v>6049.4633925010985</v>
      </c>
      <c r="BD66" s="24">
        <f t="shared" si="29"/>
        <v>7057.7072912512813</v>
      </c>
      <c r="BE66" s="24">
        <f t="shared" si="30"/>
        <v>1036850</v>
      </c>
      <c r="BF66" s="24">
        <f t="shared" si="31"/>
        <v>1536850</v>
      </c>
      <c r="BI66" t="str">
        <f>RegionWideSubstations!C66</f>
        <v>PUD No 1 of Okanogan County</v>
      </c>
      <c r="BJ66" s="417">
        <f>RegionWideSubstations!AE66/8760</f>
        <v>0.30092034601634704</v>
      </c>
      <c r="BK66" s="416">
        <f>RegionWideSubstations!AF66/8760</f>
        <v>0.46809831602542873</v>
      </c>
      <c r="BL66" s="70">
        <f>(RegionWideSubstations!AK66/8760)-BJ66</f>
        <v>0.1838708012141827</v>
      </c>
      <c r="BM66" s="415">
        <f>(RegionWideSubstations!AL66/8760)-BK66</f>
        <v>0.11769098687812807</v>
      </c>
      <c r="BN66" s="70">
        <f>(RegionWideSubstations!AQ66/8760)-BJ66-BL66</f>
        <v>0.20578686561206139</v>
      </c>
      <c r="BO66" s="415">
        <f>(RegionWideSubstations!AR66/8760)-BK66-BM66</f>
        <v>0.21988504541279952</v>
      </c>
      <c r="BP66" s="70">
        <f t="shared" si="19"/>
        <v>0.11509633547376519</v>
      </c>
      <c r="BQ66" s="24">
        <f t="shared" si="20"/>
        <v>0.80567434831635631</v>
      </c>
    </row>
    <row r="67" spans="1:69">
      <c r="A67">
        <f t="shared" si="42"/>
        <v>55</v>
      </c>
      <c r="B67">
        <v>3739</v>
      </c>
      <c r="C67" t="s">
        <v>106</v>
      </c>
      <c r="D67" t="s">
        <v>1</v>
      </c>
      <c r="E67" t="s">
        <v>91</v>
      </c>
      <c r="F67" s="3">
        <v>9656</v>
      </c>
      <c r="G67" s="9">
        <f>+I67</f>
        <v>211302</v>
      </c>
      <c r="H67" s="122">
        <f>VLOOKUP($C67&amp;$D67,Sales!$A$21:$W$209,23,FALSE)</f>
        <v>260571</v>
      </c>
      <c r="I67" s="3">
        <v>211302</v>
      </c>
      <c r="J67" s="122">
        <f>VLOOKUP($C67&amp;$D67,Sales!$A$21:$W$209,11,FALSE)</f>
        <v>220710</v>
      </c>
      <c r="K67" s="3">
        <v>12699</v>
      </c>
      <c r="L67" s="122">
        <f>VLOOKUP($C67&amp;$D67,Sales!$A$21:$W$209,12,FALSE)</f>
        <v>13288</v>
      </c>
      <c r="M67" s="3">
        <f t="shared" si="40"/>
        <v>16639.2629340893</v>
      </c>
      <c r="N67">
        <v>1</v>
      </c>
      <c r="O67">
        <v>1</v>
      </c>
      <c r="P67">
        <v>1</v>
      </c>
      <c r="Q67" s="3"/>
      <c r="R67" s="122">
        <f>VLOOKUP($C67&amp;$D67,Sales!$A$21:$W$209,14,FALSE)</f>
        <v>39861</v>
      </c>
      <c r="T67" s="3"/>
      <c r="U67" s="122">
        <f>VLOOKUP($C67&amp;$D67,Sales!$A$21:$W$209,17,FALSE)</f>
        <v>0</v>
      </c>
      <c r="X67" s="27">
        <f t="shared" si="43"/>
        <v>1.1940520185293344</v>
      </c>
      <c r="Y67" s="28">
        <v>0.9</v>
      </c>
      <c r="Z67" s="27">
        <f t="shared" si="4"/>
        <v>1</v>
      </c>
      <c r="AA67" s="132">
        <f t="shared" si="5"/>
        <v>1</v>
      </c>
      <c r="AB67" s="27">
        <f t="shared" si="41"/>
        <v>0.1940520185293344</v>
      </c>
      <c r="AC67" s="5">
        <f t="shared" si="48"/>
        <v>1.5</v>
      </c>
      <c r="AD67">
        <f t="shared" si="47"/>
        <v>0.55000000000000004</v>
      </c>
      <c r="AE67" s="24">
        <f t="shared" si="22"/>
        <v>1423.2671842317152</v>
      </c>
      <c r="AF67" s="24">
        <f t="shared" si="7"/>
        <v>2213.9711754715568</v>
      </c>
      <c r="AG67" s="24">
        <f t="shared" si="8"/>
        <v>25000</v>
      </c>
      <c r="AH67" s="24">
        <f t="shared" si="9"/>
        <v>275000</v>
      </c>
      <c r="AI67" s="5">
        <f t="shared" si="10"/>
        <v>2</v>
      </c>
      <c r="AJ67" s="5">
        <f t="shared" si="44"/>
        <v>0.56100000000000005</v>
      </c>
      <c r="AK67" s="24">
        <f t="shared" si="11"/>
        <v>2232.3053230190412</v>
      </c>
      <c r="AL67" s="24">
        <f t="shared" si="12"/>
        <v>2697.3689319813416</v>
      </c>
      <c r="AM67" s="24">
        <f t="shared" si="13"/>
        <v>60000</v>
      </c>
      <c r="AN67" s="24">
        <f t="shared" si="14"/>
        <v>320000</v>
      </c>
      <c r="AO67" s="5">
        <f t="shared" si="45"/>
        <v>2.5</v>
      </c>
      <c r="AP67" s="5">
        <f t="shared" si="46"/>
        <v>0.57222000000000006</v>
      </c>
      <c r="AQ67" s="24">
        <f t="shared" si="15"/>
        <v>3065.2717195921177</v>
      </c>
      <c r="AR67" s="24">
        <f t="shared" si="16"/>
        <v>3576.1503395241371</v>
      </c>
      <c r="AS67" s="24">
        <f t="shared" si="17"/>
        <v>759400</v>
      </c>
      <c r="AT67" s="24">
        <f t="shared" si="18"/>
        <v>1009400</v>
      </c>
      <c r="BA67" s="5">
        <f t="shared" si="26"/>
        <v>2.5</v>
      </c>
      <c r="BB67" s="5">
        <f t="shared" si="27"/>
        <v>0.57222000000000006</v>
      </c>
      <c r="BC67" s="24">
        <f t="shared" si="28"/>
        <v>3065.2717195921177</v>
      </c>
      <c r="BD67" s="24">
        <f t="shared" si="29"/>
        <v>3576.1503395241371</v>
      </c>
      <c r="BE67" s="24">
        <f t="shared" si="30"/>
        <v>759400</v>
      </c>
      <c r="BF67" s="24">
        <f t="shared" si="31"/>
        <v>1009400</v>
      </c>
      <c r="BI67" t="str">
        <f>RegionWideSubstations!C67</f>
        <v>Elmhurst Mutual Power &amp; Light Co</v>
      </c>
      <c r="BJ67" s="417">
        <f>RegionWideSubstations!AE67/8760</f>
        <v>0.16247342285750174</v>
      </c>
      <c r="BK67" s="416">
        <f>RegionWideSubstations!AF67/8760</f>
        <v>0.2527364355561138</v>
      </c>
      <c r="BL67" s="70">
        <f>(RegionWideSubstations!AK67/8760)-BJ67</f>
        <v>9.2355951916361395E-2</v>
      </c>
      <c r="BM67" s="415">
        <f>(RegionWideSubstations!AL67/8760)-BK67</f>
        <v>5.5182392295637539E-2</v>
      </c>
      <c r="BN67" s="70">
        <f>(RegionWideSubstations!AQ67/8760)-BJ67-BL67</f>
        <v>9.5087488193273617E-2</v>
      </c>
      <c r="BO67" s="415">
        <f>(RegionWideSubstations!AR67/8760)-BK67-BM67</f>
        <v>0.10031751227657482</v>
      </c>
      <c r="BP67" s="70">
        <f t="shared" si="19"/>
        <v>5.8319477161189404E-2</v>
      </c>
      <c r="BQ67" s="24">
        <f t="shared" si="20"/>
        <v>0.40823634012832616</v>
      </c>
    </row>
    <row r="68" spans="1:69">
      <c r="A68">
        <f t="shared" si="42"/>
        <v>56</v>
      </c>
      <c r="B68">
        <v>26916</v>
      </c>
      <c r="C68" t="s">
        <v>88</v>
      </c>
      <c r="D68" t="s">
        <v>1</v>
      </c>
      <c r="E68" t="s">
        <v>62</v>
      </c>
      <c r="F68" s="3">
        <v>0</v>
      </c>
      <c r="G68" s="3">
        <v>207228</v>
      </c>
      <c r="H68" s="122">
        <f>VLOOKUP($C68&amp;$D68,Sales!$A$21:$W$209,23,FALSE)</f>
        <v>195272</v>
      </c>
      <c r="I68" s="3">
        <v>0</v>
      </c>
      <c r="J68" s="122" t="str">
        <f>VLOOKUP($C68&amp;$D68,Sales!$A$21:$W$209,11,FALSE)</f>
        <v>.</v>
      </c>
      <c r="K68" s="3">
        <v>0</v>
      </c>
      <c r="L68" s="122" t="str">
        <f>VLOOKUP($C68&amp;$D68,Sales!$A$21:$W$209,12,FALSE)</f>
        <v>.</v>
      </c>
      <c r="M68" s="3" t="s">
        <v>89</v>
      </c>
      <c r="N68">
        <v>1</v>
      </c>
      <c r="O68">
        <v>1</v>
      </c>
      <c r="P68">
        <v>2</v>
      </c>
      <c r="Q68" s="3"/>
      <c r="R68" s="122">
        <v>0</v>
      </c>
      <c r="T68" s="3">
        <f>($G68-$I68)/($S68+$V68*20)*V68*20</f>
        <v>207228</v>
      </c>
      <c r="U68" s="122">
        <f>VLOOKUP($C68&amp;$D68,Sales!$A$21:$W$209,17,FALSE)</f>
        <v>195272</v>
      </c>
      <c r="V68" s="3">
        <v>1</v>
      </c>
      <c r="X68" s="27">
        <f t="shared" si="43"/>
        <v>1.1710301449858349</v>
      </c>
      <c r="Y68" s="28">
        <v>0</v>
      </c>
      <c r="Z68" s="27">
        <f t="shared" si="4"/>
        <v>0</v>
      </c>
      <c r="AA68" s="132">
        <v>0</v>
      </c>
      <c r="AB68" s="27">
        <f t="shared" si="41"/>
        <v>1.1710301449858349</v>
      </c>
      <c r="AC68" s="5"/>
      <c r="AE68" s="24"/>
      <c r="AF68" s="24"/>
      <c r="AG68" s="24"/>
      <c r="AH68" s="24"/>
      <c r="AI68" s="5"/>
      <c r="AJ68" s="5"/>
      <c r="AK68" s="24"/>
      <c r="AL68" s="24"/>
      <c r="AM68" s="24"/>
      <c r="AN68" s="24"/>
      <c r="AO68" s="5"/>
      <c r="AP68" s="5"/>
      <c r="AQ68" s="24"/>
      <c r="AR68" s="24"/>
      <c r="AS68" s="24"/>
      <c r="AT68" s="24"/>
      <c r="BA68" s="5">
        <f t="shared" si="26"/>
        <v>0</v>
      </c>
      <c r="BB68" s="5">
        <f t="shared" si="27"/>
        <v>0</v>
      </c>
      <c r="BC68" s="24">
        <f t="shared" si="28"/>
        <v>0</v>
      </c>
      <c r="BD68" s="24">
        <f t="shared" si="29"/>
        <v>0</v>
      </c>
      <c r="BE68" s="24">
        <f t="shared" si="30"/>
        <v>0</v>
      </c>
      <c r="BF68" s="24">
        <f t="shared" si="31"/>
        <v>0</v>
      </c>
      <c r="BI68" t="str">
        <f>RegionWideSubstations!C68</f>
        <v>PUD No 1 of Whatcom County</v>
      </c>
      <c r="BJ68" s="417">
        <f>RegionWideSubstations!AE68/8760</f>
        <v>0</v>
      </c>
      <c r="BK68" s="416">
        <f>RegionWideSubstations!AF68/8760</f>
        <v>0</v>
      </c>
      <c r="BL68" s="70">
        <f>(RegionWideSubstations!AK68/8760)-BJ68</f>
        <v>0</v>
      </c>
      <c r="BM68" s="415">
        <f>(RegionWideSubstations!AL68/8760)-BK68</f>
        <v>0</v>
      </c>
      <c r="BN68" s="70">
        <f>(RegionWideSubstations!AQ68/8760)-BJ68-BL68</f>
        <v>0</v>
      </c>
      <c r="BO68" s="415">
        <f>(RegionWideSubstations!AR68/8760)-BK68-BM68</f>
        <v>0</v>
      </c>
      <c r="BP68" s="70">
        <f t="shared" si="19"/>
        <v>0</v>
      </c>
      <c r="BQ68" s="24">
        <f t="shared" si="20"/>
        <v>0</v>
      </c>
    </row>
    <row r="69" spans="1:69">
      <c r="A69">
        <f t="shared" si="42"/>
        <v>57</v>
      </c>
      <c r="B69">
        <v>13788</v>
      </c>
      <c r="C69" t="s">
        <v>109</v>
      </c>
      <c r="D69" t="s">
        <v>5</v>
      </c>
      <c r="E69" t="s">
        <v>91</v>
      </c>
      <c r="F69" s="3">
        <v>14915</v>
      </c>
      <c r="G69" s="3">
        <v>202821</v>
      </c>
      <c r="H69" s="122">
        <f>VLOOKUP($C69&amp;$D69,Sales!$A$21:$W$209,23,FALSE)</f>
        <v>227694</v>
      </c>
      <c r="I69" s="3">
        <v>184786</v>
      </c>
      <c r="J69" s="122">
        <f>VLOOKUP($C69&amp;$D69,Sales!$A$21:$W$209,11,FALSE)</f>
        <v>191562</v>
      </c>
      <c r="K69" s="3">
        <v>11597</v>
      </c>
      <c r="L69" s="122">
        <f>VLOOKUP($C69&amp;$D69,Sales!$A$21:$W$209,12,FALSE)</f>
        <v>11884</v>
      </c>
      <c r="M69" s="3">
        <f t="shared" ref="M69:M100" si="49">I69/K69*1000</f>
        <v>15933.94843494007</v>
      </c>
      <c r="N69">
        <v>1</v>
      </c>
      <c r="O69">
        <v>2</v>
      </c>
      <c r="P69">
        <v>2</v>
      </c>
      <c r="Q69" s="3">
        <f>($G69-$I69)/($S69+$V69*20)*S69</f>
        <v>9567.8638497652591</v>
      </c>
      <c r="R69" s="122">
        <f>VLOOKUP($C69&amp;$D69,Sales!$A$21:$W$209,14,FALSE)</f>
        <v>32356</v>
      </c>
      <c r="S69" s="3">
        <v>565</v>
      </c>
      <c r="T69" s="3">
        <f>($G69-$I69)/($S69+$V69*20)*V69*20</f>
        <v>8467.1361502347427</v>
      </c>
      <c r="U69" s="122">
        <f>VLOOKUP($C69&amp;$D69,Sales!$A$21:$W$209,17,FALSE)</f>
        <v>3776</v>
      </c>
      <c r="V69" s="3">
        <v>25</v>
      </c>
      <c r="X69" s="27">
        <f t="shared" si="43"/>
        <v>1.1461265130010039</v>
      </c>
      <c r="Y69" s="28">
        <v>0.9</v>
      </c>
      <c r="Z69" s="27">
        <f t="shared" si="4"/>
        <v>1</v>
      </c>
      <c r="AA69" s="132">
        <f t="shared" si="5"/>
        <v>1</v>
      </c>
      <c r="AB69" s="27">
        <f t="shared" si="41"/>
        <v>0.14612651300100388</v>
      </c>
      <c r="AC69" s="5">
        <f t="shared" si="48"/>
        <v>1.5</v>
      </c>
      <c r="AD69">
        <f t="shared" si="47"/>
        <v>0.55000000000000004</v>
      </c>
      <c r="AE69" s="24">
        <f t="shared" si="22"/>
        <v>1229.5466030856574</v>
      </c>
      <c r="AF69" s="24">
        <f t="shared" si="7"/>
        <v>1912.6280492443559</v>
      </c>
      <c r="AG69" s="24">
        <f t="shared" si="8"/>
        <v>25000</v>
      </c>
      <c r="AH69" s="24">
        <f t="shared" si="9"/>
        <v>275000</v>
      </c>
      <c r="AI69" s="5">
        <f t="shared" ref="AI69:AI100" si="50">+AC69+0.9</f>
        <v>2.4</v>
      </c>
      <c r="AJ69" s="5">
        <f t="shared" ref="AJ69:AJ100" si="51">+AD69*$AJ$9</f>
        <v>0.56100000000000005</v>
      </c>
      <c r="AK69" s="24">
        <f t="shared" si="11"/>
        <v>2315.7151691800977</v>
      </c>
      <c r="AL69" s="24">
        <f t="shared" si="12"/>
        <v>2717.7490527183095</v>
      </c>
      <c r="AM69" s="24">
        <f t="shared" si="13"/>
        <v>60000</v>
      </c>
      <c r="AN69" s="24">
        <f t="shared" si="14"/>
        <v>320000</v>
      </c>
      <c r="AO69" s="5">
        <f t="shared" ref="AO69:AO100" si="52">AI69+$AO$9</f>
        <v>2.9</v>
      </c>
      <c r="AP69" s="5">
        <f t="shared" ref="AP69:AP100" si="53">+AJ69*$AP$9</f>
        <v>0.57222000000000006</v>
      </c>
      <c r="AQ69" s="24">
        <f t="shared" si="15"/>
        <v>3074.8340300057894</v>
      </c>
      <c r="AR69" s="24">
        <f t="shared" si="16"/>
        <v>3516.6205285698393</v>
      </c>
      <c r="AS69" s="24">
        <f t="shared" si="17"/>
        <v>689200</v>
      </c>
      <c r="AT69" s="24">
        <f t="shared" si="18"/>
        <v>939200</v>
      </c>
      <c r="BA69" s="5">
        <f t="shared" si="26"/>
        <v>2.9</v>
      </c>
      <c r="BB69" s="5">
        <f t="shared" si="27"/>
        <v>0.57222000000000006</v>
      </c>
      <c r="BC69" s="24">
        <f t="shared" si="28"/>
        <v>3074.8340300057894</v>
      </c>
      <c r="BD69" s="24">
        <f t="shared" si="29"/>
        <v>3516.6205285698393</v>
      </c>
      <c r="BE69" s="24">
        <f t="shared" si="30"/>
        <v>689200</v>
      </c>
      <c r="BF69" s="24">
        <f t="shared" si="31"/>
        <v>939200</v>
      </c>
      <c r="BI69" t="str">
        <f>RegionWideSubstations!C69</f>
        <v>Lane Electric Coop Inc</v>
      </c>
      <c r="BJ69" s="417">
        <f>RegionWideSubstations!AE69/8760</f>
        <v>0.14035920126548601</v>
      </c>
      <c r="BK69" s="416">
        <f>RegionWideSubstations!AF69/8760</f>
        <v>0.21833653530186711</v>
      </c>
      <c r="BL69" s="70">
        <f>(RegionWideSubstations!AK69/8760)-BJ69</f>
        <v>0.12399184544457081</v>
      </c>
      <c r="BM69" s="415">
        <f>(RegionWideSubstations!AL69/8760)-BK69</f>
        <v>9.190879035090796E-2</v>
      </c>
      <c r="BN69" s="70">
        <f>(RegionWideSubstations!AQ69/8760)-BJ69-BL69</f>
        <v>8.6657404203846045E-2</v>
      </c>
      <c r="BO69" s="415">
        <f>(RegionWideSubstations!AR69/8760)-BK69-BM69</f>
        <v>9.119537395565408E-2</v>
      </c>
      <c r="BP69" s="70">
        <f t="shared" si="19"/>
        <v>5.0432248694526283E-2</v>
      </c>
      <c r="BQ69" s="24">
        <f t="shared" si="20"/>
        <v>0.40144069960842915</v>
      </c>
    </row>
    <row r="70" spans="1:69">
      <c r="A70">
        <f t="shared" si="42"/>
        <v>58</v>
      </c>
      <c r="B70">
        <v>15231</v>
      </c>
      <c r="C70" t="s">
        <v>81</v>
      </c>
      <c r="D70" t="s">
        <v>1</v>
      </c>
      <c r="E70" t="s">
        <v>62</v>
      </c>
      <c r="F70" s="3">
        <v>6874</v>
      </c>
      <c r="G70" s="3">
        <v>201038</v>
      </c>
      <c r="H70" s="122">
        <f>VLOOKUP($C70&amp;$D70,Sales!$A$21:$W$209,23,FALSE)</f>
        <v>220262</v>
      </c>
      <c r="I70" s="3">
        <v>124864</v>
      </c>
      <c r="J70" s="122">
        <f>VLOOKUP($C70&amp;$D70,Sales!$A$21:$W$209,11,FALSE)</f>
        <v>136247</v>
      </c>
      <c r="K70" s="3">
        <v>8350</v>
      </c>
      <c r="L70" s="122">
        <f>VLOOKUP($C70&amp;$D70,Sales!$A$21:$W$209,12,FALSE)</f>
        <v>9184</v>
      </c>
      <c r="M70" s="3">
        <f t="shared" si="49"/>
        <v>14953.77245508982</v>
      </c>
      <c r="N70">
        <v>2</v>
      </c>
      <c r="O70">
        <v>3</v>
      </c>
      <c r="P70">
        <v>3</v>
      </c>
      <c r="Q70" s="3">
        <f>($G70-$I70)/($S70+$V70*20)*S70</f>
        <v>76174</v>
      </c>
      <c r="R70" s="122">
        <f>VLOOKUP($C70&amp;$D70,Sales!$A$21:$W$209,14,FALSE)</f>
        <v>84015</v>
      </c>
      <c r="S70" s="3">
        <v>843</v>
      </c>
      <c r="T70" s="3">
        <f>($G70-$I70)/($S70+$V70*20)*V70*20</f>
        <v>0</v>
      </c>
      <c r="U70" s="122">
        <f>VLOOKUP($C70&amp;$D70,Sales!$A$21:$W$209,17,FALSE)</f>
        <v>0</v>
      </c>
      <c r="V70" s="3"/>
      <c r="X70" s="27">
        <f t="shared" si="43"/>
        <v>1.1360509114968165</v>
      </c>
      <c r="Y70" s="28">
        <v>0.9</v>
      </c>
      <c r="Z70" s="27">
        <f t="shared" si="4"/>
        <v>1</v>
      </c>
      <c r="AA70" s="132">
        <f t="shared" si="5"/>
        <v>1</v>
      </c>
      <c r="AB70" s="27">
        <f t="shared" si="41"/>
        <v>0.13605091149681647</v>
      </c>
      <c r="AC70" s="5">
        <f t="shared" si="48"/>
        <v>1.5</v>
      </c>
      <c r="AD70">
        <f t="shared" si="47"/>
        <v>0.55000000000000004</v>
      </c>
      <c r="AE70" s="24">
        <f t="shared" si="22"/>
        <v>1084.6102531520698</v>
      </c>
      <c r="AF70" s="24">
        <f t="shared" si="7"/>
        <v>1687.1715049032196</v>
      </c>
      <c r="AG70" s="24">
        <f t="shared" si="8"/>
        <v>25000</v>
      </c>
      <c r="AH70" s="24">
        <f t="shared" si="9"/>
        <v>275000</v>
      </c>
      <c r="AI70" s="5">
        <f t="shared" si="50"/>
        <v>2.4</v>
      </c>
      <c r="AJ70" s="5">
        <f t="shared" si="51"/>
        <v>0.56100000000000005</v>
      </c>
      <c r="AK70" s="24">
        <f t="shared" si="11"/>
        <v>2073.8956624426946</v>
      </c>
      <c r="AL70" s="24">
        <f t="shared" si="12"/>
        <v>2433.9469927278847</v>
      </c>
      <c r="AM70" s="24">
        <f t="shared" si="13"/>
        <v>60000</v>
      </c>
      <c r="AN70" s="24">
        <f t="shared" si="14"/>
        <v>320000</v>
      </c>
      <c r="AO70" s="5">
        <f t="shared" si="52"/>
        <v>2.9</v>
      </c>
      <c r="AP70" s="5">
        <f t="shared" si="53"/>
        <v>0.57222000000000006</v>
      </c>
      <c r="AQ70" s="24">
        <f t="shared" si="15"/>
        <v>2816.5515899612901</v>
      </c>
      <c r="AR70" s="24">
        <f t="shared" si="16"/>
        <v>3221.228542541935</v>
      </c>
      <c r="AS70" s="24">
        <f t="shared" si="17"/>
        <v>554200</v>
      </c>
      <c r="AT70" s="24">
        <f t="shared" si="18"/>
        <v>804200</v>
      </c>
      <c r="BA70" s="5">
        <f t="shared" si="26"/>
        <v>2.9</v>
      </c>
      <c r="BB70" s="5">
        <f t="shared" si="27"/>
        <v>0.57222000000000006</v>
      </c>
      <c r="BC70" s="24">
        <f t="shared" si="28"/>
        <v>2816.5515899612901</v>
      </c>
      <c r="BD70" s="24">
        <f t="shared" si="29"/>
        <v>3221.228542541935</v>
      </c>
      <c r="BE70" s="24">
        <f t="shared" si="30"/>
        <v>554200</v>
      </c>
      <c r="BF70" s="24">
        <f t="shared" si="31"/>
        <v>804200</v>
      </c>
      <c r="BI70" t="str">
        <f>RegionWideSubstations!C70</f>
        <v>Vera Irrigation District #15</v>
      </c>
      <c r="BJ70" s="417">
        <f>RegionWideSubstations!AE70/8760</f>
        <v>0.12381395583927737</v>
      </c>
      <c r="BK70" s="416">
        <f>RegionWideSubstations!AF70/8760</f>
        <v>0.19259948686109812</v>
      </c>
      <c r="BL70" s="70">
        <f>(RegionWideSubstations!AK70/8760)-BJ70</f>
        <v>0.11293212434824484</v>
      </c>
      <c r="BM70" s="415">
        <f>(RegionWideSubstations!AL70/8760)-BK70</f>
        <v>8.5248343358980017E-2</v>
      </c>
      <c r="BN70" s="70">
        <f>(RegionWideSubstations!AQ70/8760)-BJ70-BL70</f>
        <v>8.4778073917647884E-2</v>
      </c>
      <c r="BO70" s="415">
        <f>(RegionWideSubstations!AR70/8760)-BK70-BM70</f>
        <v>8.9872323038133639E-2</v>
      </c>
      <c r="BP70" s="70">
        <f t="shared" si="19"/>
        <v>4.6195999153041678E-2</v>
      </c>
      <c r="BQ70" s="24">
        <f t="shared" si="20"/>
        <v>0.36772015325821178</v>
      </c>
    </row>
    <row r="71" spans="1:69">
      <c r="A71">
        <f t="shared" si="42"/>
        <v>59</v>
      </c>
      <c r="B71">
        <v>5327</v>
      </c>
      <c r="C71" t="s">
        <v>139</v>
      </c>
      <c r="D71" t="s">
        <v>140</v>
      </c>
      <c r="E71" t="s">
        <v>91</v>
      </c>
      <c r="F71" s="3">
        <v>2455</v>
      </c>
      <c r="G71" s="3">
        <v>199177</v>
      </c>
      <c r="H71" s="126">
        <f>VLOOKUP($C71&amp;"ID",Sales!$A$21:$W$209,23,FALSE)</f>
        <v>216971</v>
      </c>
      <c r="I71" s="3">
        <v>36000</v>
      </c>
      <c r="J71" s="126">
        <f>VLOOKUP($C71&amp;"ID",Sales!$A$21:$W$209,11,FALSE)</f>
        <v>22408</v>
      </c>
      <c r="K71" s="3">
        <v>2982</v>
      </c>
      <c r="L71" s="126">
        <f>VLOOKUP($C71&amp;"ID",Sales!$A$21:$W$209,12,FALSE)</f>
        <v>1280</v>
      </c>
      <c r="M71" s="3">
        <f t="shared" si="49"/>
        <v>12072.434607645875</v>
      </c>
      <c r="N71">
        <v>2</v>
      </c>
      <c r="O71">
        <v>3</v>
      </c>
      <c r="P71">
        <v>4</v>
      </c>
      <c r="Q71" s="3">
        <f>($G71-$I71)/($S71+$V71*20)*S71</f>
        <v>2332.2488910793495</v>
      </c>
      <c r="R71" s="126">
        <f>VLOOKUP($C71&amp;"ID",Sales!$A$21:$W$209,14,FALSE)</f>
        <v>38124</v>
      </c>
      <c r="S71" s="3">
        <v>232</v>
      </c>
      <c r="T71" s="3">
        <f>($G71-$I71)/($S71+$V71*20)*V71*10</f>
        <v>80422.375554460334</v>
      </c>
      <c r="U71" s="126">
        <f>VLOOKUP($C71&amp;"ID",Sales!$A$21:$W$209,17,FALSE)</f>
        <v>156439</v>
      </c>
      <c r="V71" s="3">
        <v>800</v>
      </c>
      <c r="X71" s="27">
        <f t="shared" si="43"/>
        <v>1.12553453774511</v>
      </c>
      <c r="Y71" s="28">
        <v>0.9</v>
      </c>
      <c r="Z71" s="27">
        <f t="shared" si="4"/>
        <v>1</v>
      </c>
      <c r="AA71" s="132">
        <f t="shared" si="5"/>
        <v>1</v>
      </c>
      <c r="AB71" s="27">
        <f t="shared" si="41"/>
        <v>0.12553453774511003</v>
      </c>
      <c r="AC71" s="5">
        <f t="shared" si="48"/>
        <v>1.5</v>
      </c>
      <c r="AD71">
        <f t="shared" si="47"/>
        <v>0.55000000000000004</v>
      </c>
      <c r="AE71" s="24">
        <f t="shared" si="22"/>
        <v>346.07002244603848</v>
      </c>
      <c r="AF71" s="24">
        <f t="shared" si="7"/>
        <v>538.33114602717092</v>
      </c>
      <c r="AG71" s="24">
        <f t="shared" si="8"/>
        <v>25000</v>
      </c>
      <c r="AH71" s="24">
        <f t="shared" si="9"/>
        <v>275000</v>
      </c>
      <c r="AI71" s="5">
        <f t="shared" si="50"/>
        <v>2.4</v>
      </c>
      <c r="AJ71" s="5">
        <f t="shared" si="51"/>
        <v>0.56100000000000005</v>
      </c>
      <c r="AK71" s="24">
        <f t="shared" si="11"/>
        <v>785.25316481869538</v>
      </c>
      <c r="AL71" s="24">
        <f t="shared" si="12"/>
        <v>921.5818392663856</v>
      </c>
      <c r="AM71" s="24">
        <f t="shared" si="13"/>
        <v>60000</v>
      </c>
      <c r="AN71" s="24">
        <f t="shared" si="14"/>
        <v>320000</v>
      </c>
      <c r="AO71" s="5">
        <f t="shared" si="52"/>
        <v>2.9</v>
      </c>
      <c r="AP71" s="5">
        <f t="shared" si="53"/>
        <v>0.57222000000000006</v>
      </c>
      <c r="AQ71" s="24">
        <f t="shared" si="15"/>
        <v>1220.8053189280458</v>
      </c>
      <c r="AR71" s="24">
        <f t="shared" si="16"/>
        <v>1396.2083819924201</v>
      </c>
      <c r="AS71" s="24">
        <f t="shared" si="17"/>
        <v>159000</v>
      </c>
      <c r="AT71" s="24">
        <f t="shared" si="18"/>
        <v>409000</v>
      </c>
      <c r="BA71" s="5">
        <f t="shared" si="26"/>
        <v>2.9</v>
      </c>
      <c r="BB71" s="5">
        <f t="shared" si="27"/>
        <v>0.57222000000000006</v>
      </c>
      <c r="BC71" s="24">
        <f t="shared" si="28"/>
        <v>1220.8053189280458</v>
      </c>
      <c r="BD71" s="24">
        <f t="shared" si="29"/>
        <v>1396.2083819924201</v>
      </c>
      <c r="BE71" s="24">
        <f t="shared" si="30"/>
        <v>159000</v>
      </c>
      <c r="BF71" s="24">
        <f t="shared" si="31"/>
        <v>409000</v>
      </c>
      <c r="BI71" t="str">
        <f>RegionWideSubstations!C71</f>
        <v>Raft River Rural Elec Coop Inc</v>
      </c>
      <c r="BJ71" s="417">
        <f>RegionWideSubstations!AE71/8760</f>
        <v>3.9505710324890239E-2</v>
      </c>
      <c r="BK71" s="416">
        <f>RegionWideSubstations!AF71/8760</f>
        <v>6.1453327172051472E-2</v>
      </c>
      <c r="BL71" s="70">
        <f>(RegionWideSubstations!AK71/8760)-BJ71</f>
        <v>5.0135061914686863E-2</v>
      </c>
      <c r="BM71" s="415">
        <f>(RegionWideSubstations!AL71/8760)-BK71</f>
        <v>4.3750079136896658E-2</v>
      </c>
      <c r="BN71" s="70">
        <f>(RegionWideSubstations!AQ71/8760)-BJ71-BL71</f>
        <v>4.9720565537597086E-2</v>
      </c>
      <c r="BO71" s="415">
        <f>(RegionWideSubstations!AR71/8760)-BK71-BM71</f>
        <v>5.4181112183337279E-2</v>
      </c>
      <c r="BP71" s="70">
        <f t="shared" si="19"/>
        <v>2.0023180715111222E-2</v>
      </c>
      <c r="BQ71" s="24">
        <f t="shared" si="20"/>
        <v>0.15938451849228541</v>
      </c>
    </row>
    <row r="72" spans="1:69">
      <c r="A72">
        <f t="shared" si="42"/>
        <v>60</v>
      </c>
      <c r="B72">
        <v>19784</v>
      </c>
      <c r="C72" t="s">
        <v>102</v>
      </c>
      <c r="D72" t="s">
        <v>103</v>
      </c>
      <c r="E72" t="s">
        <v>91</v>
      </c>
      <c r="F72" s="3">
        <v>15674</v>
      </c>
      <c r="G72" s="3">
        <v>197573</v>
      </c>
      <c r="H72" s="122">
        <f>VLOOKUP($C72&amp;"ID",Sales!$A$21:$W$209,23,FALSE)+VLOOKUP($C72&amp;"MT",Sales!$A$21:$W$209,23,FALSE)+VLOOKUP($C72&amp;"WA",Sales!$A$21:$W$209,23,FALSE)</f>
        <v>314876</v>
      </c>
      <c r="I72" s="3">
        <v>180512</v>
      </c>
      <c r="J72" s="122">
        <f>VLOOKUP($C72&amp;"ID",Sales!$A$21:$W$209,11,FALSE)+VLOOKUP($C72&amp;"MT",Sales!$A$21:$W$209,11,FALSE)+VLOOKUP($C72&amp;"WA",Sales!$A$21:$W$209,11,FALSE)</f>
        <v>207105</v>
      </c>
      <c r="K72" s="3">
        <v>15903</v>
      </c>
      <c r="L72" s="122">
        <f>VLOOKUP($C72&amp;"ID",Sales!$A$21:$W$209,12,FALSE)+VLOOKUP($C72&amp;"MT",Sales!$A$21:$W$209,12,FALSE)+VLOOKUP($C72&amp;"WA",Sales!$A$21:$W$209,12,FALSE)</f>
        <v>17542</v>
      </c>
      <c r="M72" s="3">
        <f t="shared" si="49"/>
        <v>11350.814311765076</v>
      </c>
      <c r="N72">
        <v>2</v>
      </c>
      <c r="O72">
        <v>1</v>
      </c>
      <c r="P72">
        <v>3</v>
      </c>
      <c r="Q72" s="3">
        <f>($G72-$I72)/($S72+$V72*20)*S72</f>
        <v>8588.9280821917819</v>
      </c>
      <c r="R72" s="122">
        <f>VLOOKUP($C72&amp;"ID",Sales!$A$21:$W$209,14,FALSE)+VLOOKUP($C72&amp;"MT",Sales!$A$21:$W$209,14,FALSE)+VLOOKUP($C72&amp;"WA",Sales!$A$21:$W$209,14,FALSE)</f>
        <v>41143</v>
      </c>
      <c r="S72" s="3">
        <v>588</v>
      </c>
      <c r="T72" s="3">
        <f>($G72-$I72)/($S72+$V72*20)*V72*20</f>
        <v>8472.07191780822</v>
      </c>
      <c r="U72" s="122">
        <f>VLOOKUP($C72&amp;"ID",Sales!$A$21:$W$209,17,FALSE)+VLOOKUP($C72&amp;"MT",Sales!$A$21:$W$209,17,FALSE)+VLOOKUP($C72&amp;"WA",Sales!$A$21:$W$209,17,FALSE)</f>
        <v>66628</v>
      </c>
      <c r="V72" s="3">
        <v>29</v>
      </c>
      <c r="X72" s="27">
        <f t="shared" si="43"/>
        <v>1.1164704520397166</v>
      </c>
      <c r="Y72" s="28">
        <v>0.9</v>
      </c>
      <c r="Z72" s="27">
        <f t="shared" si="4"/>
        <v>1</v>
      </c>
      <c r="AA72" s="132">
        <f t="shared" si="5"/>
        <v>1</v>
      </c>
      <c r="AB72" s="27">
        <f t="shared" si="41"/>
        <v>0.11647045203971662</v>
      </c>
      <c r="AC72" s="5">
        <f t="shared" si="48"/>
        <v>1.5</v>
      </c>
      <c r="AD72">
        <f t="shared" si="47"/>
        <v>0.55000000000000004</v>
      </c>
      <c r="AE72" s="24">
        <f t="shared" si="22"/>
        <v>1384.021259663594</v>
      </c>
      <c r="AF72" s="24">
        <f t="shared" si="7"/>
        <v>2152.9219594767019</v>
      </c>
      <c r="AG72" s="24">
        <f t="shared" si="8"/>
        <v>25000</v>
      </c>
      <c r="AH72" s="24">
        <f t="shared" si="9"/>
        <v>275000</v>
      </c>
      <c r="AI72" s="5">
        <f t="shared" si="50"/>
        <v>2.4</v>
      </c>
      <c r="AJ72" s="5">
        <f t="shared" si="51"/>
        <v>0.56100000000000005</v>
      </c>
      <c r="AK72" s="24">
        <f t="shared" si="11"/>
        <v>2656.033249216699</v>
      </c>
      <c r="AL72" s="24">
        <f t="shared" si="12"/>
        <v>3117.150132761265</v>
      </c>
      <c r="AM72" s="24">
        <f t="shared" si="13"/>
        <v>60000</v>
      </c>
      <c r="AN72" s="24">
        <f t="shared" si="14"/>
        <v>320000</v>
      </c>
      <c r="AO72" s="5">
        <f t="shared" si="52"/>
        <v>2.9</v>
      </c>
      <c r="AP72" s="5">
        <f t="shared" si="53"/>
        <v>0.57222000000000006</v>
      </c>
      <c r="AQ72" s="24">
        <f t="shared" si="15"/>
        <v>3589.9996287434005</v>
      </c>
      <c r="AR72" s="24">
        <f t="shared" si="16"/>
        <v>4105.8041731030844</v>
      </c>
      <c r="AS72" s="24">
        <f t="shared" si="17"/>
        <v>972100</v>
      </c>
      <c r="AT72" s="24">
        <f t="shared" si="18"/>
        <v>1222100</v>
      </c>
      <c r="BA72" s="5">
        <f t="shared" si="26"/>
        <v>2.9</v>
      </c>
      <c r="BB72" s="5">
        <f t="shared" si="27"/>
        <v>0.57222000000000006</v>
      </c>
      <c r="BC72" s="24">
        <f t="shared" si="28"/>
        <v>3589.9996287434005</v>
      </c>
      <c r="BD72" s="24">
        <f t="shared" si="29"/>
        <v>4105.8041731030844</v>
      </c>
      <c r="BE72" s="24">
        <f t="shared" si="30"/>
        <v>972100</v>
      </c>
      <c r="BF72" s="24">
        <f t="shared" si="31"/>
        <v>1222100</v>
      </c>
      <c r="BI72" t="str">
        <f>RegionWideSubstations!C72</f>
        <v>Northern Lights, Inc</v>
      </c>
      <c r="BJ72" s="417">
        <f>RegionWideSubstations!AE72/8760</f>
        <v>0.15799329448214544</v>
      </c>
      <c r="BK72" s="416">
        <f>RegionWideSubstations!AF72/8760</f>
        <v>0.24576734697222624</v>
      </c>
      <c r="BL72" s="70">
        <f>(RegionWideSubstations!AK72/8760)-BJ72</f>
        <v>0.14520684812250056</v>
      </c>
      <c r="BM72" s="415">
        <f>(RegionWideSubstations!AL72/8760)-BK72</f>
        <v>0.11007170927905974</v>
      </c>
      <c r="BN72" s="70">
        <f>(RegionWideSubstations!AQ72/8760)-BJ72-BL72</f>
        <v>0.10661716661263715</v>
      </c>
      <c r="BO72" s="415">
        <f>(RegionWideSubstations!AR72/8760)-BK72-BM72</f>
        <v>0.11286005026733098</v>
      </c>
      <c r="BP72" s="70">
        <f t="shared" si="19"/>
        <v>5.8881797301333805E-2</v>
      </c>
      <c r="BQ72" s="24">
        <f t="shared" si="20"/>
        <v>0.46869910651861696</v>
      </c>
    </row>
    <row r="73" spans="1:69">
      <c r="A73">
        <f t="shared" si="42"/>
        <v>61</v>
      </c>
      <c r="B73">
        <v>3295</v>
      </c>
      <c r="C73" s="67" t="s">
        <v>366</v>
      </c>
      <c r="D73" t="s">
        <v>4</v>
      </c>
      <c r="E73" t="s">
        <v>154</v>
      </c>
      <c r="F73" s="3">
        <v>10342</v>
      </c>
      <c r="G73" s="9">
        <f>+I73</f>
        <v>194681</v>
      </c>
      <c r="H73" s="122">
        <f>VLOOKUP($C73&amp;$D73,Sales!$A$21:$W$209,23,FALSE)</f>
        <v>353302</v>
      </c>
      <c r="I73" s="3">
        <v>194681</v>
      </c>
      <c r="J73" s="122">
        <f>VLOOKUP($C73&amp;$D73,Sales!$A$21:$W$209,11,FALSE)</f>
        <v>217040</v>
      </c>
      <c r="K73" s="3">
        <v>13609</v>
      </c>
      <c r="L73" s="122">
        <f>VLOOKUP($C73&amp;$D73,Sales!$A$21:$W$209,12,FALSE)</f>
        <v>14512</v>
      </c>
      <c r="M73" s="3">
        <f t="shared" si="49"/>
        <v>14305.312660739217</v>
      </c>
      <c r="N73">
        <v>2</v>
      </c>
      <c r="O73">
        <v>1</v>
      </c>
      <c r="P73">
        <v>2</v>
      </c>
      <c r="Q73" s="3"/>
      <c r="R73" s="122">
        <f>VLOOKUP($C73&amp;$D73,Sales!$A$21:$W$209,14,FALSE)</f>
        <v>121085</v>
      </c>
      <c r="T73" s="3"/>
      <c r="U73" s="122">
        <f>VLOOKUP($C73&amp;$D73,Sales!$A$21:$W$209,17,FALSE)</f>
        <v>15177</v>
      </c>
      <c r="X73" s="27">
        <f t="shared" si="43"/>
        <v>1.100127973324007</v>
      </c>
      <c r="Y73" s="28">
        <v>0.9</v>
      </c>
      <c r="Z73" s="27">
        <f t="shared" si="4"/>
        <v>1</v>
      </c>
      <c r="AA73" s="132">
        <f t="shared" si="5"/>
        <v>1</v>
      </c>
      <c r="AB73" s="27">
        <f t="shared" si="41"/>
        <v>0.10012797332400702</v>
      </c>
      <c r="AC73" s="5">
        <f t="shared" si="48"/>
        <v>1.5</v>
      </c>
      <c r="AD73">
        <f t="shared" si="47"/>
        <v>0.55000000000000004</v>
      </c>
      <c r="AE73" s="24">
        <f t="shared" si="22"/>
        <v>1691.6505781925</v>
      </c>
      <c r="AF73" s="24">
        <f t="shared" si="7"/>
        <v>2631.4564549661113</v>
      </c>
      <c r="AG73" s="24">
        <f t="shared" si="8"/>
        <v>25000</v>
      </c>
      <c r="AH73" s="24">
        <f t="shared" si="9"/>
        <v>275000</v>
      </c>
      <c r="AI73" s="5">
        <f t="shared" si="50"/>
        <v>2.4</v>
      </c>
      <c r="AJ73" s="5">
        <f t="shared" si="51"/>
        <v>0.56100000000000005</v>
      </c>
      <c r="AK73" s="24">
        <f t="shared" si="11"/>
        <v>3239.9084904750675</v>
      </c>
      <c r="AL73" s="24">
        <f t="shared" si="12"/>
        <v>3802.3926034047672</v>
      </c>
      <c r="AM73" s="24">
        <f t="shared" si="13"/>
        <v>60000</v>
      </c>
      <c r="AN73" s="24">
        <f t="shared" si="14"/>
        <v>320000</v>
      </c>
      <c r="AO73" s="5">
        <f t="shared" si="52"/>
        <v>2.9</v>
      </c>
      <c r="AP73" s="5">
        <f t="shared" si="53"/>
        <v>0.57222000000000006</v>
      </c>
      <c r="AQ73" s="24">
        <f t="shared" si="15"/>
        <v>4402.163397353198</v>
      </c>
      <c r="AR73" s="24">
        <f t="shared" si="16"/>
        <v>5034.6581383522198</v>
      </c>
      <c r="AS73" s="24">
        <f t="shared" si="17"/>
        <v>820600</v>
      </c>
      <c r="AT73" s="24">
        <f t="shared" si="18"/>
        <v>1070600</v>
      </c>
      <c r="BA73" s="5">
        <f t="shared" si="26"/>
        <v>2.9</v>
      </c>
      <c r="BB73" s="5">
        <f t="shared" si="27"/>
        <v>0.57222000000000006</v>
      </c>
      <c r="BC73" s="24">
        <f t="shared" si="28"/>
        <v>4402.163397353198</v>
      </c>
      <c r="BD73" s="24">
        <f t="shared" si="29"/>
        <v>5034.6581383522198</v>
      </c>
      <c r="BE73" s="24">
        <f t="shared" si="30"/>
        <v>820600</v>
      </c>
      <c r="BF73" s="24">
        <f t="shared" si="31"/>
        <v>1070600</v>
      </c>
      <c r="BI73" t="str">
        <f>RegionWideSubstations!C73</f>
        <v>USBIA-Mission Valley Power</v>
      </c>
      <c r="BJ73" s="417">
        <f>RegionWideSubstations!AE73/8760</f>
        <v>0.19311079659731736</v>
      </c>
      <c r="BK73" s="416">
        <f>RegionWideSubstations!AF73/8760</f>
        <v>0.3003945724847159</v>
      </c>
      <c r="BL73" s="70">
        <f>(RegionWideSubstations!AK73/8760)-BJ73</f>
        <v>0.17674177080851225</v>
      </c>
      <c r="BM73" s="415">
        <f>(RegionWideSubstations!AL73/8760)-BK73</f>
        <v>0.13366851009573699</v>
      </c>
      <c r="BN73" s="70">
        <f>(RegionWideSubstations!AQ73/8760)-BJ73-BL73</f>
        <v>0.13267750078517473</v>
      </c>
      <c r="BO73" s="415">
        <f>(RegionWideSubstations!AR73/8760)-BK73-BM73</f>
        <v>0.14066958161500598</v>
      </c>
      <c r="BP73" s="70">
        <f t="shared" si="19"/>
        <v>7.2202596004454556E-2</v>
      </c>
      <c r="BQ73" s="24">
        <f t="shared" si="20"/>
        <v>0.57473266419545888</v>
      </c>
    </row>
    <row r="74" spans="1:69">
      <c r="A74">
        <f t="shared" si="42"/>
        <v>62</v>
      </c>
      <c r="B74">
        <v>12744</v>
      </c>
      <c r="C74" t="s">
        <v>142</v>
      </c>
      <c r="D74" t="s">
        <v>143</v>
      </c>
      <c r="E74" t="s">
        <v>91</v>
      </c>
      <c r="F74" s="3">
        <v>2613</v>
      </c>
      <c r="G74" s="3">
        <v>190563</v>
      </c>
      <c r="H74" s="122">
        <f>VLOOKUP($C74&amp;"OR",Sales!$A$21:$W$209,23,FALSE)+VLOOKUP($C74&amp;"WA",Sales!$A$21:$W$209,23,FALSE)</f>
        <v>298338</v>
      </c>
      <c r="I74" s="3">
        <v>43104</v>
      </c>
      <c r="J74" s="122">
        <f>VLOOKUP($C74&amp;"OR",Sales!$A$21:$W$209,11,FALSE)+VLOOKUP($C74&amp;"WA",Sales!$A$21:$W$209,11,FALSE)</f>
        <v>48138</v>
      </c>
      <c r="K74" s="3">
        <v>2508</v>
      </c>
      <c r="L74" s="122">
        <f>VLOOKUP($C74&amp;"OR",Sales!$A$21:$W$209,12,FALSE)+VLOOKUP($C74&amp;"WA",Sales!$A$21:$W$209,12,FALSE)</f>
        <v>3029</v>
      </c>
      <c r="M74" s="3">
        <f t="shared" si="49"/>
        <v>17186.6028708134</v>
      </c>
      <c r="N74">
        <v>1</v>
      </c>
      <c r="O74">
        <v>3</v>
      </c>
      <c r="P74">
        <v>3</v>
      </c>
      <c r="Q74" s="3">
        <f>($G74-$I74)/($S74+$V74*20)*S74</f>
        <v>6599.3309514855209</v>
      </c>
      <c r="R74" s="122">
        <f>VLOOKUP($C74&amp;"OR",Sales!$A$21:$W$209,14,FALSE)+VLOOKUP($C74&amp;"WA",Sales!$A$21:$W$209,14,FALSE)</f>
        <v>46909</v>
      </c>
      <c r="S74" s="3">
        <v>476</v>
      </c>
      <c r="T74" s="3">
        <f>($G74-$I74)/($S74+$V74*20)*V74*10</f>
        <v>70429.83452425724</v>
      </c>
      <c r="U74" s="122">
        <f>VLOOKUP($C74&amp;"OR",Sales!$A$21:$W$209,17,FALSE)+VLOOKUP($C74&amp;"WA",Sales!$A$21:$W$209,17,FALSE)</f>
        <v>203291</v>
      </c>
      <c r="V74" s="3">
        <v>508</v>
      </c>
      <c r="X74" s="27">
        <f t="shared" si="43"/>
        <v>1.0768574590254969</v>
      </c>
      <c r="Y74" s="28">
        <v>0.9</v>
      </c>
      <c r="Z74" s="27">
        <f t="shared" si="4"/>
        <v>1</v>
      </c>
      <c r="AA74" s="132">
        <f t="shared" si="5"/>
        <v>1</v>
      </c>
      <c r="AB74" s="27">
        <f t="shared" si="41"/>
        <v>7.6857459025496899E-2</v>
      </c>
      <c r="AC74" s="5">
        <f t="shared" si="48"/>
        <v>1.5</v>
      </c>
      <c r="AD74">
        <f t="shared" si="47"/>
        <v>0.55000000000000004</v>
      </c>
      <c r="AE74" s="24">
        <f t="shared" si="22"/>
        <v>551.31960384927811</v>
      </c>
      <c r="AF74" s="24">
        <f t="shared" si="7"/>
        <v>857.60827265443243</v>
      </c>
      <c r="AG74" s="24">
        <f t="shared" si="8"/>
        <v>25000</v>
      </c>
      <c r="AH74" s="24">
        <f t="shared" si="9"/>
        <v>275000</v>
      </c>
      <c r="AI74" s="5">
        <f t="shared" si="50"/>
        <v>2.4</v>
      </c>
      <c r="AJ74" s="5">
        <f t="shared" si="51"/>
        <v>0.56100000000000005</v>
      </c>
      <c r="AK74" s="24">
        <f t="shared" si="11"/>
        <v>1208.3402937644307</v>
      </c>
      <c r="AL74" s="24">
        <f t="shared" si="12"/>
        <v>1418.1215947651999</v>
      </c>
      <c r="AM74" s="24">
        <f t="shared" si="13"/>
        <v>60000</v>
      </c>
      <c r="AN74" s="24">
        <f t="shared" si="14"/>
        <v>320000</v>
      </c>
      <c r="AO74" s="5">
        <f t="shared" si="52"/>
        <v>2.9</v>
      </c>
      <c r="AP74" s="5">
        <f t="shared" si="53"/>
        <v>0.57222000000000006</v>
      </c>
      <c r="AQ74" s="24">
        <f t="shared" si="15"/>
        <v>1829.3443218201774</v>
      </c>
      <c r="AR74" s="24">
        <f t="shared" si="16"/>
        <v>2092.1811496679043</v>
      </c>
      <c r="AS74" s="24">
        <f t="shared" si="17"/>
        <v>246450</v>
      </c>
      <c r="AT74" s="24">
        <f t="shared" si="18"/>
        <v>496450</v>
      </c>
      <c r="BA74" s="5">
        <f t="shared" si="26"/>
        <v>2.9</v>
      </c>
      <c r="BB74" s="5">
        <f t="shared" si="27"/>
        <v>0.57222000000000006</v>
      </c>
      <c r="BC74" s="24">
        <f t="shared" si="28"/>
        <v>1829.3443218201774</v>
      </c>
      <c r="BD74" s="24">
        <f t="shared" si="29"/>
        <v>2092.1811496679043</v>
      </c>
      <c r="BE74" s="24">
        <f t="shared" si="30"/>
        <v>246450</v>
      </c>
      <c r="BF74" s="24">
        <f t="shared" si="31"/>
        <v>496450</v>
      </c>
      <c r="BI74" t="str">
        <f>RegionWideSubstations!C74</f>
        <v>Columbia Rural Elec Assn, Inc</v>
      </c>
      <c r="BJ74" s="417">
        <f>RegionWideSubstations!AE74/8760</f>
        <v>6.2936027836675582E-2</v>
      </c>
      <c r="BK74" s="416">
        <f>RegionWideSubstations!AF74/8760</f>
        <v>9.7900487745939777E-2</v>
      </c>
      <c r="BL74" s="70">
        <f>(RegionWideSubstations!AK74/8760)-BJ74</f>
        <v>7.5002361862460357E-2</v>
      </c>
      <c r="BM74" s="415">
        <f>(RegionWideSubstations!AL74/8760)-BK74</f>
        <v>6.3985539053740589E-2</v>
      </c>
      <c r="BN74" s="70">
        <f>(RegionWideSubstations!AQ74/8760)-BJ74-BL74</f>
        <v>7.089087078261945E-2</v>
      </c>
      <c r="BO74" s="415">
        <f>(RegionWideSubstations!AR74/8760)-BK74-BM74</f>
        <v>7.6947437774281327E-2</v>
      </c>
      <c r="BP74" s="70">
        <f t="shared" si="19"/>
        <v>3.0004204092206332E-2</v>
      </c>
      <c r="BQ74" s="24">
        <f t="shared" si="20"/>
        <v>0.23883346457396171</v>
      </c>
    </row>
    <row r="75" spans="1:69">
      <c r="A75">
        <f t="shared" si="42"/>
        <v>63</v>
      </c>
      <c r="B75">
        <v>10627</v>
      </c>
      <c r="C75" t="s">
        <v>35</v>
      </c>
      <c r="D75" t="s">
        <v>1</v>
      </c>
      <c r="E75" t="s">
        <v>29</v>
      </c>
      <c r="F75" s="3">
        <v>3800</v>
      </c>
      <c r="G75" s="3">
        <v>189945</v>
      </c>
      <c r="H75" s="122">
        <f>VLOOKUP($C75&amp;$D75,Sales!$A$21:$W$209,23,FALSE)</f>
        <v>202148</v>
      </c>
      <c r="I75" s="3">
        <v>59644</v>
      </c>
      <c r="J75" s="122">
        <f>VLOOKUP($C75&amp;$D75,Sales!$A$21:$W$209,11,FALSE)</f>
        <v>75016</v>
      </c>
      <c r="K75" s="3">
        <v>7008</v>
      </c>
      <c r="L75" s="122">
        <f>VLOOKUP($C75&amp;$D75,Sales!$A$21:$W$209,12,FALSE)</f>
        <v>7989</v>
      </c>
      <c r="M75" s="3">
        <f t="shared" si="49"/>
        <v>8510.8447488584479</v>
      </c>
      <c r="N75">
        <v>2</v>
      </c>
      <c r="O75">
        <v>3</v>
      </c>
      <c r="P75">
        <v>3</v>
      </c>
      <c r="Q75" s="3">
        <f>($G75-$I75)/($S75+$V75*20)*S75</f>
        <v>128482.42358688067</v>
      </c>
      <c r="R75" s="122">
        <f>VLOOKUP($C75&amp;$D75,Sales!$A$21:$W$209,14,FALSE)</f>
        <v>116613</v>
      </c>
      <c r="S75" s="3">
        <v>1413</v>
      </c>
      <c r="T75" s="3">
        <f>($G75-$I75)/($S75+$V75*20)*V75*20</f>
        <v>1818.57641311933</v>
      </c>
      <c r="U75" s="122">
        <f>VLOOKUP($C75&amp;$D75,Sales!$A$21:$W$209,17,FALSE)</f>
        <v>10519</v>
      </c>
      <c r="V75" s="3">
        <v>1</v>
      </c>
      <c r="X75" s="27">
        <f t="shared" si="43"/>
        <v>1.0733651866028453</v>
      </c>
      <c r="Y75" s="28">
        <v>0.9</v>
      </c>
      <c r="Z75" s="27">
        <f t="shared" si="4"/>
        <v>1</v>
      </c>
      <c r="AA75" s="132">
        <f t="shared" si="5"/>
        <v>1</v>
      </c>
      <c r="AB75" s="27">
        <f t="shared" si="41"/>
        <v>7.33651866028453E-2</v>
      </c>
      <c r="AC75" s="5">
        <f>2*$AC$9</f>
        <v>2</v>
      </c>
      <c r="AD75">
        <f t="shared" si="47"/>
        <v>0.55000000000000004</v>
      </c>
      <c r="AE75" s="24">
        <f t="shared" si="22"/>
        <v>1129.0032140092269</v>
      </c>
      <c r="AF75" s="24">
        <f t="shared" si="7"/>
        <v>1599.4212198464047</v>
      </c>
      <c r="AG75" s="24">
        <f t="shared" si="8"/>
        <v>25000</v>
      </c>
      <c r="AH75" s="24">
        <f t="shared" si="9"/>
        <v>275000</v>
      </c>
      <c r="AI75" s="5">
        <f t="shared" si="50"/>
        <v>2.9</v>
      </c>
      <c r="AJ75" s="5">
        <f t="shared" si="51"/>
        <v>0.56100000000000005</v>
      </c>
      <c r="AK75" s="24">
        <f t="shared" si="11"/>
        <v>2003.2563642472294</v>
      </c>
      <c r="AL75" s="24">
        <f t="shared" si="12"/>
        <v>2291.0805545126359</v>
      </c>
      <c r="AM75" s="24">
        <f t="shared" si="13"/>
        <v>60000</v>
      </c>
      <c r="AN75" s="24">
        <f t="shared" si="14"/>
        <v>320000</v>
      </c>
      <c r="AO75" s="5">
        <f t="shared" si="52"/>
        <v>3.4</v>
      </c>
      <c r="AP75" s="5">
        <f t="shared" si="53"/>
        <v>0.57222000000000006</v>
      </c>
      <c r="AQ75" s="24">
        <f t="shared" si="15"/>
        <v>2720.8198033499789</v>
      </c>
      <c r="AR75" s="24">
        <f t="shared" si="16"/>
        <v>3054.2536027801234</v>
      </c>
      <c r="AS75" s="24">
        <f t="shared" si="17"/>
        <v>494450</v>
      </c>
      <c r="AT75" s="24">
        <f t="shared" si="18"/>
        <v>744450</v>
      </c>
      <c r="BA75" s="5">
        <f t="shared" si="26"/>
        <v>3.4</v>
      </c>
      <c r="BB75" s="5">
        <f t="shared" si="27"/>
        <v>0.57222000000000006</v>
      </c>
      <c r="BC75" s="24">
        <f t="shared" si="28"/>
        <v>2720.8198033499789</v>
      </c>
      <c r="BD75" s="24">
        <f t="shared" si="29"/>
        <v>3054.2536027801234</v>
      </c>
      <c r="BE75" s="24">
        <f t="shared" si="30"/>
        <v>494450</v>
      </c>
      <c r="BF75" s="24">
        <f t="shared" si="31"/>
        <v>744450</v>
      </c>
      <c r="BI75" t="str">
        <f>RegionWideSubstations!C75</f>
        <v>City of Ellensburg</v>
      </c>
      <c r="BJ75" s="417">
        <f>RegionWideSubstations!AE75/8760</f>
        <v>0.12888164543484326</v>
      </c>
      <c r="BK75" s="416">
        <f>RegionWideSubstations!AF75/8760</f>
        <v>0.18258233103269461</v>
      </c>
      <c r="BL75" s="70">
        <f>(RegionWideSubstations!AK75/8760)-BJ75</f>
        <v>9.9800587926712592E-2</v>
      </c>
      <c r="BM75" s="415">
        <f>(RegionWideSubstations!AL75/8760)-BK75</f>
        <v>7.8956545053222749E-2</v>
      </c>
      <c r="BN75" s="70">
        <f>(RegionWideSubstations!AQ75/8760)-BJ75-BL75</f>
        <v>8.1913634600770502E-2</v>
      </c>
      <c r="BO75" s="415">
        <f>(RegionWideSubstations!AR75/8760)-BK75-BM75</f>
        <v>8.7120210989439173E-2</v>
      </c>
      <c r="BP75" s="70">
        <f t="shared" si="19"/>
        <v>3.8063219113030178E-2</v>
      </c>
      <c r="BQ75" s="24">
        <f t="shared" si="20"/>
        <v>0.34865908707535653</v>
      </c>
    </row>
    <row r="76" spans="1:69">
      <c r="A76">
        <f t="shared" si="42"/>
        <v>64</v>
      </c>
      <c r="B76">
        <v>6582</v>
      </c>
      <c r="C76" s="67" t="s">
        <v>353</v>
      </c>
      <c r="D76" t="s">
        <v>5</v>
      </c>
      <c r="E76" t="s">
        <v>91</v>
      </c>
      <c r="F76" s="3">
        <v>11874</v>
      </c>
      <c r="G76" s="9">
        <f>+I76</f>
        <v>176428</v>
      </c>
      <c r="H76" s="122">
        <f>VLOOKUP($C76&amp;$D76,Sales!$A$21:$W$209,23,FALSE)</f>
        <v>312073</v>
      </c>
      <c r="I76" s="3">
        <v>176428</v>
      </c>
      <c r="J76" s="122">
        <f>VLOOKUP($C76&amp;$D76,Sales!$A$21:$W$209,11,FALSE)</f>
        <v>183577</v>
      </c>
      <c r="K76" s="3">
        <v>15460</v>
      </c>
      <c r="L76" s="122">
        <f>VLOOKUP($C76&amp;$D76,Sales!$A$21:$W$209,12,FALSE)</f>
        <v>16500</v>
      </c>
      <c r="M76" s="3">
        <f t="shared" si="49"/>
        <v>11411.90168175938</v>
      </c>
      <c r="N76">
        <v>1</v>
      </c>
      <c r="O76">
        <v>2</v>
      </c>
      <c r="P76">
        <v>2</v>
      </c>
      <c r="Q76" s="3"/>
      <c r="R76" s="122">
        <f>VLOOKUP($C76&amp;$D76,Sales!$A$21:$W$209,14,FALSE)</f>
        <v>102690</v>
      </c>
      <c r="T76" s="3"/>
      <c r="U76" s="122">
        <f>VLOOKUP($C76&amp;$D76,Sales!$A$21:$W$209,17,FALSE)</f>
        <v>25806</v>
      </c>
      <c r="X76" s="27">
        <f t="shared" si="43"/>
        <v>1</v>
      </c>
      <c r="Y76" s="28">
        <v>0.9</v>
      </c>
      <c r="Z76" s="27">
        <f t="shared" si="4"/>
        <v>1</v>
      </c>
      <c r="AA76" s="132">
        <f t="shared" si="5"/>
        <v>1</v>
      </c>
      <c r="AB76" s="27">
        <f t="shared" si="41"/>
        <v>0</v>
      </c>
      <c r="AC76" s="5">
        <f>1.5*$AC$9</f>
        <v>1.5</v>
      </c>
      <c r="AD76">
        <f t="shared" si="47"/>
        <v>0.55000000000000004</v>
      </c>
      <c r="AE76" s="24">
        <f t="shared" si="22"/>
        <v>1438.6970439145343</v>
      </c>
      <c r="AF76" s="24">
        <f t="shared" si="7"/>
        <v>2237.9731794226091</v>
      </c>
      <c r="AG76" s="24">
        <f t="shared" si="8"/>
        <v>25000</v>
      </c>
      <c r="AH76" s="24">
        <f t="shared" si="9"/>
        <v>275000</v>
      </c>
      <c r="AI76" s="5">
        <f t="shared" si="50"/>
        <v>2.4</v>
      </c>
      <c r="AJ76" s="5">
        <f t="shared" si="51"/>
        <v>0.56100000000000005</v>
      </c>
      <c r="AK76" s="24">
        <f t="shared" si="11"/>
        <v>2764.8869099018352</v>
      </c>
      <c r="AL76" s="24">
        <f t="shared" si="12"/>
        <v>3244.9019984264592</v>
      </c>
      <c r="AM76" s="24">
        <f t="shared" si="13"/>
        <v>60000</v>
      </c>
      <c r="AN76" s="24">
        <f t="shared" si="14"/>
        <v>320000</v>
      </c>
      <c r="AO76" s="5">
        <f t="shared" si="52"/>
        <v>2.9</v>
      </c>
      <c r="AP76" s="5">
        <f t="shared" si="53"/>
        <v>0.57222000000000006</v>
      </c>
      <c r="AQ76" s="24">
        <f t="shared" si="15"/>
        <v>3768.0283869734603</v>
      </c>
      <c r="AR76" s="24">
        <f t="shared" si="16"/>
        <v>4309.4117759064284</v>
      </c>
      <c r="AS76" s="24">
        <f t="shared" si="17"/>
        <v>920000</v>
      </c>
      <c r="AT76" s="24">
        <f t="shared" si="18"/>
        <v>1170000</v>
      </c>
      <c r="BA76" s="5">
        <f t="shared" si="26"/>
        <v>2.9</v>
      </c>
      <c r="BB76" s="5">
        <f t="shared" si="27"/>
        <v>0.57222000000000006</v>
      </c>
      <c r="BC76" s="24">
        <f t="shared" si="28"/>
        <v>3768.0283869734603</v>
      </c>
      <c r="BD76" s="24">
        <f t="shared" si="29"/>
        <v>4309.4117759064284</v>
      </c>
      <c r="BE76" s="24">
        <f t="shared" si="30"/>
        <v>920000</v>
      </c>
      <c r="BF76" s="24">
        <f t="shared" si="31"/>
        <v>1170000</v>
      </c>
      <c r="BI76" t="str">
        <f>RegionWideSubstations!C76</f>
        <v>Salem Electric</v>
      </c>
      <c r="BJ76" s="417">
        <f>RegionWideSubstations!AE76/8760</f>
        <v>0.16423482236467288</v>
      </c>
      <c r="BK76" s="416">
        <f>RegionWideSubstations!AF76/8760</f>
        <v>0.25547639034504671</v>
      </c>
      <c r="BL76" s="70">
        <f>(RegionWideSubstations!AK76/8760)-BJ76</f>
        <v>0.1513915372131622</v>
      </c>
      <c r="BM76" s="415">
        <f>(RegionWideSubstations!AL76/8760)-BK76</f>
        <v>0.11494621221505136</v>
      </c>
      <c r="BN76" s="70">
        <f>(RegionWideSubstations!AQ76/8760)-BJ76-BL76</f>
        <v>0.11451386724561932</v>
      </c>
      <c r="BO76" s="415">
        <f>(RegionWideSubstations!AR76/8760)-BK76-BM76</f>
        <v>0.12151938099086407</v>
      </c>
      <c r="BP76" s="70">
        <f t="shared" si="19"/>
        <v>6.1801756727507706E-2</v>
      </c>
      <c r="BQ76" s="24">
        <f t="shared" si="20"/>
        <v>0.49194198355096214</v>
      </c>
    </row>
    <row r="77" spans="1:69">
      <c r="A77">
        <f t="shared" si="42"/>
        <v>65</v>
      </c>
      <c r="B77">
        <v>14653</v>
      </c>
      <c r="C77" t="s">
        <v>112</v>
      </c>
      <c r="D77" t="s">
        <v>113</v>
      </c>
      <c r="E77" t="s">
        <v>91</v>
      </c>
      <c r="F77" s="3">
        <v>11322</v>
      </c>
      <c r="G77" s="3">
        <v>174398</v>
      </c>
      <c r="H77" s="126">
        <f>VLOOKUP($C77&amp;"ID",Sales!$A$21:$W$209,23,FALSE)+VLOOKUP($C77&amp;"MT",Sales!$A$21:$W$209,23,FALSE)</f>
        <v>276930</v>
      </c>
      <c r="I77" s="3">
        <v>116956</v>
      </c>
      <c r="J77" s="126">
        <f>VLOOKUP($C77&amp;"ID",Sales!$A$21:$W$209,11,FALSE)+VLOOKUP($C77&amp;"MT",Sales!$A$21:$W$209,11,FALSE)</f>
        <v>146967</v>
      </c>
      <c r="K77" s="3">
        <v>10451</v>
      </c>
      <c r="L77" s="126">
        <f>VLOOKUP($C77&amp;"ID",Sales!$A$21:$W$209,12,FALSE)+VLOOKUP($C77&amp;"MT",Sales!$A$21:$W$209,12,FALSE)</f>
        <v>12382</v>
      </c>
      <c r="M77" s="3">
        <f t="shared" si="49"/>
        <v>11190.890823844607</v>
      </c>
      <c r="N77">
        <v>3</v>
      </c>
      <c r="O77">
        <v>3</v>
      </c>
      <c r="P77">
        <v>3</v>
      </c>
      <c r="Q77" s="3">
        <f>($G77-$I77)/($S77+$V77*20)*S77</f>
        <v>8189.045454545455</v>
      </c>
      <c r="R77" s="126">
        <f>VLOOKUP($C77&amp;"ID",Sales!$A$21:$W$209,14,FALSE)+VLOOKUP($C77&amp;"MT",Sales!$A$21:$W$209,14,FALSE)</f>
        <v>129963</v>
      </c>
      <c r="S77" s="3">
        <v>1656</v>
      </c>
      <c r="T77" s="3">
        <f>($G77-$I77)/($S77+$V77*20)*V77*20</f>
        <v>49252.954545454551</v>
      </c>
      <c r="U77" s="126">
        <f>VLOOKUP($C77&amp;"ID",Sales!$A$21:$W$209,17,FALSE)+VLOOKUP($C77&amp;"MT",Sales!$A$21:$W$209,17,FALSE)</f>
        <v>0</v>
      </c>
      <c r="V77" s="3">
        <v>498</v>
      </c>
      <c r="X77" s="27">
        <f t="shared" si="43"/>
        <v>1</v>
      </c>
      <c r="Y77" s="28">
        <v>0.9</v>
      </c>
      <c r="Z77" s="27">
        <f t="shared" si="4"/>
        <v>1</v>
      </c>
      <c r="AA77" s="132">
        <f t="shared" si="5"/>
        <v>2</v>
      </c>
      <c r="AB77" s="27">
        <f t="shared" ref="AB77:AB108" si="54">+X77-Z77</f>
        <v>0</v>
      </c>
      <c r="AC77" s="5">
        <f>1.5*$AC$9</f>
        <v>1.5</v>
      </c>
      <c r="AD77">
        <f t="shared" si="47"/>
        <v>0.55000000000000004</v>
      </c>
      <c r="AE77" s="24">
        <f t="shared" si="22"/>
        <v>1306.3590245275607</v>
      </c>
      <c r="AF77" s="24">
        <f t="shared" si="7"/>
        <v>2032.1140381539831</v>
      </c>
      <c r="AG77" s="24">
        <f t="shared" si="8"/>
        <v>50000</v>
      </c>
      <c r="AH77" s="24">
        <f t="shared" si="9"/>
        <v>550000</v>
      </c>
      <c r="AI77" s="5">
        <f t="shared" si="50"/>
        <v>2.4</v>
      </c>
      <c r="AJ77" s="5">
        <f t="shared" si="51"/>
        <v>0.56100000000000005</v>
      </c>
      <c r="AK77" s="24">
        <f t="shared" si="11"/>
        <v>2515.3494243500431</v>
      </c>
      <c r="AL77" s="24">
        <f t="shared" si="12"/>
        <v>2952.0420327441479</v>
      </c>
      <c r="AM77" s="24">
        <f t="shared" si="13"/>
        <v>120000</v>
      </c>
      <c r="AN77" s="24">
        <f t="shared" si="14"/>
        <v>640000</v>
      </c>
      <c r="AO77" s="5">
        <f t="shared" si="52"/>
        <v>2.9</v>
      </c>
      <c r="AP77" s="5">
        <f t="shared" si="53"/>
        <v>0.57222000000000006</v>
      </c>
      <c r="AQ77" s="24">
        <f t="shared" si="15"/>
        <v>3449.7333148216608</v>
      </c>
      <c r="AR77" s="24">
        <f t="shared" si="16"/>
        <v>3945.3846531581062</v>
      </c>
      <c r="AS77" s="24">
        <f t="shared" si="17"/>
        <v>809100</v>
      </c>
      <c r="AT77" s="24">
        <f t="shared" si="18"/>
        <v>1309100</v>
      </c>
      <c r="BA77" s="5">
        <f t="shared" si="26"/>
        <v>2.9</v>
      </c>
      <c r="BB77" s="5">
        <f t="shared" si="27"/>
        <v>0.57222000000000006</v>
      </c>
      <c r="BC77" s="24">
        <f t="shared" si="28"/>
        <v>3449.7333148216608</v>
      </c>
      <c r="BD77" s="24">
        <f t="shared" si="29"/>
        <v>3945.3846531581062</v>
      </c>
      <c r="BE77" s="24">
        <f t="shared" si="30"/>
        <v>809100</v>
      </c>
      <c r="BF77" s="24">
        <f t="shared" si="31"/>
        <v>1309100</v>
      </c>
      <c r="BI77" t="str">
        <f>RegionWideSubstations!C77</f>
        <v>Fall River Rural Elec Coop Inc</v>
      </c>
      <c r="BJ77" s="417">
        <f>RegionWideSubstations!AE77/8760</f>
        <v>0.14912774252597724</v>
      </c>
      <c r="BK77" s="416">
        <f>RegionWideSubstations!AF77/8760</f>
        <v>0.23197648837374235</v>
      </c>
      <c r="BL77" s="70">
        <f>(RegionWideSubstations!AK77/8760)-BJ77</f>
        <v>0.13801260271946145</v>
      </c>
      <c r="BM77" s="415">
        <f>(RegionWideSubstations!AL77/8760)-BK77</f>
        <v>0.10501461125458506</v>
      </c>
      <c r="BN77" s="70">
        <f>(RegionWideSubstations!AQ77/8760)-BJ77-BL77</f>
        <v>0.10666482767940844</v>
      </c>
      <c r="BO77" s="415">
        <f>(RegionWideSubstations!AR77/8760)-BK77-BM77</f>
        <v>0.11339527630296325</v>
      </c>
      <c r="BP77" s="70">
        <f t="shared" si="19"/>
        <v>5.6581203006443537E-2</v>
      </c>
      <c r="BQ77" s="24">
        <f t="shared" si="20"/>
        <v>0.45038637593129066</v>
      </c>
    </row>
    <row r="78" spans="1:69">
      <c r="A78">
        <f t="shared" ref="A78:A109" si="55">A77+1</f>
        <v>66</v>
      </c>
      <c r="B78">
        <v>23586</v>
      </c>
      <c r="C78" t="s">
        <v>32</v>
      </c>
      <c r="D78" t="s">
        <v>5</v>
      </c>
      <c r="E78" t="s">
        <v>29</v>
      </c>
      <c r="F78" s="3">
        <v>5362</v>
      </c>
      <c r="G78" s="3">
        <v>169156</v>
      </c>
      <c r="H78" s="122">
        <f>VLOOKUP($C78&amp;$D78,Sales!$A$21:$W$209,23,FALSE)</f>
        <v>172148</v>
      </c>
      <c r="I78" s="3">
        <v>87675</v>
      </c>
      <c r="J78" s="122">
        <f>VLOOKUP($C78&amp;$D78,Sales!$A$21:$W$209,11,FALSE)</f>
        <v>90862</v>
      </c>
      <c r="K78" s="3">
        <v>9264</v>
      </c>
      <c r="L78" s="122">
        <f>VLOOKUP($C78&amp;$D78,Sales!$A$21:$W$209,12,FALSE)</f>
        <v>10172</v>
      </c>
      <c r="M78" s="3">
        <f t="shared" si="49"/>
        <v>9464.0544041450776</v>
      </c>
      <c r="N78">
        <v>1</v>
      </c>
      <c r="O78">
        <v>3</v>
      </c>
      <c r="P78">
        <v>3</v>
      </c>
      <c r="Q78" s="3">
        <f>($G78-$I78)/($S78+$V78*20)*S78</f>
        <v>81481</v>
      </c>
      <c r="R78" s="122">
        <f>VLOOKUP($C78&amp;$D78,Sales!$A$21:$W$209,14,FALSE)</f>
        <v>81286</v>
      </c>
      <c r="S78" s="3">
        <v>2046</v>
      </c>
      <c r="T78" s="3">
        <f>($G78-$I78)/($S78+$V78*20)*V78*20</f>
        <v>0</v>
      </c>
      <c r="U78" s="122">
        <f>VLOOKUP($C78&amp;$D78,Sales!$A$21:$W$209,17,FALSE)</f>
        <v>0</v>
      </c>
      <c r="V78" s="3"/>
      <c r="X78" s="27">
        <f t="shared" si="43"/>
        <v>1</v>
      </c>
      <c r="Y78" s="28">
        <v>0.9</v>
      </c>
      <c r="Z78" s="27">
        <f t="shared" ref="Z78:Z141" si="56">ROUND(Y78*X78,0)</f>
        <v>1</v>
      </c>
      <c r="AA78" s="132">
        <f t="shared" ref="AA78:AA141" si="57">IF(J78+R78&gt;$X$11,IF(ROUND(Z78*(1+((J78+R78)/(I78+Q78)-1)/2),0)&gt;Z78,ROUND(Z78*(1+((J78+R78)/(I78+Q78)-1)/2),0),Z78),1)</f>
        <v>1</v>
      </c>
      <c r="AB78" s="27">
        <f t="shared" si="54"/>
        <v>0</v>
      </c>
      <c r="AC78" s="5">
        <f>2*$AC$9</f>
        <v>2</v>
      </c>
      <c r="AD78">
        <f t="shared" si="47"/>
        <v>0.55000000000000004</v>
      </c>
      <c r="AE78" s="24">
        <f t="shared" si="22"/>
        <v>1081.2020076805061</v>
      </c>
      <c r="AF78" s="24">
        <f t="shared" ref="AF78:AF141" si="58">IF(AH78=0,0,($J78*AE$6*$I$150+AE$7*$R78*$Q$150+AE$8*$U78*$T$150)*AD78*(AC78/100+1/120))</f>
        <v>1531.7028442140504</v>
      </c>
      <c r="AG78" s="24">
        <f t="shared" ref="AG78:AG141" si="59">IF(($J78+$R78)/$AA78&gt;AG$6,AG$7,AG$8)*$AA78</f>
        <v>25000</v>
      </c>
      <c r="AH78" s="24">
        <f t="shared" ref="AH78:AH141" si="60">IF(($J78+$R78)/$AA78&gt;AH$6,AH$7,IF(($J78+$R78)/$AA78&lt;AH$9,0,AH$8))*$AA78</f>
        <v>275000</v>
      </c>
      <c r="AI78" s="5">
        <f t="shared" si="50"/>
        <v>2.9</v>
      </c>
      <c r="AJ78" s="5">
        <f t="shared" si="51"/>
        <v>0.56100000000000005</v>
      </c>
      <c r="AK78" s="24">
        <f t="shared" ref="AK78:AK141" si="61">($J78*AK$6*$I$150+AK$7*$R78*$Q$150+AK$8*$U78*$T$150)*AJ78*AI78/100</f>
        <v>1887.0964763196489</v>
      </c>
      <c r="AL78" s="24">
        <f t="shared" ref="AL78:AL141" si="62">IF(AN78=0,0,($J78*AK$6*$I$150+AK$7*$R78*$Q$150+AK$8*$U78*$T$150)*AJ78*(AI78/100+0.5/120))</f>
        <v>2158.2310275150003</v>
      </c>
      <c r="AM78" s="24">
        <f t="shared" ref="AM78:AM141" si="63">IF(($J78+$R78)/$AA78&gt;AM$6,AM$7,AM$8)*$AA78</f>
        <v>60000</v>
      </c>
      <c r="AN78" s="24">
        <f t="shared" ref="AN78:AN141" si="64">IF(($J78+$R78)/$AA78&gt;AN$6,AN$7,IF(($J78+$R78)/$AA78&lt;AN$9,0,AN$8))*$AA78</f>
        <v>320000</v>
      </c>
      <c r="AO78" s="5">
        <f t="shared" si="52"/>
        <v>3.4</v>
      </c>
      <c r="AP78" s="5">
        <f t="shared" si="53"/>
        <v>0.57222000000000006</v>
      </c>
      <c r="AQ78" s="24">
        <f t="shared" ref="AQ78:AQ141" si="65">($J78*AQ$6*$I$150+AQ$7*$R78*$Q$150+AQ$8*$U78*$T$150)*AP78*AO78/100</f>
        <v>2512.0015846264178</v>
      </c>
      <c r="AR78" s="24">
        <f t="shared" ref="AR78:AR141" si="66">IF(AT78=0,0,($J78*AQ$6*$I$150+AQ$7*$R78*$Q$150+AQ$8*$U78*$T$150)*AP78*(AO78/100+0.5/120))</f>
        <v>2819.8449160757336</v>
      </c>
      <c r="AS78" s="24">
        <f t="shared" ref="AS78:AS141" si="67">IF(($J78+$R78)/$AA78&gt;AS$6,AS$7,AS$8)*$AA78+$AS$10*$AS$11*$L78</f>
        <v>603600</v>
      </c>
      <c r="AT78" s="24">
        <f t="shared" ref="AT78:AT141" si="68">IF(AN78=0,0,IF(($J78+$R78)/$AA78&gt;AT$6,AT$7,IF(($J78+$R78)/$AA78&lt;AT$9,0,AT$8))*$AA78+$AS$10*$AS$11*$L78)</f>
        <v>853600</v>
      </c>
      <c r="BA78" s="5">
        <f t="shared" si="26"/>
        <v>3.4</v>
      </c>
      <c r="BB78" s="5">
        <f t="shared" si="27"/>
        <v>0.57222000000000006</v>
      </c>
      <c r="BC78" s="24">
        <f t="shared" si="28"/>
        <v>2512.0015846264178</v>
      </c>
      <c r="BD78" s="24">
        <f t="shared" si="29"/>
        <v>2819.8449160757336</v>
      </c>
      <c r="BE78" s="24">
        <f t="shared" si="30"/>
        <v>603600</v>
      </c>
      <c r="BF78" s="24">
        <f t="shared" si="31"/>
        <v>853600</v>
      </c>
      <c r="BI78" t="str">
        <f>RegionWideSubstations!C78</f>
        <v>City of Ashland</v>
      </c>
      <c r="BJ78" s="417">
        <f>RegionWideSubstations!AE78/8760</f>
        <v>0.12342488672151895</v>
      </c>
      <c r="BK78" s="416">
        <f>RegionWideSubstations!AF78/8760</f>
        <v>0.1748519228554852</v>
      </c>
      <c r="BL78" s="70">
        <f>(RegionWideSubstations!AK78/8760)-BJ78</f>
        <v>9.1997085461089381E-2</v>
      </c>
      <c r="BM78" s="415">
        <f>(RegionWideSubstations!AL78/8760)-BK78</f>
        <v>7.1521482111980589E-2</v>
      </c>
      <c r="BN78" s="70">
        <f>(RegionWideSubstations!AQ78/8760)-BJ78-BL78</f>
        <v>7.1336199578398249E-2</v>
      </c>
      <c r="BO78" s="415">
        <f>(RegionWideSubstations!AR78/8760)-BK78-BM78</f>
        <v>7.5526699607389669E-2</v>
      </c>
      <c r="BP78" s="70">
        <f t="shared" ref="BP78:BP141" si="69">SUM(BK78,BM78,BO78)-SUM(BJ78,BL78,BN78)</f>
        <v>3.5141932813848864E-2</v>
      </c>
      <c r="BQ78" s="24">
        <f t="shared" ref="BQ78:BQ141" si="70">SUM(BJ78,BL78,BN78,BP78)</f>
        <v>0.32190010457485546</v>
      </c>
    </row>
    <row r="79" spans="1:69">
      <c r="A79">
        <f t="shared" si="55"/>
        <v>67</v>
      </c>
      <c r="B79">
        <v>6149</v>
      </c>
      <c r="C79" t="s">
        <v>115</v>
      </c>
      <c r="D79" t="s">
        <v>116</v>
      </c>
      <c r="E79" t="s">
        <v>91</v>
      </c>
      <c r="F79" s="3">
        <v>10345</v>
      </c>
      <c r="G79" s="3">
        <v>157160</v>
      </c>
      <c r="H79" s="122">
        <f>VLOOKUP($C79&amp;"ID",Sales!$A$21:$W$209,23,FALSE)+VLOOKUP($C79&amp;"OR",Sales!$A$21:$W$209,23,FALSE)+VLOOKUP($C79&amp;"WA",Sales!$A$21:$W$209,23,FALSE)</f>
        <v>181038</v>
      </c>
      <c r="I79" s="3">
        <v>111456</v>
      </c>
      <c r="J79" s="122">
        <f>VLOOKUP($C79&amp;"ID",Sales!$A$21:$W$209,11,FALSE)+VLOOKUP($C79&amp;"OR",Sales!$A$21:$W$209,11,FALSE)+VLOOKUP($C79&amp;"WA",Sales!$A$21:$W$209,11,FALSE)</f>
        <v>128317</v>
      </c>
      <c r="K79" s="3">
        <v>8979</v>
      </c>
      <c r="L79" s="122">
        <f>VLOOKUP($C79&amp;"ID",Sales!$A$21:$W$209,12,FALSE)+VLOOKUP($C79&amp;"OR",Sales!$A$21:$W$209,12,FALSE)+VLOOKUP($C79&amp;"WA",Sales!$A$21:$W$209,12,FALSE)</f>
        <v>9462</v>
      </c>
      <c r="M79" s="3">
        <f t="shared" si="49"/>
        <v>12412.963581690612</v>
      </c>
      <c r="N79">
        <v>2</v>
      </c>
      <c r="O79">
        <v>2</v>
      </c>
      <c r="P79">
        <v>3</v>
      </c>
      <c r="Q79" s="3">
        <f>($G79-$I79)/($S79+$V79*20)*S79</f>
        <v>12046.015503875968</v>
      </c>
      <c r="R79" s="122">
        <f>VLOOKUP($C79&amp;"ID",Sales!$A$21:$W$209,14,FALSE)+VLOOKUP($C79&amp;"OR",Sales!$A$21:$W$209,14,FALSE)+VLOOKUP($C79&amp;"WA",Sales!$A$21:$W$209,14,FALSE)</f>
        <v>28244</v>
      </c>
      <c r="S79" s="3">
        <v>680</v>
      </c>
      <c r="T79" s="3">
        <f>($G79-$I79)/($S79+$V79*20)*V79*20</f>
        <v>33657.984496124031</v>
      </c>
      <c r="U79" s="122">
        <f>VLOOKUP($C79&amp;"ID",Sales!$A$21:$W$209,17,FALSE)+VLOOKUP($C79&amp;"OR",Sales!$A$21:$W$209,17,FALSE)+VLOOKUP($C79&amp;"WA",Sales!$A$21:$W$209,17,FALSE)</f>
        <v>24477</v>
      </c>
      <c r="V79" s="3">
        <v>95</v>
      </c>
      <c r="X79" s="27">
        <f t="shared" si="43"/>
        <v>1</v>
      </c>
      <c r="Y79" s="28">
        <v>0.9</v>
      </c>
      <c r="Z79" s="27">
        <f t="shared" si="56"/>
        <v>1</v>
      </c>
      <c r="AA79" s="132">
        <f t="shared" si="57"/>
        <v>1</v>
      </c>
      <c r="AB79" s="27">
        <f t="shared" si="54"/>
        <v>0</v>
      </c>
      <c r="AC79" s="5">
        <f>1.5*$AC$9</f>
        <v>1.5</v>
      </c>
      <c r="AD79">
        <f t="shared" si="47"/>
        <v>0.55000000000000004</v>
      </c>
      <c r="AE79" s="24">
        <f t="shared" si="22"/>
        <v>858.09182657210306</v>
      </c>
      <c r="AF79" s="24">
        <f t="shared" si="58"/>
        <v>1334.8095080010489</v>
      </c>
      <c r="AG79" s="24">
        <f t="shared" si="59"/>
        <v>25000</v>
      </c>
      <c r="AH79" s="24">
        <f t="shared" si="60"/>
        <v>275000</v>
      </c>
      <c r="AI79" s="5">
        <f t="shared" si="50"/>
        <v>2.4</v>
      </c>
      <c r="AJ79" s="5">
        <f t="shared" si="51"/>
        <v>0.56100000000000005</v>
      </c>
      <c r="AK79" s="24">
        <f t="shared" si="61"/>
        <v>1635.8436940034007</v>
      </c>
      <c r="AL79" s="24">
        <f t="shared" si="62"/>
        <v>1919.8443353234356</v>
      </c>
      <c r="AM79" s="24">
        <f t="shared" si="63"/>
        <v>60000</v>
      </c>
      <c r="AN79" s="24">
        <f t="shared" si="64"/>
        <v>320000</v>
      </c>
      <c r="AO79" s="5">
        <f t="shared" si="52"/>
        <v>2.9</v>
      </c>
      <c r="AP79" s="5">
        <f t="shared" si="53"/>
        <v>0.57222000000000006</v>
      </c>
      <c r="AQ79" s="24">
        <f t="shared" si="65"/>
        <v>2199.0152821379916</v>
      </c>
      <c r="AR79" s="24">
        <f t="shared" si="66"/>
        <v>2514.9657537095418</v>
      </c>
      <c r="AS79" s="24">
        <f t="shared" si="67"/>
        <v>568100</v>
      </c>
      <c r="AT79" s="24">
        <f t="shared" si="68"/>
        <v>818100</v>
      </c>
      <c r="BA79" s="5">
        <f t="shared" si="26"/>
        <v>2.9</v>
      </c>
      <c r="BB79" s="5">
        <f t="shared" si="27"/>
        <v>0.57222000000000006</v>
      </c>
      <c r="BC79" s="24">
        <f t="shared" si="28"/>
        <v>2199.0152821379916</v>
      </c>
      <c r="BD79" s="24">
        <f t="shared" si="29"/>
        <v>2514.9657537095418</v>
      </c>
      <c r="BE79" s="24">
        <f t="shared" si="30"/>
        <v>568100</v>
      </c>
      <c r="BF79" s="24">
        <f t="shared" si="31"/>
        <v>818100</v>
      </c>
      <c r="BI79" t="str">
        <f>RegionWideSubstations!C79</f>
        <v>Clearwater Power Company</v>
      </c>
      <c r="BJ79" s="417">
        <f>RegionWideSubstations!AE79/8760</f>
        <v>9.7955687964851948E-2</v>
      </c>
      <c r="BK79" s="416">
        <f>RegionWideSubstations!AF79/8760</f>
        <v>0.15237551461199189</v>
      </c>
      <c r="BL79" s="70">
        <f>(RegionWideSubstations!AK79/8760)-BJ79</f>
        <v>8.8784459752431252E-2</v>
      </c>
      <c r="BM79" s="415">
        <f>(RegionWideSubstations!AL79/8760)-BK79</f>
        <v>6.6784797639541871E-2</v>
      </c>
      <c r="BN79" s="70">
        <f>(RegionWideSubstations!AQ79/8760)-BJ79-BL79</f>
        <v>6.4288994079291187E-2</v>
      </c>
      <c r="BO79" s="415">
        <f>(RegionWideSubstations!AR79/8760)-BK79-BM79</f>
        <v>6.7936234975582876E-2</v>
      </c>
      <c r="BP79" s="70">
        <f t="shared" si="69"/>
        <v>3.6067405430542265E-2</v>
      </c>
      <c r="BQ79" s="24">
        <f t="shared" si="70"/>
        <v>0.28709654722711664</v>
      </c>
    </row>
    <row r="80" spans="1:69">
      <c r="A80">
        <f t="shared" si="55"/>
        <v>68</v>
      </c>
      <c r="B80">
        <v>2955</v>
      </c>
      <c r="C80" t="s">
        <v>6</v>
      </c>
      <c r="D80" t="s">
        <v>5</v>
      </c>
      <c r="E80" t="s">
        <v>29</v>
      </c>
      <c r="F80" s="3">
        <v>4790</v>
      </c>
      <c r="G80" s="3">
        <v>154206</v>
      </c>
      <c r="H80" s="122">
        <f>VLOOKUP($C80&amp;$D80,Sales!$A$21:$W$209,23,FALSE)</f>
        <v>168684</v>
      </c>
      <c r="I80" s="3">
        <v>73142</v>
      </c>
      <c r="J80" s="122">
        <f>VLOOKUP($C80&amp;$D80,Sales!$A$21:$W$209,11,FALSE)</f>
        <v>78374</v>
      </c>
      <c r="K80" s="3">
        <v>5639</v>
      </c>
      <c r="L80" s="122">
        <f>VLOOKUP($C80&amp;$D80,Sales!$A$21:$W$209,12,FALSE)</f>
        <v>6049</v>
      </c>
      <c r="M80" s="3">
        <f t="shared" si="49"/>
        <v>12970.739492817875</v>
      </c>
      <c r="N80">
        <v>1</v>
      </c>
      <c r="O80">
        <v>2</v>
      </c>
      <c r="P80">
        <v>2</v>
      </c>
      <c r="Q80" s="3">
        <f>($G80-$I80)/($S80+$V80*20)*S80</f>
        <v>62332.908857509625</v>
      </c>
      <c r="R80" s="122">
        <f>VLOOKUP($C80&amp;$D80,Sales!$A$21:$W$209,14,FALSE)</f>
        <v>59383</v>
      </c>
      <c r="S80" s="3">
        <v>599</v>
      </c>
      <c r="T80" s="3">
        <f>($G80-$I80)/($S80+$V80*20)*V80*20</f>
        <v>18731.091142490372</v>
      </c>
      <c r="U80" s="122">
        <f>VLOOKUP($C80&amp;$D80,Sales!$A$21:$W$209,17,FALSE)</f>
        <v>30927</v>
      </c>
      <c r="V80" s="3">
        <v>9</v>
      </c>
      <c r="X80" s="27">
        <f t="shared" si="43"/>
        <v>1</v>
      </c>
      <c r="Y80" s="28">
        <v>0.9</v>
      </c>
      <c r="Z80" s="27">
        <f t="shared" si="56"/>
        <v>1</v>
      </c>
      <c r="AA80" s="132">
        <f t="shared" si="57"/>
        <v>1</v>
      </c>
      <c r="AB80" s="27">
        <f t="shared" si="54"/>
        <v>0</v>
      </c>
      <c r="AC80" s="5">
        <f>2*$AC$9</f>
        <v>2</v>
      </c>
      <c r="AD80">
        <f t="shared" si="47"/>
        <v>0.55000000000000004</v>
      </c>
      <c r="AE80" s="24">
        <f t="shared" si="22"/>
        <v>904.97005177263088</v>
      </c>
      <c r="AF80" s="24">
        <f t="shared" si="58"/>
        <v>1282.0409066778939</v>
      </c>
      <c r="AG80" s="24">
        <f t="shared" si="59"/>
        <v>25000</v>
      </c>
      <c r="AH80" s="24">
        <f t="shared" si="60"/>
        <v>275000</v>
      </c>
      <c r="AI80" s="5">
        <f t="shared" si="50"/>
        <v>2.9</v>
      </c>
      <c r="AJ80" s="5">
        <f t="shared" si="51"/>
        <v>0.56100000000000005</v>
      </c>
      <c r="AK80" s="24">
        <f t="shared" si="61"/>
        <v>1601.0356525383436</v>
      </c>
      <c r="AL80" s="24">
        <f t="shared" si="62"/>
        <v>1831.0695106616688</v>
      </c>
      <c r="AM80" s="24">
        <f t="shared" si="63"/>
        <v>60000</v>
      </c>
      <c r="AN80" s="24">
        <f t="shared" si="64"/>
        <v>320000</v>
      </c>
      <c r="AO80" s="5">
        <f t="shared" si="52"/>
        <v>3.4</v>
      </c>
      <c r="AP80" s="5">
        <f t="shared" si="53"/>
        <v>0.57222000000000006</v>
      </c>
      <c r="AQ80" s="24">
        <f t="shared" si="65"/>
        <v>2151.768457843099</v>
      </c>
      <c r="AR80" s="24">
        <f t="shared" si="66"/>
        <v>2415.4655727748514</v>
      </c>
      <c r="AS80" s="24">
        <f t="shared" si="67"/>
        <v>397450</v>
      </c>
      <c r="AT80" s="24">
        <f t="shared" si="68"/>
        <v>647450</v>
      </c>
      <c r="BA80" s="5">
        <f t="shared" si="26"/>
        <v>3.4</v>
      </c>
      <c r="BB80" s="5">
        <f t="shared" si="27"/>
        <v>0.57222000000000006</v>
      </c>
      <c r="BC80" s="24">
        <f t="shared" si="28"/>
        <v>2151.768457843099</v>
      </c>
      <c r="BD80" s="24">
        <f t="shared" si="29"/>
        <v>2415.4655727748514</v>
      </c>
      <c r="BE80" s="24">
        <f t="shared" si="30"/>
        <v>397450</v>
      </c>
      <c r="BF80" s="24">
        <f t="shared" si="31"/>
        <v>647450</v>
      </c>
      <c r="BI80" t="str">
        <f>RegionWideSubstations!C80</f>
        <v>Canby Utility Board</v>
      </c>
      <c r="BJ80" s="417">
        <f>RegionWideSubstations!AE80/8760</f>
        <v>0.10330708353568846</v>
      </c>
      <c r="BK80" s="416">
        <f>RegionWideSubstations!AF80/8760</f>
        <v>0.14635170167555867</v>
      </c>
      <c r="BL80" s="70">
        <f>(RegionWideSubstations!AK80/8760)-BJ80</f>
        <v>7.9459543466405547E-2</v>
      </c>
      <c r="BM80" s="415">
        <f>(RegionWideSubstations!AL80/8760)-BK80</f>
        <v>6.2674498171663789E-2</v>
      </c>
      <c r="BN80" s="70">
        <f>(RegionWideSubstations!AQ80/8760)-BJ80-BL80</f>
        <v>6.2869041701456102E-2</v>
      </c>
      <c r="BO80" s="415">
        <f>(RegionWideSubstations!AR80/8760)-BK80-BM80</f>
        <v>6.671187923666469E-2</v>
      </c>
      <c r="BP80" s="70">
        <f t="shared" si="69"/>
        <v>3.0102410380337036E-2</v>
      </c>
      <c r="BQ80" s="24">
        <f t="shared" si="70"/>
        <v>0.27573807908388714</v>
      </c>
    </row>
    <row r="81" spans="1:69">
      <c r="A81">
        <f t="shared" si="55"/>
        <v>69</v>
      </c>
      <c r="B81">
        <v>7262</v>
      </c>
      <c r="C81" t="s">
        <v>123</v>
      </c>
      <c r="D81" t="s">
        <v>4</v>
      </c>
      <c r="E81" t="s">
        <v>91</v>
      </c>
      <c r="F81" s="3">
        <v>5428</v>
      </c>
      <c r="G81" s="3">
        <v>144796</v>
      </c>
      <c r="H81" s="122">
        <f>VLOOKUP($C81&amp;$D81,Sales!$A$21:$W$209,23,FALSE)</f>
        <v>169141</v>
      </c>
      <c r="I81" s="3">
        <v>61272</v>
      </c>
      <c r="J81" s="122">
        <f>VLOOKUP($C81&amp;$D81,Sales!$A$21:$W$209,11,FALSE)</f>
        <v>68147</v>
      </c>
      <c r="K81" s="3">
        <v>5495</v>
      </c>
      <c r="L81" s="122">
        <f>VLOOKUP($C81&amp;$D81,Sales!$A$21:$W$209,12,FALSE)</f>
        <v>5790</v>
      </c>
      <c r="M81" s="3">
        <f t="shared" si="49"/>
        <v>11150.500454959054</v>
      </c>
      <c r="N81">
        <v>3</v>
      </c>
      <c r="O81">
        <v>1</v>
      </c>
      <c r="P81">
        <v>3</v>
      </c>
      <c r="Q81" s="3">
        <f>($G81-$I81)/($S81+$V81*20)*S81</f>
        <v>23817.390625</v>
      </c>
      <c r="R81" s="122">
        <f>VLOOKUP($C81&amp;$D81,Sales!$A$21:$W$209,14,FALSE)</f>
        <v>81600</v>
      </c>
      <c r="S81" s="3">
        <v>1460</v>
      </c>
      <c r="T81" s="3">
        <f>($G81-$I81)/($S81+$V81*20)*V81*20</f>
        <v>59706.609375</v>
      </c>
      <c r="U81" s="122">
        <f>VLOOKUP($C81&amp;$D81,Sales!$A$21:$W$209,17,FALSE)</f>
        <v>19394</v>
      </c>
      <c r="V81" s="3">
        <v>183</v>
      </c>
      <c r="X81" s="27">
        <f t="shared" si="43"/>
        <v>1</v>
      </c>
      <c r="Y81" s="28">
        <v>0.9</v>
      </c>
      <c r="Z81" s="27">
        <f t="shared" si="56"/>
        <v>1</v>
      </c>
      <c r="AA81" s="132">
        <f t="shared" si="57"/>
        <v>1</v>
      </c>
      <c r="AB81" s="27">
        <f t="shared" si="54"/>
        <v>0</v>
      </c>
      <c r="AC81" s="5">
        <f t="shared" ref="AC81:AC88" si="71">1.5*$AC$9</f>
        <v>1.5</v>
      </c>
      <c r="AD81">
        <f t="shared" si="47"/>
        <v>0.55000000000000004</v>
      </c>
      <c r="AE81" s="24">
        <f t="shared" si="22"/>
        <v>690.07606068365146</v>
      </c>
      <c r="AF81" s="24">
        <f t="shared" si="58"/>
        <v>1073.4516499523465</v>
      </c>
      <c r="AG81" s="24">
        <f t="shared" si="59"/>
        <v>25000</v>
      </c>
      <c r="AH81" s="24">
        <f t="shared" si="60"/>
        <v>275000</v>
      </c>
      <c r="AI81" s="5">
        <f t="shared" si="50"/>
        <v>2.4</v>
      </c>
      <c r="AJ81" s="5">
        <f t="shared" si="51"/>
        <v>0.56100000000000005</v>
      </c>
      <c r="AK81" s="24">
        <f t="shared" si="61"/>
        <v>1351.0320436631177</v>
      </c>
      <c r="AL81" s="24">
        <f t="shared" si="62"/>
        <v>1585.5862179101871</v>
      </c>
      <c r="AM81" s="24">
        <f t="shared" si="63"/>
        <v>60000</v>
      </c>
      <c r="AN81" s="24">
        <f t="shared" si="64"/>
        <v>320000</v>
      </c>
      <c r="AO81" s="5">
        <f t="shared" si="52"/>
        <v>2.9</v>
      </c>
      <c r="AP81" s="5">
        <f t="shared" si="53"/>
        <v>0.57222000000000006</v>
      </c>
      <c r="AQ81" s="24">
        <f t="shared" si="65"/>
        <v>1885.2413528265126</v>
      </c>
      <c r="AR81" s="24">
        <f t="shared" si="66"/>
        <v>2156.109363290092</v>
      </c>
      <c r="AS81" s="24">
        <f t="shared" si="67"/>
        <v>384500</v>
      </c>
      <c r="AT81" s="24">
        <f t="shared" si="68"/>
        <v>634500</v>
      </c>
      <c r="BA81" s="5">
        <f t="shared" si="26"/>
        <v>2.9</v>
      </c>
      <c r="BB81" s="5">
        <f t="shared" si="27"/>
        <v>0.57222000000000006</v>
      </c>
      <c r="BC81" s="24">
        <f t="shared" si="28"/>
        <v>1885.2413528265126</v>
      </c>
      <c r="BD81" s="24">
        <f t="shared" si="29"/>
        <v>2156.109363290092</v>
      </c>
      <c r="BE81" s="24">
        <f t="shared" si="30"/>
        <v>384500</v>
      </c>
      <c r="BF81" s="24">
        <f t="shared" si="31"/>
        <v>634500</v>
      </c>
      <c r="BI81" t="str">
        <f>RegionWideSubstations!C81</f>
        <v>Glacier Electric Coop, Inc</v>
      </c>
      <c r="BJ81" s="417">
        <f>RegionWideSubstations!AE81/8760</f>
        <v>7.8775806014115463E-2</v>
      </c>
      <c r="BK81" s="416">
        <f>RegionWideSubstations!AF81/8760</f>
        <v>0.12254014268862404</v>
      </c>
      <c r="BL81" s="70">
        <f>(RegionWideSubstations!AK81/8760)-BJ81</f>
        <v>7.5451596230532686E-2</v>
      </c>
      <c r="BM81" s="415">
        <f>(RegionWideSubstations!AL81/8760)-BK81</f>
        <v>5.8462850223497786E-2</v>
      </c>
      <c r="BN81" s="70">
        <f>(RegionWideSubstations!AQ81/8760)-BJ81-BL81</f>
        <v>6.0982797849702619E-2</v>
      </c>
      <c r="BO81" s="415">
        <f>(RegionWideSubstations!AR81/8760)-BK81-BM81</f>
        <v>6.5128212942911518E-2</v>
      </c>
      <c r="BP81" s="70">
        <f t="shared" si="69"/>
        <v>3.0921005760682574E-2</v>
      </c>
      <c r="BQ81" s="24">
        <f t="shared" si="70"/>
        <v>0.24613120585503334</v>
      </c>
    </row>
    <row r="82" spans="1:69">
      <c r="A82">
        <f t="shared" si="55"/>
        <v>70</v>
      </c>
      <c r="B82">
        <v>17279</v>
      </c>
      <c r="C82" t="s">
        <v>120</v>
      </c>
      <c r="D82" t="s">
        <v>1</v>
      </c>
      <c r="E82" t="s">
        <v>91</v>
      </c>
      <c r="F82" s="3">
        <v>7979</v>
      </c>
      <c r="G82" s="9">
        <f>+I82</f>
        <v>138820</v>
      </c>
      <c r="H82" s="122">
        <f>VLOOKUP($C82&amp;$D82,Sales!$A$21:$W$209,23,FALSE)</f>
        <v>264309</v>
      </c>
      <c r="I82" s="3">
        <v>138820</v>
      </c>
      <c r="J82" s="122">
        <f>VLOOKUP($C82&amp;$D82,Sales!$A$21:$W$209,11,FALSE)</f>
        <v>114535</v>
      </c>
      <c r="K82" s="3">
        <v>7806</v>
      </c>
      <c r="L82" s="122">
        <f>VLOOKUP($C82&amp;$D82,Sales!$A$21:$W$209,12,FALSE)</f>
        <v>9380</v>
      </c>
      <c r="M82" s="3">
        <f t="shared" si="49"/>
        <v>17783.756085062774</v>
      </c>
      <c r="N82">
        <v>1</v>
      </c>
      <c r="O82">
        <v>1</v>
      </c>
      <c r="P82">
        <v>1</v>
      </c>
      <c r="Q82" s="3"/>
      <c r="R82" s="122">
        <f>VLOOKUP($C82&amp;$D82,Sales!$A$21:$W$209,14,FALSE)</f>
        <v>149774</v>
      </c>
      <c r="T82" s="3"/>
      <c r="U82" s="122">
        <f>VLOOKUP($C82&amp;$D82,Sales!$A$21:$W$209,17,FALSE)</f>
        <v>0</v>
      </c>
      <c r="X82" s="27">
        <f t="shared" si="43"/>
        <v>1</v>
      </c>
      <c r="Y82" s="28">
        <v>0.9</v>
      </c>
      <c r="Z82" s="27">
        <f t="shared" si="56"/>
        <v>1</v>
      </c>
      <c r="AA82" s="132">
        <f t="shared" si="57"/>
        <v>1</v>
      </c>
      <c r="AB82" s="27">
        <f t="shared" si="54"/>
        <v>0</v>
      </c>
      <c r="AC82" s="5">
        <f t="shared" si="71"/>
        <v>1.5</v>
      </c>
      <c r="AD82">
        <f t="shared" si="47"/>
        <v>0.55000000000000004</v>
      </c>
      <c r="AE82" s="24">
        <f t="shared" si="22"/>
        <v>1186.2284612127685</v>
      </c>
      <c r="AF82" s="24">
        <f t="shared" si="58"/>
        <v>1845.2442729976397</v>
      </c>
      <c r="AG82" s="24">
        <f t="shared" si="59"/>
        <v>25000</v>
      </c>
      <c r="AH82" s="24">
        <f t="shared" si="60"/>
        <v>275000</v>
      </c>
      <c r="AI82" s="5">
        <f t="shared" si="50"/>
        <v>2.4</v>
      </c>
      <c r="AJ82" s="5">
        <f t="shared" si="51"/>
        <v>0.56100000000000005</v>
      </c>
      <c r="AK82" s="24">
        <f t="shared" si="61"/>
        <v>2303.3011858642381</v>
      </c>
      <c r="AL82" s="24">
        <f t="shared" si="62"/>
        <v>2703.1798639656681</v>
      </c>
      <c r="AM82" s="24">
        <f t="shared" si="63"/>
        <v>60000</v>
      </c>
      <c r="AN82" s="24">
        <f t="shared" si="64"/>
        <v>320000</v>
      </c>
      <c r="AO82" s="5">
        <f t="shared" si="52"/>
        <v>2.9</v>
      </c>
      <c r="AP82" s="5">
        <f t="shared" si="53"/>
        <v>0.57222000000000006</v>
      </c>
      <c r="AQ82" s="24">
        <f t="shared" si="65"/>
        <v>3195.7997081671429</v>
      </c>
      <c r="AR82" s="24">
        <f t="shared" si="66"/>
        <v>3654.9663329038008</v>
      </c>
      <c r="AS82" s="24">
        <f t="shared" si="67"/>
        <v>564000</v>
      </c>
      <c r="AT82" s="24">
        <f t="shared" si="68"/>
        <v>814000</v>
      </c>
      <c r="BA82" s="5">
        <f t="shared" si="26"/>
        <v>2.9</v>
      </c>
      <c r="BB82" s="5">
        <f t="shared" si="27"/>
        <v>0.57222000000000006</v>
      </c>
      <c r="BC82" s="24">
        <f t="shared" si="28"/>
        <v>3195.7997081671429</v>
      </c>
      <c r="BD82" s="24">
        <f t="shared" si="29"/>
        <v>3654.9663329038008</v>
      </c>
      <c r="BE82" s="24">
        <f t="shared" si="30"/>
        <v>564000</v>
      </c>
      <c r="BF82" s="24">
        <f t="shared" si="31"/>
        <v>814000</v>
      </c>
      <c r="BI82" t="str">
        <f>RegionWideSubstations!C82</f>
        <v>Lakeview Light &amp; Power</v>
      </c>
      <c r="BJ82" s="417">
        <f>RegionWideSubstations!AE82/8760</f>
        <v>0.13541420790100098</v>
      </c>
      <c r="BK82" s="416">
        <f>RegionWideSubstations!AF82/8760</f>
        <v>0.21064432340155703</v>
      </c>
      <c r="BL82" s="70">
        <f>(RegionWideSubstations!AK82/8760)-BJ82</f>
        <v>0.12751971742596682</v>
      </c>
      <c r="BM82" s="415">
        <f>(RegionWideSubstations!AL82/8760)-BK82</f>
        <v>9.7937852850231544E-2</v>
      </c>
      <c r="BN82" s="70">
        <f>(RegionWideSubstations!AQ82/8760)-BJ82-BL82</f>
        <v>0.10188339295695265</v>
      </c>
      <c r="BO82" s="415">
        <f>(RegionWideSubstations!AR82/8760)-BK82-BM82</f>
        <v>0.10865142339476402</v>
      </c>
      <c r="BP82" s="70">
        <f t="shared" si="69"/>
        <v>5.2416281362632156E-2</v>
      </c>
      <c r="BQ82" s="24">
        <f t="shared" si="70"/>
        <v>0.4172335996465526</v>
      </c>
    </row>
    <row r="83" spans="1:69">
      <c r="A83">
        <f t="shared" si="55"/>
        <v>71</v>
      </c>
      <c r="B83">
        <v>22355</v>
      </c>
      <c r="C83" t="s">
        <v>111</v>
      </c>
      <c r="D83" t="s">
        <v>1</v>
      </c>
      <c r="E83" t="s">
        <v>91</v>
      </c>
      <c r="F83" s="3">
        <v>11898</v>
      </c>
      <c r="G83" s="3">
        <v>138731</v>
      </c>
      <c r="H83" s="122">
        <f>VLOOKUP($C83&amp;$D83,Sales!$A$21:$W$209,23,FALSE)</f>
        <v>195166</v>
      </c>
      <c r="I83" s="3">
        <v>131805</v>
      </c>
      <c r="J83" s="122">
        <f>VLOOKUP($C83&amp;$D83,Sales!$A$21:$W$209,11,FALSE)</f>
        <v>140026</v>
      </c>
      <c r="K83" s="3">
        <v>11070</v>
      </c>
      <c r="L83" s="122">
        <f>VLOOKUP($C83&amp;$D83,Sales!$A$21:$W$209,12,FALSE)</f>
        <v>12757</v>
      </c>
      <c r="M83" s="3">
        <f t="shared" si="49"/>
        <v>11906.50406504065</v>
      </c>
      <c r="N83">
        <v>1</v>
      </c>
      <c r="O83">
        <v>1</v>
      </c>
      <c r="P83">
        <v>1</v>
      </c>
      <c r="Q83" s="3">
        <f>($G83-$I83)/($S83+$V83*20)*S83</f>
        <v>6402.6246851385386</v>
      </c>
      <c r="R83" s="122">
        <f>VLOOKUP($C83&amp;$D83,Sales!$A$21:$W$209,14,FALSE)</f>
        <v>55140</v>
      </c>
      <c r="S83" s="3">
        <v>1468</v>
      </c>
      <c r="T83" s="3">
        <f>($G83-$I83)/($S83+$V83*20)*V83*20</f>
        <v>523.37531486146088</v>
      </c>
      <c r="U83" s="122">
        <f>VLOOKUP($C83&amp;$D83,Sales!$A$21:$W$209,17,FALSE)</f>
        <v>0</v>
      </c>
      <c r="V83" s="3">
        <v>6</v>
      </c>
      <c r="X83" s="27">
        <v>5</v>
      </c>
      <c r="Y83" s="28">
        <v>0.9</v>
      </c>
      <c r="Z83" s="27">
        <f t="shared" si="56"/>
        <v>5</v>
      </c>
      <c r="AA83" s="132">
        <f t="shared" si="57"/>
        <v>6</v>
      </c>
      <c r="AB83" s="27">
        <f t="shared" si="54"/>
        <v>0</v>
      </c>
      <c r="AC83" s="5">
        <f t="shared" si="71"/>
        <v>1.5</v>
      </c>
      <c r="AD83">
        <f t="shared" si="47"/>
        <v>0.55000000000000004</v>
      </c>
      <c r="AE83" s="24">
        <f t="shared" ref="AE83:AE142" si="72">($J83*AE$6*$I$150+AE$7*$R83*$Q$150+AE$8*$U83*$T$150)*AD83*AC83/100</f>
        <v>1006.483065365759</v>
      </c>
      <c r="AF83" s="24">
        <f t="shared" si="58"/>
        <v>0</v>
      </c>
      <c r="AG83" s="24">
        <f t="shared" si="59"/>
        <v>90000</v>
      </c>
      <c r="AH83" s="24">
        <f t="shared" si="60"/>
        <v>0</v>
      </c>
      <c r="AI83" s="5">
        <f t="shared" si="50"/>
        <v>2.4</v>
      </c>
      <c r="AJ83" s="5">
        <f t="shared" si="51"/>
        <v>0.56100000000000005</v>
      </c>
      <c r="AK83" s="24">
        <f t="shared" si="61"/>
        <v>1910.6689053204475</v>
      </c>
      <c r="AL83" s="24">
        <f t="shared" si="62"/>
        <v>0</v>
      </c>
      <c r="AM83" s="24">
        <f t="shared" si="63"/>
        <v>195000</v>
      </c>
      <c r="AN83" s="24">
        <f t="shared" si="64"/>
        <v>0</v>
      </c>
      <c r="AO83" s="5">
        <f t="shared" si="52"/>
        <v>2.9</v>
      </c>
      <c r="AP83" s="5">
        <f t="shared" si="53"/>
        <v>0.57222000000000006</v>
      </c>
      <c r="AQ83" s="24">
        <f t="shared" si="65"/>
        <v>2568.184590987817</v>
      </c>
      <c r="AR83" s="24">
        <f t="shared" si="66"/>
        <v>0</v>
      </c>
      <c r="AS83" s="24">
        <f t="shared" si="67"/>
        <v>937850</v>
      </c>
      <c r="AT83" s="24">
        <f t="shared" si="68"/>
        <v>0</v>
      </c>
      <c r="BA83" s="5">
        <f t="shared" ref="BA83:BA142" si="73">+AO83</f>
        <v>2.9</v>
      </c>
      <c r="BB83" s="5">
        <f t="shared" ref="BB83:BB142" si="74">+AP83</f>
        <v>0.57222000000000006</v>
      </c>
      <c r="BC83" s="24">
        <f t="shared" ref="BC83:BC142" si="75">+AQ83</f>
        <v>2568.184590987817</v>
      </c>
      <c r="BD83" s="24">
        <f t="shared" ref="BD83:BD142" si="76">+AR83</f>
        <v>0</v>
      </c>
      <c r="BE83" s="24">
        <f t="shared" ref="BE83:BE142" si="77">+AS83</f>
        <v>937850</v>
      </c>
      <c r="BF83" s="24">
        <f t="shared" ref="BF83:BF142" si="78">+AT83</f>
        <v>0</v>
      </c>
      <c r="BI83" t="str">
        <f>RegionWideSubstations!C83</f>
        <v>Orcas Power &amp; Light Coop</v>
      </c>
      <c r="BJ83" s="417">
        <f>RegionWideSubstations!AE83/8760</f>
        <v>0.11489532709654783</v>
      </c>
      <c r="BK83" s="416">
        <f>RegionWideSubstations!AF83/8760</f>
        <v>0</v>
      </c>
      <c r="BL83" s="70">
        <f>(RegionWideSubstations!AK83/8760)-BJ83</f>
        <v>0.10321756163866307</v>
      </c>
      <c r="BM83" s="415">
        <f>(RegionWideSubstations!AL83/8760)-BK83</f>
        <v>0</v>
      </c>
      <c r="BN83" s="70">
        <f>(RegionWideSubstations!AQ83/8760)-BJ83-BL83</f>
        <v>7.5058868226868705E-2</v>
      </c>
      <c r="BO83" s="415">
        <f>(RegionWideSubstations!AR83/8760)-BK83-BM83</f>
        <v>0</v>
      </c>
      <c r="BP83" s="70">
        <f t="shared" si="69"/>
        <v>-0.29317175696207959</v>
      </c>
      <c r="BQ83" s="24">
        <f t="shared" si="70"/>
        <v>0</v>
      </c>
    </row>
    <row r="84" spans="1:69">
      <c r="A84">
        <f t="shared" si="55"/>
        <v>72</v>
      </c>
      <c r="B84">
        <v>8515</v>
      </c>
      <c r="C84" t="s">
        <v>135</v>
      </c>
      <c r="D84" t="s">
        <v>5</v>
      </c>
      <c r="E84" t="s">
        <v>91</v>
      </c>
      <c r="F84" s="3">
        <v>4601</v>
      </c>
      <c r="G84" s="10">
        <v>136041</v>
      </c>
      <c r="H84" s="122">
        <f>VLOOKUP($C84&amp;$D84,Sales!$A$21:$W$209,23,FALSE)</f>
        <v>158523</v>
      </c>
      <c r="I84" s="3">
        <v>51101</v>
      </c>
      <c r="J84" s="122">
        <f>VLOOKUP($C84&amp;$D84,Sales!$A$21:$W$209,11,FALSE)</f>
        <v>51494</v>
      </c>
      <c r="K84" s="3">
        <v>3163</v>
      </c>
      <c r="L84" s="122">
        <f>VLOOKUP($C84&amp;$D84,Sales!$A$21:$W$209,12,FALSE)</f>
        <v>3242</v>
      </c>
      <c r="M84" s="3">
        <f t="shared" si="49"/>
        <v>16155.864685425229</v>
      </c>
      <c r="N84">
        <v>1</v>
      </c>
      <c r="O84">
        <v>1</v>
      </c>
      <c r="P84">
        <v>2</v>
      </c>
      <c r="Q84" s="3">
        <f>($G84-$I84)/($S84+$V84*20)*S84</f>
        <v>45837.186700767263</v>
      </c>
      <c r="R84" s="122">
        <f>VLOOKUP($C84&amp;$D84,Sales!$A$21:$W$209,14,FALSE)</f>
        <v>41345</v>
      </c>
      <c r="S84" s="3">
        <v>211</v>
      </c>
      <c r="T84" s="3">
        <f>($G84-$I84)/($S84+$V84*20)*V84*10</f>
        <v>19551.406649616369</v>
      </c>
      <c r="U84" s="122">
        <f>VLOOKUP($C84&amp;$D84,Sales!$A$21:$W$209,17,FALSE)</f>
        <v>65684</v>
      </c>
      <c r="V84" s="3">
        <v>9</v>
      </c>
      <c r="X84" s="27">
        <f t="shared" ref="X84:X106" si="79">IF(G84&lt;$X$11,1,G84/$X$11)</f>
        <v>1</v>
      </c>
      <c r="Y84" s="28">
        <v>0.9</v>
      </c>
      <c r="Z84" s="27">
        <f t="shared" si="56"/>
        <v>1</v>
      </c>
      <c r="AA84" s="132">
        <f t="shared" si="57"/>
        <v>1</v>
      </c>
      <c r="AB84" s="27">
        <f t="shared" si="54"/>
        <v>0</v>
      </c>
      <c r="AC84" s="5">
        <f t="shared" si="71"/>
        <v>1.5</v>
      </c>
      <c r="AD84">
        <f t="shared" si="47"/>
        <v>0.55000000000000004</v>
      </c>
      <c r="AE84" s="24">
        <f t="shared" si="72"/>
        <v>478.20343270950804</v>
      </c>
      <c r="AF84" s="24">
        <f t="shared" si="58"/>
        <v>743.87200643701237</v>
      </c>
      <c r="AG84" s="24">
        <f t="shared" si="59"/>
        <v>25000</v>
      </c>
      <c r="AH84" s="24">
        <f t="shared" si="60"/>
        <v>275000</v>
      </c>
      <c r="AI84" s="5">
        <f t="shared" si="50"/>
        <v>2.4</v>
      </c>
      <c r="AJ84" s="5">
        <f t="shared" si="51"/>
        <v>0.56100000000000005</v>
      </c>
      <c r="AK84" s="24">
        <f t="shared" si="61"/>
        <v>965.97208096468614</v>
      </c>
      <c r="AL84" s="24">
        <f t="shared" si="62"/>
        <v>1133.6755672432776</v>
      </c>
      <c r="AM84" s="24">
        <f t="shared" si="63"/>
        <v>60000</v>
      </c>
      <c r="AN84" s="24">
        <f t="shared" si="64"/>
        <v>320000</v>
      </c>
      <c r="AO84" s="5">
        <f t="shared" si="52"/>
        <v>2.9</v>
      </c>
      <c r="AP84" s="5">
        <f t="shared" si="53"/>
        <v>0.57222000000000006</v>
      </c>
      <c r="AQ84" s="24">
        <f t="shared" si="65"/>
        <v>1376.1681214682517</v>
      </c>
      <c r="AR84" s="24">
        <f t="shared" si="66"/>
        <v>1573.8934262769083</v>
      </c>
      <c r="AS84" s="24">
        <f t="shared" si="67"/>
        <v>257100</v>
      </c>
      <c r="AT84" s="24">
        <f t="shared" si="68"/>
        <v>507100</v>
      </c>
      <c r="BA84" s="5">
        <f t="shared" si="73"/>
        <v>2.9</v>
      </c>
      <c r="BB84" s="5">
        <f t="shared" si="74"/>
        <v>0.57222000000000006</v>
      </c>
      <c r="BC84" s="24">
        <f t="shared" si="75"/>
        <v>1376.1681214682517</v>
      </c>
      <c r="BD84" s="24">
        <f t="shared" si="76"/>
        <v>1573.8934262769083</v>
      </c>
      <c r="BE84" s="24">
        <f t="shared" si="77"/>
        <v>257100</v>
      </c>
      <c r="BF84" s="24">
        <f t="shared" si="78"/>
        <v>507100</v>
      </c>
      <c r="BI84" t="str">
        <f>RegionWideSubstations!C84</f>
        <v>Blachly-Lane Cnty Coop El Assn</v>
      </c>
      <c r="BJ84" s="417">
        <f>RegionWideSubstations!AE84/8760</f>
        <v>5.4589432957706394E-2</v>
      </c>
      <c r="BK84" s="416">
        <f>RegionWideSubstations!AF84/8760</f>
        <v>8.4916895711987711E-2</v>
      </c>
      <c r="BL84" s="70">
        <f>(RegionWideSubstations!AK84/8760)-BJ84</f>
        <v>5.5681352540545445E-2</v>
      </c>
      <c r="BM84" s="415">
        <f>(RegionWideSubstations!AL84/8760)-BK84</f>
        <v>4.4498123379710652E-2</v>
      </c>
      <c r="BN84" s="70">
        <f>(RegionWideSubstations!AQ84/8760)-BJ84-BL84</f>
        <v>4.6826032020954977E-2</v>
      </c>
      <c r="BO84" s="415">
        <f>(RegionWideSubstations!AR84/8760)-BK84-BM84</f>
        <v>5.0253180254980656E-2</v>
      </c>
      <c r="BP84" s="70">
        <f t="shared" si="69"/>
        <v>2.2571381827472203E-2</v>
      </c>
      <c r="BQ84" s="24">
        <f t="shared" si="70"/>
        <v>0.17966819934667902</v>
      </c>
    </row>
    <row r="85" spans="1:69">
      <c r="A85">
        <f t="shared" si="55"/>
        <v>73</v>
      </c>
      <c r="B85">
        <v>1723</v>
      </c>
      <c r="C85" t="s">
        <v>107</v>
      </c>
      <c r="D85" t="s">
        <v>108</v>
      </c>
      <c r="E85" t="s">
        <v>91</v>
      </c>
      <c r="F85" s="3">
        <v>10337</v>
      </c>
      <c r="G85" s="9">
        <f>+I85</f>
        <v>135638</v>
      </c>
      <c r="H85" s="122">
        <f>VLOOKUP($C85&amp;"ID",Sales!$A$21:$W$209,23,FALSE)+VLOOKUP($C85&amp;"MT",Sales!$A$21:$W$209,23,FALSE)</f>
        <v>209860</v>
      </c>
      <c r="I85" s="3">
        <v>135638</v>
      </c>
      <c r="J85" s="122">
        <f>VLOOKUP($C85&amp;"ID",Sales!$A$21:$W$209,11,FALSE)+VLOOKUP($C85&amp;"MT",Sales!$A$21:$W$209,11,FALSE)</f>
        <v>150332</v>
      </c>
      <c r="K85" s="3">
        <v>11681</v>
      </c>
      <c r="L85" s="122">
        <f>VLOOKUP($C85&amp;"ID",Sales!$A$21:$W$209,12,FALSE)+VLOOKUP($C85&amp;"MT",Sales!$A$21:$W$209,12,FALSE)</f>
        <v>12496</v>
      </c>
      <c r="M85" s="3">
        <f t="shared" si="49"/>
        <v>11611.84830065919</v>
      </c>
      <c r="N85">
        <v>3</v>
      </c>
      <c r="O85">
        <v>2</v>
      </c>
      <c r="P85">
        <v>2</v>
      </c>
      <c r="Q85" s="3"/>
      <c r="R85" s="122">
        <f>VLOOKUP($C85&amp;"ID",Sales!$A$21:$W$209,14,FALSE)+VLOOKUP($C85&amp;"MT",Sales!$A$21:$W$209,14,FALSE)</f>
        <v>40935</v>
      </c>
      <c r="T85" s="3"/>
      <c r="U85" s="122">
        <f>VLOOKUP($C85&amp;"ID",Sales!$A$21:$W$209,17,FALSE)+VLOOKUP($C85&amp;"MT",Sales!$A$21:$W$209,17,FALSE)</f>
        <v>18593</v>
      </c>
      <c r="X85" s="27">
        <f t="shared" si="79"/>
        <v>1</v>
      </c>
      <c r="Y85" s="28">
        <v>0.9</v>
      </c>
      <c r="Z85" s="27">
        <f t="shared" si="56"/>
        <v>1</v>
      </c>
      <c r="AA85" s="132">
        <f t="shared" si="57"/>
        <v>1</v>
      </c>
      <c r="AB85" s="27">
        <f t="shared" si="54"/>
        <v>0</v>
      </c>
      <c r="AC85" s="5">
        <f t="shared" si="71"/>
        <v>1.5</v>
      </c>
      <c r="AD85">
        <f t="shared" si="47"/>
        <v>0.55000000000000004</v>
      </c>
      <c r="AE85" s="24">
        <f t="shared" si="72"/>
        <v>1027.1415309544163</v>
      </c>
      <c r="AF85" s="24">
        <f t="shared" si="58"/>
        <v>1597.7757148179808</v>
      </c>
      <c r="AG85" s="24">
        <f t="shared" si="59"/>
        <v>25000</v>
      </c>
      <c r="AH85" s="24">
        <f t="shared" si="60"/>
        <v>275000</v>
      </c>
      <c r="AI85" s="5">
        <f t="shared" si="50"/>
        <v>2.4</v>
      </c>
      <c r="AJ85" s="5">
        <f t="shared" si="51"/>
        <v>0.56100000000000005</v>
      </c>
      <c r="AK85" s="24">
        <f t="shared" si="61"/>
        <v>1954.4526693152304</v>
      </c>
      <c r="AL85" s="24">
        <f t="shared" si="62"/>
        <v>2293.7673688491245</v>
      </c>
      <c r="AM85" s="24">
        <f t="shared" si="63"/>
        <v>60000</v>
      </c>
      <c r="AN85" s="24">
        <f t="shared" si="64"/>
        <v>320000</v>
      </c>
      <c r="AO85" s="5">
        <f t="shared" si="52"/>
        <v>2.9</v>
      </c>
      <c r="AP85" s="5">
        <f t="shared" si="53"/>
        <v>0.57222000000000006</v>
      </c>
      <c r="AQ85" s="24">
        <f t="shared" si="65"/>
        <v>2625.9371732133354</v>
      </c>
      <c r="AR85" s="24">
        <f t="shared" si="66"/>
        <v>3003.2269969508834</v>
      </c>
      <c r="AS85" s="24">
        <f t="shared" si="67"/>
        <v>719800</v>
      </c>
      <c r="AT85" s="24">
        <f t="shared" si="68"/>
        <v>969800</v>
      </c>
      <c r="BA85" s="5">
        <f t="shared" si="73"/>
        <v>2.9</v>
      </c>
      <c r="BB85" s="5">
        <f t="shared" si="74"/>
        <v>0.57222000000000006</v>
      </c>
      <c r="BC85" s="24">
        <f t="shared" si="75"/>
        <v>2625.9371732133354</v>
      </c>
      <c r="BD85" s="24">
        <f t="shared" si="76"/>
        <v>3003.2269969508834</v>
      </c>
      <c r="BE85" s="24">
        <f t="shared" si="77"/>
        <v>719800</v>
      </c>
      <c r="BF85" s="24">
        <f t="shared" si="78"/>
        <v>969800</v>
      </c>
      <c r="BI85" t="str">
        <f>RegionWideSubstations!C85</f>
        <v>Missoula Electric Coop, Inc</v>
      </c>
      <c r="BJ85" s="417">
        <f>RegionWideSubstations!AE85/8760</f>
        <v>0.11725359942402012</v>
      </c>
      <c r="BK85" s="416">
        <f>RegionWideSubstations!AF85/8760</f>
        <v>0.18239448799292018</v>
      </c>
      <c r="BL85" s="70">
        <f>(RegionWideSubstations!AK85/8760)-BJ85</f>
        <v>0.1058574358859377</v>
      </c>
      <c r="BM85" s="415">
        <f>(RegionWideSubstations!AL85/8760)-BK85</f>
        <v>7.9451102058349765E-2</v>
      </c>
      <c r="BN85" s="70">
        <f>(RegionWideSubstations!AQ85/8760)-BJ85-BL85</f>
        <v>7.665348218014896E-2</v>
      </c>
      <c r="BO85" s="415">
        <f>(RegionWideSubstations!AR85/8760)-BK85-BM85</f>
        <v>8.0988542020748677E-2</v>
      </c>
      <c r="BP85" s="70">
        <f t="shared" si="69"/>
        <v>4.306961458191183E-2</v>
      </c>
      <c r="BQ85" s="24">
        <f t="shared" si="70"/>
        <v>0.34283413207201863</v>
      </c>
    </row>
    <row r="86" spans="1:69">
      <c r="A86">
        <f t="shared" si="55"/>
        <v>74</v>
      </c>
      <c r="B86">
        <v>20332</v>
      </c>
      <c r="C86" s="67" t="s">
        <v>358</v>
      </c>
      <c r="D86" t="s">
        <v>1</v>
      </c>
      <c r="E86" t="s">
        <v>62</v>
      </c>
      <c r="F86" s="3">
        <v>4841</v>
      </c>
      <c r="G86" s="3">
        <v>122959</v>
      </c>
      <c r="H86" s="122">
        <f>VLOOKUP($C86&amp;$D86,Sales!$A$21:$W$209,23,FALSE)</f>
        <v>123192</v>
      </c>
      <c r="I86" s="3">
        <v>67302</v>
      </c>
      <c r="J86" s="122">
        <f>VLOOKUP($C86&amp;$D86,Sales!$A$21:$W$209,11,FALSE)</f>
        <v>74327</v>
      </c>
      <c r="K86" s="3">
        <v>4956</v>
      </c>
      <c r="L86" s="122">
        <f>VLOOKUP($C86&amp;$D86,Sales!$A$21:$W$209,12,FALSE)</f>
        <v>5223</v>
      </c>
      <c r="M86" s="3">
        <f t="shared" si="49"/>
        <v>13579.903147699759</v>
      </c>
      <c r="N86">
        <v>1</v>
      </c>
      <c r="O86">
        <v>1</v>
      </c>
      <c r="P86">
        <v>2</v>
      </c>
      <c r="Q86" s="3">
        <f>($G86-$I86)/($S86+$V86*20)*S86</f>
        <v>23089.513128282069</v>
      </c>
      <c r="R86" s="122">
        <f>VLOOKUP($C86&amp;$D86,Sales!$A$21:$W$209,14,FALSE)</f>
        <v>21912</v>
      </c>
      <c r="S86" s="3">
        <v>553</v>
      </c>
      <c r="T86" s="3">
        <f>($G86-$I86)/($S86+$V86*20)*V86*10</f>
        <v>16283.743435858963</v>
      </c>
      <c r="U86" s="122">
        <f>VLOOKUP($C86&amp;$D86,Sales!$A$21:$W$209,17,FALSE)</f>
        <v>26953</v>
      </c>
      <c r="V86" s="3">
        <v>39</v>
      </c>
      <c r="X86" s="27">
        <f t="shared" si="79"/>
        <v>1</v>
      </c>
      <c r="Y86" s="28">
        <v>0.9</v>
      </c>
      <c r="Z86" s="27">
        <f t="shared" si="56"/>
        <v>1</v>
      </c>
      <c r="AA86" s="132">
        <f t="shared" si="57"/>
        <v>1</v>
      </c>
      <c r="AB86" s="27">
        <f t="shared" si="54"/>
        <v>0</v>
      </c>
      <c r="AC86" s="5">
        <f t="shared" si="71"/>
        <v>1.5</v>
      </c>
      <c r="AD86">
        <f t="shared" si="47"/>
        <v>0.55000000000000004</v>
      </c>
      <c r="AE86" s="24">
        <f t="shared" si="72"/>
        <v>523.10803699080452</v>
      </c>
      <c r="AF86" s="24">
        <f t="shared" si="58"/>
        <v>813.72361309680684</v>
      </c>
      <c r="AG86" s="24">
        <f t="shared" si="59"/>
        <v>25000</v>
      </c>
      <c r="AH86" s="24">
        <f t="shared" si="60"/>
        <v>275000</v>
      </c>
      <c r="AI86" s="5">
        <f t="shared" si="50"/>
        <v>2.4</v>
      </c>
      <c r="AJ86" s="5">
        <f t="shared" si="51"/>
        <v>0.56100000000000005</v>
      </c>
      <c r="AK86" s="24">
        <f t="shared" si="61"/>
        <v>1009.0581679038149</v>
      </c>
      <c r="AL86" s="24">
        <f t="shared" si="62"/>
        <v>1184.2418776093382</v>
      </c>
      <c r="AM86" s="24">
        <f t="shared" si="63"/>
        <v>60000</v>
      </c>
      <c r="AN86" s="24">
        <f t="shared" si="64"/>
        <v>320000</v>
      </c>
      <c r="AO86" s="5">
        <f t="shared" si="52"/>
        <v>2.9</v>
      </c>
      <c r="AP86" s="5">
        <f t="shared" si="53"/>
        <v>0.57222000000000006</v>
      </c>
      <c r="AQ86" s="24">
        <f t="shared" si="65"/>
        <v>1372.9522429147255</v>
      </c>
      <c r="AR86" s="24">
        <f t="shared" si="66"/>
        <v>1570.2154962070711</v>
      </c>
      <c r="AS86" s="24">
        <f t="shared" si="67"/>
        <v>356150</v>
      </c>
      <c r="AT86" s="24">
        <f t="shared" si="68"/>
        <v>606150</v>
      </c>
      <c r="BA86" s="5">
        <f t="shared" si="73"/>
        <v>2.9</v>
      </c>
      <c r="BB86" s="5">
        <f t="shared" si="74"/>
        <v>0.57222000000000006</v>
      </c>
      <c r="BC86" s="24">
        <f t="shared" si="75"/>
        <v>1372.9522429147255</v>
      </c>
      <c r="BD86" s="24">
        <f t="shared" si="76"/>
        <v>1570.2154962070711</v>
      </c>
      <c r="BE86" s="24">
        <f t="shared" si="77"/>
        <v>356150</v>
      </c>
      <c r="BF86" s="24">
        <f t="shared" si="78"/>
        <v>606150</v>
      </c>
      <c r="BI86" t="str">
        <f>RegionWideSubstations!C86</f>
        <v>PUD No 1 of Skamania Co</v>
      </c>
      <c r="BJ86" s="417">
        <f>RegionWideSubstations!AE86/8760</f>
        <v>5.9715529336849829E-2</v>
      </c>
      <c r="BK86" s="416">
        <f>RegionWideSubstations!AF86/8760</f>
        <v>9.2890823412877493E-2</v>
      </c>
      <c r="BL86" s="70">
        <f>(RegionWideSubstations!AK86/8760)-BJ86</f>
        <v>5.5473759236645021E-2</v>
      </c>
      <c r="BM86" s="415">
        <f>(RegionWideSubstations!AL86/8760)-BK86</f>
        <v>4.2296605537960191E-2</v>
      </c>
      <c r="BN86" s="70">
        <f>(RegionWideSubstations!AQ86/8760)-BJ86-BL86</f>
        <v>4.1540419521793451E-2</v>
      </c>
      <c r="BO86" s="415">
        <f>(RegionWideSubstations!AR86/8760)-BK86-BM86</f>
        <v>4.4060915365038006E-2</v>
      </c>
      <c r="BP86" s="70">
        <f t="shared" si="69"/>
        <v>2.251863622058739E-2</v>
      </c>
      <c r="BQ86" s="24">
        <f t="shared" si="70"/>
        <v>0.17924834431587569</v>
      </c>
    </row>
    <row r="87" spans="1:69">
      <c r="A87">
        <f t="shared" si="55"/>
        <v>75</v>
      </c>
      <c r="B87">
        <v>11022</v>
      </c>
      <c r="C87" t="s">
        <v>118</v>
      </c>
      <c r="D87" t="s">
        <v>5</v>
      </c>
      <c r="E87" t="s">
        <v>91</v>
      </c>
      <c r="F87" s="3">
        <v>10289</v>
      </c>
      <c r="G87" s="10">
        <v>118949</v>
      </c>
      <c r="H87" s="122">
        <f>VLOOKUP($C87&amp;$D87,Sales!$A$21:$W$209,23,FALSE)</f>
        <v>146412</v>
      </c>
      <c r="I87" s="3">
        <v>113405</v>
      </c>
      <c r="J87" s="122">
        <f>VLOOKUP($C87&amp;$D87,Sales!$A$21:$W$209,11,FALSE)</f>
        <v>120998</v>
      </c>
      <c r="K87" s="3">
        <v>8570</v>
      </c>
      <c r="L87" s="122">
        <f>VLOOKUP($C87&amp;$D87,Sales!$A$21:$W$209,12,FALSE)</f>
        <v>9027</v>
      </c>
      <c r="M87" s="3">
        <f t="shared" si="49"/>
        <v>13232.788798133022</v>
      </c>
      <c r="N87">
        <v>1</v>
      </c>
      <c r="O87">
        <v>2</v>
      </c>
      <c r="P87">
        <v>3</v>
      </c>
      <c r="Q87" s="3">
        <f>($G87-$I87)/($S87+$V87*20)*S87</f>
        <v>545.63793103448279</v>
      </c>
      <c r="R87" s="122">
        <f>VLOOKUP($C87&amp;$D87,Sales!$A$21:$W$209,14,FALSE)</f>
        <v>18649</v>
      </c>
      <c r="S87" s="3">
        <v>548</v>
      </c>
      <c r="T87" s="3">
        <f>($G87-$I87)/($S87+$V87*20)*V87*20</f>
        <v>4998.3620689655172</v>
      </c>
      <c r="U87" s="122">
        <f>VLOOKUP($C87&amp;$D87,Sales!$A$21:$W$209,17,FALSE)</f>
        <v>6765</v>
      </c>
      <c r="V87" s="3">
        <v>251</v>
      </c>
      <c r="X87" s="27">
        <f t="shared" si="79"/>
        <v>1</v>
      </c>
      <c r="Y87" s="28">
        <v>0.9</v>
      </c>
      <c r="Z87" s="27">
        <f t="shared" si="56"/>
        <v>1</v>
      </c>
      <c r="AA87" s="132">
        <f t="shared" si="57"/>
        <v>1</v>
      </c>
      <c r="AB87" s="27">
        <f t="shared" si="54"/>
        <v>0</v>
      </c>
      <c r="AC87" s="5">
        <f t="shared" si="71"/>
        <v>1.5</v>
      </c>
      <c r="AD87">
        <f t="shared" si="47"/>
        <v>0.55000000000000004</v>
      </c>
      <c r="AE87" s="24">
        <f t="shared" si="72"/>
        <v>772.7631390541319</v>
      </c>
      <c r="AF87" s="24">
        <f t="shared" si="58"/>
        <v>1202.0759940842051</v>
      </c>
      <c r="AG87" s="24">
        <f t="shared" si="59"/>
        <v>25000</v>
      </c>
      <c r="AH87" s="24">
        <f t="shared" si="60"/>
        <v>275000</v>
      </c>
      <c r="AI87" s="5">
        <f t="shared" si="50"/>
        <v>2.4</v>
      </c>
      <c r="AJ87" s="5">
        <f t="shared" si="51"/>
        <v>0.56100000000000005</v>
      </c>
      <c r="AK87" s="24">
        <f t="shared" si="61"/>
        <v>1457.6665872041183</v>
      </c>
      <c r="AL87" s="24">
        <f t="shared" si="62"/>
        <v>1710.7337030381668</v>
      </c>
      <c r="AM87" s="24">
        <f t="shared" si="63"/>
        <v>60000</v>
      </c>
      <c r="AN87" s="24">
        <f t="shared" si="64"/>
        <v>320000</v>
      </c>
      <c r="AO87" s="5">
        <f t="shared" si="52"/>
        <v>2.9</v>
      </c>
      <c r="AP87" s="5">
        <f t="shared" si="53"/>
        <v>0.57222000000000006</v>
      </c>
      <c r="AQ87" s="24">
        <f t="shared" si="65"/>
        <v>1937.5647083549879</v>
      </c>
      <c r="AR87" s="24">
        <f t="shared" si="66"/>
        <v>2215.9504423140379</v>
      </c>
      <c r="AS87" s="24">
        <f t="shared" si="67"/>
        <v>546350</v>
      </c>
      <c r="AT87" s="24">
        <f t="shared" si="68"/>
        <v>796350</v>
      </c>
      <c r="BA87" s="5">
        <f t="shared" si="73"/>
        <v>2.9</v>
      </c>
      <c r="BB87" s="5">
        <f t="shared" si="74"/>
        <v>0.57222000000000006</v>
      </c>
      <c r="BC87" s="24">
        <f t="shared" si="75"/>
        <v>1937.5647083549879</v>
      </c>
      <c r="BD87" s="24">
        <f t="shared" si="76"/>
        <v>2215.9504423140379</v>
      </c>
      <c r="BE87" s="24">
        <f t="shared" si="77"/>
        <v>546350</v>
      </c>
      <c r="BF87" s="24">
        <f t="shared" si="78"/>
        <v>796350</v>
      </c>
      <c r="BI87" t="str">
        <f>RegionWideSubstations!C87</f>
        <v>Douglas Electric Coop, Inc</v>
      </c>
      <c r="BJ87" s="417">
        <f>RegionWideSubstations!AE87/8760</f>
        <v>8.8214970211658889E-2</v>
      </c>
      <c r="BK87" s="416">
        <f>RegionWideSubstations!AF87/8760</f>
        <v>0.13722328699591382</v>
      </c>
      <c r="BL87" s="70">
        <f>(RegionWideSubstations!AK87/8760)-BJ87</f>
        <v>7.8185325131276989E-2</v>
      </c>
      <c r="BM87" s="415">
        <f>(RegionWideSubstations!AL87/8760)-BK87</f>
        <v>5.8065948510726217E-2</v>
      </c>
      <c r="BN87" s="70">
        <f>(RegionWideSubstations!AQ87/8760)-BJ87-BL87</f>
        <v>5.4782890542336732E-2</v>
      </c>
      <c r="BO87" s="415">
        <f>(RegionWideSubstations!AR87/8760)-BK87-BM87</f>
        <v>5.7673143752953321E-2</v>
      </c>
      <c r="BP87" s="70">
        <f t="shared" si="69"/>
        <v>3.1779193374320752E-2</v>
      </c>
      <c r="BQ87" s="24">
        <f t="shared" si="70"/>
        <v>0.25296237925959336</v>
      </c>
    </row>
    <row r="88" spans="1:69">
      <c r="A88">
        <f t="shared" si="55"/>
        <v>76</v>
      </c>
      <c r="B88">
        <v>18448</v>
      </c>
      <c r="C88" t="s">
        <v>117</v>
      </c>
      <c r="D88" t="s">
        <v>4</v>
      </c>
      <c r="E88" t="s">
        <v>91</v>
      </c>
      <c r="F88" s="3">
        <v>7741</v>
      </c>
      <c r="G88" s="9">
        <f>+I88</f>
        <v>115686</v>
      </c>
      <c r="H88" s="122">
        <f>VLOOKUP($C88&amp;$D88,Sales!$A$21:$W$209,23,FALSE)</f>
        <v>143191</v>
      </c>
      <c r="I88" s="3">
        <v>115686</v>
      </c>
      <c r="J88" s="122">
        <f>VLOOKUP($C88&amp;$D88,Sales!$A$21:$W$209,11,FALSE)</f>
        <v>130987</v>
      </c>
      <c r="K88" s="3">
        <v>8927</v>
      </c>
      <c r="L88" s="122">
        <f>VLOOKUP($C88&amp;$D88,Sales!$A$21:$W$209,12,FALSE)</f>
        <v>9416</v>
      </c>
      <c r="M88" s="3">
        <f t="shared" si="49"/>
        <v>12959.112803853479</v>
      </c>
      <c r="N88">
        <v>2</v>
      </c>
      <c r="O88">
        <v>1</v>
      </c>
      <c r="P88">
        <v>3</v>
      </c>
      <c r="Q88" s="3"/>
      <c r="R88" s="122">
        <f>VLOOKUP($C88&amp;$D88,Sales!$A$21:$W$209,14,FALSE)</f>
        <v>9461</v>
      </c>
      <c r="S88" s="3"/>
      <c r="T88" s="3"/>
      <c r="U88" s="122">
        <f>VLOOKUP($C88&amp;$D88,Sales!$A$21:$W$209,17,FALSE)</f>
        <v>2743</v>
      </c>
      <c r="V88" s="3"/>
      <c r="X88" s="27">
        <f t="shared" si="79"/>
        <v>1</v>
      </c>
      <c r="Y88" s="28">
        <v>0.9</v>
      </c>
      <c r="Z88" s="27">
        <f t="shared" si="56"/>
        <v>1</v>
      </c>
      <c r="AA88" s="132">
        <f t="shared" si="57"/>
        <v>1</v>
      </c>
      <c r="AB88" s="27">
        <f t="shared" si="54"/>
        <v>0</v>
      </c>
      <c r="AC88" s="5">
        <f t="shared" si="71"/>
        <v>1.5</v>
      </c>
      <c r="AD88">
        <f t="shared" si="47"/>
        <v>0.55000000000000004</v>
      </c>
      <c r="AE88" s="24">
        <f t="shared" si="72"/>
        <v>796.91676099151164</v>
      </c>
      <c r="AF88" s="24">
        <f t="shared" si="58"/>
        <v>1239.6482948756848</v>
      </c>
      <c r="AG88" s="24">
        <f t="shared" si="59"/>
        <v>25000</v>
      </c>
      <c r="AH88" s="24">
        <f t="shared" si="60"/>
        <v>275000</v>
      </c>
      <c r="AI88" s="5">
        <f t="shared" si="50"/>
        <v>2.4</v>
      </c>
      <c r="AJ88" s="5">
        <f t="shared" si="51"/>
        <v>0.56100000000000005</v>
      </c>
      <c r="AK88" s="24">
        <f t="shared" si="61"/>
        <v>1494.1459243185743</v>
      </c>
      <c r="AL88" s="24">
        <f t="shared" si="62"/>
        <v>1753.54625840166</v>
      </c>
      <c r="AM88" s="24">
        <f t="shared" si="63"/>
        <v>60000</v>
      </c>
      <c r="AN88" s="24">
        <f t="shared" si="64"/>
        <v>320000</v>
      </c>
      <c r="AO88" s="5">
        <f t="shared" si="52"/>
        <v>2.9</v>
      </c>
      <c r="AP88" s="5">
        <f t="shared" si="53"/>
        <v>0.57222000000000006</v>
      </c>
      <c r="AQ88" s="24">
        <f t="shared" si="65"/>
        <v>1970.546756548046</v>
      </c>
      <c r="AR88" s="24">
        <f t="shared" si="66"/>
        <v>2253.671290534834</v>
      </c>
      <c r="AS88" s="24">
        <f t="shared" si="67"/>
        <v>565800</v>
      </c>
      <c r="AT88" s="24">
        <f t="shared" si="68"/>
        <v>815800</v>
      </c>
      <c r="BA88" s="5">
        <f t="shared" si="73"/>
        <v>2.9</v>
      </c>
      <c r="BB88" s="5">
        <f t="shared" si="74"/>
        <v>0.57222000000000006</v>
      </c>
      <c r="BC88" s="24">
        <f t="shared" si="75"/>
        <v>1970.546756548046</v>
      </c>
      <c r="BD88" s="24">
        <f t="shared" si="76"/>
        <v>2253.671290534834</v>
      </c>
      <c r="BE88" s="24">
        <f t="shared" si="77"/>
        <v>565800</v>
      </c>
      <c r="BF88" s="24">
        <f t="shared" si="78"/>
        <v>815800</v>
      </c>
      <c r="BI88" t="str">
        <f>RegionWideSubstations!C88</f>
        <v>Ravalli County Elec Coop, Inc</v>
      </c>
      <c r="BJ88" s="417">
        <f>RegionWideSubstations!AE88/8760</f>
        <v>9.0972232989898594E-2</v>
      </c>
      <c r="BK88" s="416">
        <f>RegionWideSubstations!AF88/8760</f>
        <v>0.14151236242873114</v>
      </c>
      <c r="BL88" s="70">
        <f>(RegionWideSubstations!AK88/8760)-BJ88</f>
        <v>7.9592370242815375E-2</v>
      </c>
      <c r="BM88" s="415">
        <f>(RegionWideSubstations!AL88/8760)-BK88</f>
        <v>5.8664151087440108E-2</v>
      </c>
      <c r="BN88" s="70">
        <f>(RegionWideSubstations!AQ88/8760)-BJ88-BL88</f>
        <v>5.4383656647199963E-2</v>
      </c>
      <c r="BO88" s="415">
        <f>(RegionWideSubstations!AR88/8760)-BK88-BM88</f>
        <v>5.7091898645339506E-2</v>
      </c>
      <c r="BP88" s="70">
        <f t="shared" si="69"/>
        <v>3.232015228159682E-2</v>
      </c>
      <c r="BQ88" s="24">
        <f t="shared" si="70"/>
        <v>0.25726841216151075</v>
      </c>
    </row>
    <row r="89" spans="1:69">
      <c r="A89">
        <f t="shared" si="55"/>
        <v>77</v>
      </c>
      <c r="B89">
        <v>20385</v>
      </c>
      <c r="C89" t="s">
        <v>37</v>
      </c>
      <c r="D89" t="s">
        <v>1</v>
      </c>
      <c r="E89" t="s">
        <v>29</v>
      </c>
      <c r="F89" s="3">
        <v>2653</v>
      </c>
      <c r="G89" s="3">
        <v>114658</v>
      </c>
      <c r="H89" s="122">
        <f>VLOOKUP($C89&amp;$D89,Sales!$A$21:$W$209,23,FALSE)</f>
        <v>132226</v>
      </c>
      <c r="I89" s="3">
        <v>42997</v>
      </c>
      <c r="J89" s="122">
        <f>VLOOKUP($C89&amp;$D89,Sales!$A$21:$W$209,11,FALSE)</f>
        <v>52056</v>
      </c>
      <c r="K89" s="3">
        <v>3748</v>
      </c>
      <c r="L89" s="122">
        <f>VLOOKUP($C89&amp;$D89,Sales!$A$21:$W$209,12,FALSE)</f>
        <v>4507</v>
      </c>
      <c r="M89" s="3">
        <f t="shared" si="49"/>
        <v>11471.985058697972</v>
      </c>
      <c r="N89">
        <v>2</v>
      </c>
      <c r="O89">
        <v>2</v>
      </c>
      <c r="P89">
        <v>3</v>
      </c>
      <c r="Q89" s="3">
        <f t="shared" ref="Q89:Q94" si="80">($G89-$I89)/($S89+$V89*20)*S89</f>
        <v>54288.636363636368</v>
      </c>
      <c r="R89" s="122">
        <f>VLOOKUP($C89&amp;$D89,Sales!$A$21:$W$209,14,FALSE)</f>
        <v>70429</v>
      </c>
      <c r="S89" s="3">
        <v>500</v>
      </c>
      <c r="T89" s="3">
        <f>($G89-$I89)/($S89+$V89*20)*V89*20</f>
        <v>17372.363636363636</v>
      </c>
      <c r="U89" s="122">
        <f>VLOOKUP($C89&amp;$D89,Sales!$A$21:$W$209,17,FALSE)</f>
        <v>9741</v>
      </c>
      <c r="V89" s="3">
        <v>8</v>
      </c>
      <c r="X89" s="27">
        <f t="shared" si="79"/>
        <v>1</v>
      </c>
      <c r="Y89" s="28">
        <v>0.9</v>
      </c>
      <c r="Z89" s="27">
        <f t="shared" si="56"/>
        <v>1</v>
      </c>
      <c r="AA89" s="132">
        <f t="shared" si="57"/>
        <v>1</v>
      </c>
      <c r="AB89" s="27">
        <f t="shared" si="54"/>
        <v>0</v>
      </c>
      <c r="AC89" s="5">
        <f>2*$AC$9</f>
        <v>2</v>
      </c>
      <c r="AD89">
        <f t="shared" si="47"/>
        <v>0.55000000000000004</v>
      </c>
      <c r="AE89" s="24">
        <f t="shared" si="72"/>
        <v>736.67393826334637</v>
      </c>
      <c r="AF89" s="24">
        <f t="shared" si="58"/>
        <v>1043.6214125397407</v>
      </c>
      <c r="AG89" s="24">
        <f t="shared" si="59"/>
        <v>25000</v>
      </c>
      <c r="AH89" s="24">
        <f t="shared" si="60"/>
        <v>275000</v>
      </c>
      <c r="AI89" s="5">
        <f t="shared" si="50"/>
        <v>2.9</v>
      </c>
      <c r="AJ89" s="5">
        <f t="shared" si="51"/>
        <v>0.56100000000000005</v>
      </c>
      <c r="AK89" s="24">
        <f t="shared" si="61"/>
        <v>1305.5688807896393</v>
      </c>
      <c r="AL89" s="24">
        <f t="shared" si="62"/>
        <v>1493.1506165352769</v>
      </c>
      <c r="AM89" s="24">
        <f t="shared" si="63"/>
        <v>60000</v>
      </c>
      <c r="AN89" s="24">
        <f t="shared" si="64"/>
        <v>320000</v>
      </c>
      <c r="AO89" s="5">
        <f t="shared" si="52"/>
        <v>3.4</v>
      </c>
      <c r="AP89" s="5">
        <f t="shared" si="53"/>
        <v>0.57222000000000006</v>
      </c>
      <c r="AQ89" s="24">
        <f t="shared" si="65"/>
        <v>1768.5666038056218</v>
      </c>
      <c r="AR89" s="24">
        <f t="shared" si="66"/>
        <v>1985.3027072131738</v>
      </c>
      <c r="AS89" s="24">
        <f t="shared" si="67"/>
        <v>320350</v>
      </c>
      <c r="AT89" s="24">
        <f t="shared" si="68"/>
        <v>570350</v>
      </c>
      <c r="BA89" s="5">
        <f t="shared" si="73"/>
        <v>3.4</v>
      </c>
      <c r="BB89" s="5">
        <f t="shared" si="74"/>
        <v>0.57222000000000006</v>
      </c>
      <c r="BC89" s="24">
        <f t="shared" si="75"/>
        <v>1768.5666038056218</v>
      </c>
      <c r="BD89" s="24">
        <f t="shared" si="76"/>
        <v>1985.3027072131738</v>
      </c>
      <c r="BE89" s="24">
        <f t="shared" si="77"/>
        <v>320350</v>
      </c>
      <c r="BF89" s="24">
        <f t="shared" si="78"/>
        <v>570350</v>
      </c>
      <c r="BI89" t="str">
        <f>RegionWideSubstations!C89</f>
        <v>City of Cheney</v>
      </c>
      <c r="BJ89" s="417">
        <f>RegionWideSubstations!AE89/8760</f>
        <v>8.4095198431888854E-2</v>
      </c>
      <c r="BK89" s="416">
        <f>RegionWideSubstations!AF89/8760</f>
        <v>0.11913486444517589</v>
      </c>
      <c r="BL89" s="70">
        <f>(RegionWideSubstations!AK89/8760)-BJ89</f>
        <v>6.4942345037248037E-2</v>
      </c>
      <c r="BM89" s="415">
        <f>(RegionWideSubstations!AL89/8760)-BK89</f>
        <v>5.1316119177572603E-2</v>
      </c>
      <c r="BN89" s="70">
        <f>(RegionWideSubstations!AQ89/8760)-BJ89-BL89</f>
        <v>5.2853621348856461E-2</v>
      </c>
      <c r="BO89" s="415">
        <f>(RegionWideSubstations!AR89/8760)-BK89-BM89</f>
        <v>5.6181745511175468E-2</v>
      </c>
      <c r="BP89" s="70">
        <f t="shared" si="69"/>
        <v>2.4741564315930609E-2</v>
      </c>
      <c r="BQ89" s="24">
        <f t="shared" si="70"/>
        <v>0.22663272913392396</v>
      </c>
    </row>
    <row r="90" spans="1:69">
      <c r="A90">
        <f t="shared" si="55"/>
        <v>78</v>
      </c>
      <c r="B90">
        <v>19502</v>
      </c>
      <c r="C90" t="s">
        <v>39</v>
      </c>
      <c r="D90" t="s">
        <v>5</v>
      </c>
      <c r="E90" t="s">
        <v>29</v>
      </c>
      <c r="F90" s="3">
        <v>2946</v>
      </c>
      <c r="G90" s="3">
        <v>109869</v>
      </c>
      <c r="H90" s="122">
        <f>VLOOKUP($C90&amp;$D90,Sales!$A$21:$W$209,23,FALSE)</f>
        <v>105209</v>
      </c>
      <c r="I90" s="3">
        <v>59932</v>
      </c>
      <c r="J90" s="122">
        <f>VLOOKUP($C90&amp;$D90,Sales!$A$21:$W$209,11,FALSE)</f>
        <v>60331</v>
      </c>
      <c r="K90" s="3">
        <v>3494</v>
      </c>
      <c r="L90" s="122">
        <f>VLOOKUP($C90&amp;$D90,Sales!$A$21:$W$209,12,FALSE)</f>
        <v>3504</v>
      </c>
      <c r="M90" s="3">
        <f t="shared" si="49"/>
        <v>17152.833428734975</v>
      </c>
      <c r="N90">
        <v>1</v>
      </c>
      <c r="O90">
        <v>3</v>
      </c>
      <c r="P90">
        <v>3</v>
      </c>
      <c r="Q90" s="3">
        <f t="shared" si="80"/>
        <v>24920.39113680154</v>
      </c>
      <c r="R90" s="122">
        <f>VLOOKUP($C90&amp;$D90,Sales!$A$21:$W$209,14,FALSE)</f>
        <v>14487</v>
      </c>
      <c r="S90" s="3">
        <v>1295</v>
      </c>
      <c r="T90" s="3">
        <f>($G90-$I90)/($S90+$V90*20)*V90*20</f>
        <v>25016.608863198457</v>
      </c>
      <c r="U90" s="122">
        <f>VLOOKUP($C90&amp;$D90,Sales!$A$21:$W$209,17,FALSE)</f>
        <v>30391</v>
      </c>
      <c r="V90" s="3">
        <v>65</v>
      </c>
      <c r="X90" s="27">
        <f t="shared" si="79"/>
        <v>1</v>
      </c>
      <c r="Y90" s="28">
        <v>0.9</v>
      </c>
      <c r="Z90" s="27">
        <f t="shared" si="56"/>
        <v>1</v>
      </c>
      <c r="AA90" s="132">
        <f t="shared" si="57"/>
        <v>1</v>
      </c>
      <c r="AB90" s="27">
        <f t="shared" si="54"/>
        <v>0</v>
      </c>
      <c r="AC90" s="5">
        <f>2*$AC$9</f>
        <v>2</v>
      </c>
      <c r="AD90">
        <f t="shared" si="47"/>
        <v>0.55000000000000004</v>
      </c>
      <c r="AE90" s="24">
        <f t="shared" si="72"/>
        <v>556.9390305895065</v>
      </c>
      <c r="AF90" s="24">
        <f t="shared" si="58"/>
        <v>788.99696000180097</v>
      </c>
      <c r="AG90" s="24">
        <f t="shared" si="59"/>
        <v>25000</v>
      </c>
      <c r="AH90" s="24">
        <f t="shared" si="60"/>
        <v>275000</v>
      </c>
      <c r="AI90" s="5">
        <f t="shared" si="50"/>
        <v>2.9</v>
      </c>
      <c r="AJ90" s="5">
        <f t="shared" si="51"/>
        <v>0.56100000000000005</v>
      </c>
      <c r="AK90" s="24">
        <f t="shared" si="61"/>
        <v>979.38663439206402</v>
      </c>
      <c r="AL90" s="24">
        <f t="shared" si="62"/>
        <v>1120.1031048506939</v>
      </c>
      <c r="AM90" s="24">
        <f t="shared" si="63"/>
        <v>60000</v>
      </c>
      <c r="AN90" s="24">
        <f t="shared" si="64"/>
        <v>320000</v>
      </c>
      <c r="AO90" s="5">
        <f t="shared" si="52"/>
        <v>3.4</v>
      </c>
      <c r="AP90" s="5">
        <f t="shared" si="53"/>
        <v>0.57222000000000006</v>
      </c>
      <c r="AQ90" s="24">
        <f t="shared" si="65"/>
        <v>1298.2065425543149</v>
      </c>
      <c r="AR90" s="24">
        <f t="shared" si="66"/>
        <v>1457.3004815928341</v>
      </c>
      <c r="AS90" s="24">
        <f t="shared" si="67"/>
        <v>270200</v>
      </c>
      <c r="AT90" s="24">
        <f t="shared" si="68"/>
        <v>520200</v>
      </c>
      <c r="BA90" s="5">
        <f t="shared" si="73"/>
        <v>3.4</v>
      </c>
      <c r="BB90" s="5">
        <f t="shared" si="74"/>
        <v>0.57222000000000006</v>
      </c>
      <c r="BC90" s="24">
        <f t="shared" si="75"/>
        <v>1298.2065425543149</v>
      </c>
      <c r="BD90" s="24">
        <f t="shared" si="76"/>
        <v>1457.3004815928341</v>
      </c>
      <c r="BE90" s="24">
        <f t="shared" si="77"/>
        <v>270200</v>
      </c>
      <c r="BF90" s="24">
        <f t="shared" si="78"/>
        <v>520200</v>
      </c>
      <c r="BI90" t="str">
        <f>RegionWideSubstations!C90</f>
        <v>City of Milton-Freewater</v>
      </c>
      <c r="BJ90" s="417">
        <f>RegionWideSubstations!AE90/8760</f>
        <v>6.3577514907477914E-2</v>
      </c>
      <c r="BK90" s="416">
        <f>RegionWideSubstations!AF90/8760</f>
        <v>9.006814611892705E-2</v>
      </c>
      <c r="BL90" s="70">
        <f>(RegionWideSubstations!AK90/8760)-BJ90</f>
        <v>4.8224612306228029E-2</v>
      </c>
      <c r="BM90" s="415">
        <f>(RegionWideSubstations!AL90/8760)-BK90</f>
        <v>3.7797505119736619E-2</v>
      </c>
      <c r="BN90" s="70">
        <f>(RegionWideSubstations!AQ90/8760)-BJ90-BL90</f>
        <v>3.6394966685188435E-2</v>
      </c>
      <c r="BO90" s="415">
        <f>(RegionWideSubstations!AR90/8760)-BK90-BM90</f>
        <v>3.8492851226271718E-2</v>
      </c>
      <c r="BP90" s="70">
        <f t="shared" si="69"/>
        <v>1.816140856604101E-2</v>
      </c>
      <c r="BQ90" s="24">
        <f t="shared" si="70"/>
        <v>0.16635850246493539</v>
      </c>
    </row>
    <row r="91" spans="1:69">
      <c r="A91">
        <f t="shared" si="55"/>
        <v>79</v>
      </c>
      <c r="B91">
        <v>14505</v>
      </c>
      <c r="C91" t="s">
        <v>36</v>
      </c>
      <c r="D91" t="s">
        <v>5</v>
      </c>
      <c r="E91" t="s">
        <v>29</v>
      </c>
      <c r="F91" s="3">
        <v>3463</v>
      </c>
      <c r="G91" s="3">
        <v>105027</v>
      </c>
      <c r="H91" s="122">
        <f>VLOOKUP($C91&amp;$D91,Sales!$A$21:$W$209,23,FALSE)</f>
        <v>104631</v>
      </c>
      <c r="I91" s="3">
        <v>49525</v>
      </c>
      <c r="J91" s="122">
        <f>VLOOKUP($C91&amp;$D91,Sales!$A$21:$W$209,11,FALSE)</f>
        <v>51129</v>
      </c>
      <c r="K91" s="3">
        <v>4382</v>
      </c>
      <c r="L91" s="122">
        <f>VLOOKUP($C91&amp;$D91,Sales!$A$21:$W$209,12,FALSE)</f>
        <v>4472</v>
      </c>
      <c r="M91" s="3">
        <f t="shared" si="49"/>
        <v>11301.916932907348</v>
      </c>
      <c r="N91">
        <v>1</v>
      </c>
      <c r="O91">
        <v>3</v>
      </c>
      <c r="P91">
        <v>3</v>
      </c>
      <c r="Q91" s="3">
        <f t="shared" si="80"/>
        <v>55502</v>
      </c>
      <c r="R91" s="122">
        <f>VLOOKUP($C91&amp;$D91,Sales!$A$21:$W$209,14,FALSE)</f>
        <v>53502</v>
      </c>
      <c r="S91" s="3">
        <v>783</v>
      </c>
      <c r="T91" s="3">
        <f>($G91-$I91)/($S91+$V91*20)*V91*10</f>
        <v>0</v>
      </c>
      <c r="U91" s="122">
        <f>VLOOKUP($C91&amp;$D91,Sales!$A$21:$W$209,17,FALSE)</f>
        <v>0</v>
      </c>
      <c r="V91" s="3"/>
      <c r="X91" s="27">
        <f t="shared" si="79"/>
        <v>1</v>
      </c>
      <c r="Y91" s="28">
        <v>0.9</v>
      </c>
      <c r="Z91" s="27">
        <f t="shared" si="56"/>
        <v>1</v>
      </c>
      <c r="AA91" s="132">
        <f t="shared" si="57"/>
        <v>1</v>
      </c>
      <c r="AB91" s="27">
        <f t="shared" si="54"/>
        <v>0</v>
      </c>
      <c r="AC91" s="5">
        <f>2*$AC$9</f>
        <v>2</v>
      </c>
      <c r="AD91">
        <f t="shared" ref="AD91:AD122" si="81">0.5*$AD$9</f>
        <v>0.55000000000000004</v>
      </c>
      <c r="AE91" s="24">
        <f t="shared" si="72"/>
        <v>644.28979441811896</v>
      </c>
      <c r="AF91" s="24">
        <f t="shared" si="58"/>
        <v>912.74387542566865</v>
      </c>
      <c r="AG91" s="24">
        <f t="shared" si="59"/>
        <v>25000</v>
      </c>
      <c r="AH91" s="24">
        <f t="shared" si="60"/>
        <v>275000</v>
      </c>
      <c r="AI91" s="5">
        <f t="shared" si="50"/>
        <v>2.9</v>
      </c>
      <c r="AJ91" s="5">
        <f t="shared" si="51"/>
        <v>0.56100000000000005</v>
      </c>
      <c r="AK91" s="24">
        <f t="shared" si="61"/>
        <v>1128.2333792721035</v>
      </c>
      <c r="AL91" s="24">
        <f t="shared" si="62"/>
        <v>1290.3358762939574</v>
      </c>
      <c r="AM91" s="24">
        <f t="shared" si="63"/>
        <v>60000</v>
      </c>
      <c r="AN91" s="24">
        <f t="shared" si="64"/>
        <v>320000</v>
      </c>
      <c r="AO91" s="5">
        <f t="shared" si="52"/>
        <v>3.4</v>
      </c>
      <c r="AP91" s="5">
        <f t="shared" si="53"/>
        <v>0.57222000000000006</v>
      </c>
      <c r="AQ91" s="24">
        <f t="shared" si="65"/>
        <v>1508.7361403151478</v>
      </c>
      <c r="AR91" s="24">
        <f t="shared" si="66"/>
        <v>1693.6302751576907</v>
      </c>
      <c r="AS91" s="24">
        <f t="shared" si="67"/>
        <v>318600</v>
      </c>
      <c r="AT91" s="24">
        <f t="shared" si="68"/>
        <v>568600</v>
      </c>
      <c r="BA91" s="5">
        <f t="shared" si="73"/>
        <v>3.4</v>
      </c>
      <c r="BB91" s="5">
        <f t="shared" si="74"/>
        <v>0.57222000000000006</v>
      </c>
      <c r="BC91" s="24">
        <f t="shared" si="75"/>
        <v>1508.7361403151478</v>
      </c>
      <c r="BD91" s="24">
        <f t="shared" si="76"/>
        <v>1693.6302751576907</v>
      </c>
      <c r="BE91" s="24">
        <f t="shared" si="77"/>
        <v>318600</v>
      </c>
      <c r="BF91" s="24">
        <f t="shared" si="78"/>
        <v>568600</v>
      </c>
      <c r="BI91" t="str">
        <f>RegionWideSubstations!C91</f>
        <v>City of Hermiston</v>
      </c>
      <c r="BJ91" s="417">
        <f>RegionWideSubstations!AE91/8760</f>
        <v>7.3549063289739605E-2</v>
      </c>
      <c r="BK91" s="416">
        <f>RegionWideSubstations!AF91/8760</f>
        <v>0.10419450632713112</v>
      </c>
      <c r="BL91" s="70">
        <f>(RegionWideSubstations!AK91/8760)-BJ91</f>
        <v>5.5244701467349847E-2</v>
      </c>
      <c r="BM91" s="415">
        <f>(RegionWideSubstations!AL91/8760)-BK91</f>
        <v>4.3104109688160835E-2</v>
      </c>
      <c r="BN91" s="70">
        <f>(RegionWideSubstations!AQ91/8760)-BJ91-BL91</f>
        <v>4.3436388246922863E-2</v>
      </c>
      <c r="BO91" s="415">
        <f>(RegionWideSubstations!AR91/8760)-BK91-BM91</f>
        <v>4.603817338627092E-2</v>
      </c>
      <c r="BP91" s="70">
        <f t="shared" si="69"/>
        <v>2.110663639755056E-2</v>
      </c>
      <c r="BQ91" s="24">
        <f t="shared" si="70"/>
        <v>0.19333678940156288</v>
      </c>
    </row>
    <row r="92" spans="1:69">
      <c r="A92">
        <f t="shared" si="55"/>
        <v>80</v>
      </c>
      <c r="B92">
        <v>28541</v>
      </c>
      <c r="C92" t="s">
        <v>127</v>
      </c>
      <c r="D92" t="s">
        <v>4</v>
      </c>
      <c r="E92" t="s">
        <v>91</v>
      </c>
      <c r="F92" s="3">
        <v>3282</v>
      </c>
      <c r="G92" s="3">
        <v>102182</v>
      </c>
      <c r="H92" s="122">
        <f>VLOOKUP($C92&amp;$D92,Sales!$A$21:$W$209,23,FALSE)</f>
        <v>108300</v>
      </c>
      <c r="I92" s="3">
        <v>61753</v>
      </c>
      <c r="J92" s="122">
        <f>VLOOKUP($C92&amp;$D92,Sales!$A$21:$W$209,11,FALSE)</f>
        <v>71230</v>
      </c>
      <c r="K92" s="3">
        <v>3975</v>
      </c>
      <c r="L92" s="122">
        <f>VLOOKUP($C92&amp;$D92,Sales!$A$21:$W$209,12,FALSE)</f>
        <v>4684</v>
      </c>
      <c r="M92" s="3">
        <f t="shared" si="49"/>
        <v>15535.345911949686</v>
      </c>
      <c r="N92">
        <v>3</v>
      </c>
      <c r="O92">
        <v>1</v>
      </c>
      <c r="P92">
        <v>3</v>
      </c>
      <c r="Q92" s="3">
        <f t="shared" si="80"/>
        <v>1242.8444846292946</v>
      </c>
      <c r="R92" s="122">
        <f>VLOOKUP($C92&amp;$D92,Sales!$A$21:$W$209,14,FALSE)</f>
        <v>26060</v>
      </c>
      <c r="S92" s="3">
        <v>170</v>
      </c>
      <c r="T92" s="3">
        <f>($G92-$I92)/($S92+$V92*20)*V92*20</f>
        <v>39186.155515370701</v>
      </c>
      <c r="U92" s="122">
        <f>VLOOKUP($C92&amp;$D92,Sales!$A$21:$W$209,17,FALSE)</f>
        <v>11010</v>
      </c>
      <c r="V92" s="3">
        <v>268</v>
      </c>
      <c r="X92" s="27">
        <f t="shared" si="79"/>
        <v>1</v>
      </c>
      <c r="Y92" s="28">
        <v>0.9</v>
      </c>
      <c r="Z92" s="27">
        <f t="shared" si="56"/>
        <v>1</v>
      </c>
      <c r="AA92" s="132">
        <f t="shared" si="57"/>
        <v>1</v>
      </c>
      <c r="AB92" s="27">
        <f t="shared" si="54"/>
        <v>0</v>
      </c>
      <c r="AC92" s="5">
        <f>1.5*$AC$9</f>
        <v>1.5</v>
      </c>
      <c r="AD92">
        <f t="shared" si="81"/>
        <v>0.55000000000000004</v>
      </c>
      <c r="AE92" s="24">
        <f t="shared" si="72"/>
        <v>510.96075545331644</v>
      </c>
      <c r="AF92" s="24">
        <f t="shared" si="58"/>
        <v>794.82784181626994</v>
      </c>
      <c r="AG92" s="24">
        <f t="shared" si="59"/>
        <v>25000</v>
      </c>
      <c r="AH92" s="24">
        <f t="shared" si="60"/>
        <v>275000</v>
      </c>
      <c r="AI92" s="5">
        <f t="shared" si="50"/>
        <v>2.4</v>
      </c>
      <c r="AJ92" s="5">
        <f t="shared" si="51"/>
        <v>0.56100000000000005</v>
      </c>
      <c r="AK92" s="24">
        <f t="shared" si="61"/>
        <v>977.02717909376736</v>
      </c>
      <c r="AL92" s="24">
        <f t="shared" si="62"/>
        <v>1146.6499532419909</v>
      </c>
      <c r="AM92" s="24">
        <f t="shared" si="63"/>
        <v>60000</v>
      </c>
      <c r="AN92" s="24">
        <f t="shared" si="64"/>
        <v>320000</v>
      </c>
      <c r="AO92" s="5">
        <f t="shared" si="52"/>
        <v>2.9</v>
      </c>
      <c r="AP92" s="5">
        <f t="shared" si="53"/>
        <v>0.57222000000000006</v>
      </c>
      <c r="AQ92" s="24">
        <f t="shared" si="65"/>
        <v>1321.0200729553576</v>
      </c>
      <c r="AR92" s="24">
        <f t="shared" si="66"/>
        <v>1510.82180757538</v>
      </c>
      <c r="AS92" s="24">
        <f t="shared" si="67"/>
        <v>329200</v>
      </c>
      <c r="AT92" s="24">
        <f t="shared" si="68"/>
        <v>579200</v>
      </c>
      <c r="BA92" s="5">
        <f t="shared" si="73"/>
        <v>2.9</v>
      </c>
      <c r="BB92" s="5">
        <f t="shared" si="74"/>
        <v>0.57222000000000006</v>
      </c>
      <c r="BC92" s="24">
        <f t="shared" si="75"/>
        <v>1321.0200729553576</v>
      </c>
      <c r="BD92" s="24">
        <f t="shared" si="76"/>
        <v>1510.82180757538</v>
      </c>
      <c r="BE92" s="24">
        <f t="shared" si="77"/>
        <v>329200</v>
      </c>
      <c r="BF92" s="24">
        <f t="shared" si="78"/>
        <v>579200</v>
      </c>
      <c r="BI92" t="str">
        <f>RegionWideSubstations!C92</f>
        <v>Lincoln Electric Coop, Inc</v>
      </c>
      <c r="BJ92" s="417">
        <f>RegionWideSubstations!AE92/8760</f>
        <v>5.8328853362250736E-2</v>
      </c>
      <c r="BK92" s="416">
        <f>RegionWideSubstations!AF92/8760</f>
        <v>9.0733771896834473E-2</v>
      </c>
      <c r="BL92" s="70">
        <f>(RegionWideSubstations!AK92/8760)-BJ92</f>
        <v>5.3203929639320878E-2</v>
      </c>
      <c r="BM92" s="415">
        <f>(RegionWideSubstations!AL92/8760)-BK92</f>
        <v>4.0162341486954453E-2</v>
      </c>
      <c r="BN92" s="70">
        <f>(RegionWideSubstations!AQ92/8760)-BJ92-BL92</f>
        <v>3.9268595189679241E-2</v>
      </c>
      <c r="BO92" s="415">
        <f>(RegionWideSubstations!AR92/8760)-BK92-BM92</f>
        <v>4.1572129490112908E-2</v>
      </c>
      <c r="BP92" s="70">
        <f t="shared" si="69"/>
        <v>2.1666864682650971E-2</v>
      </c>
      <c r="BQ92" s="24">
        <f t="shared" si="70"/>
        <v>0.17246824287390183</v>
      </c>
    </row>
    <row r="93" spans="1:69">
      <c r="A93">
        <f t="shared" si="55"/>
        <v>81</v>
      </c>
      <c r="B93">
        <v>14012</v>
      </c>
      <c r="C93" t="s">
        <v>38</v>
      </c>
      <c r="D93" t="s">
        <v>3</v>
      </c>
      <c r="E93" t="s">
        <v>29</v>
      </c>
      <c r="F93" s="3">
        <v>2800</v>
      </c>
      <c r="G93" s="3">
        <v>97698</v>
      </c>
      <c r="H93" s="122">
        <f>VLOOKUP($C93&amp;$D93,Sales!$A$21:$W$209,23,FALSE)</f>
        <v>110799</v>
      </c>
      <c r="I93" s="3">
        <v>42664</v>
      </c>
      <c r="J93" s="122">
        <f>VLOOKUP($C93&amp;$D93,Sales!$A$21:$W$209,11,FALSE)</f>
        <v>46454</v>
      </c>
      <c r="K93" s="3">
        <v>3653</v>
      </c>
      <c r="L93" s="122">
        <f>VLOOKUP($C93&amp;$D93,Sales!$A$21:$W$209,12,FALSE)</f>
        <v>3791</v>
      </c>
      <c r="M93" s="3">
        <f t="shared" si="49"/>
        <v>11679.167807281687</v>
      </c>
      <c r="N93">
        <v>2</v>
      </c>
      <c r="O93">
        <v>3</v>
      </c>
      <c r="P93">
        <v>4</v>
      </c>
      <c r="Q93" s="3">
        <f t="shared" si="80"/>
        <v>55034</v>
      </c>
      <c r="R93" s="122">
        <f>VLOOKUP($C93&amp;$D93,Sales!$A$21:$W$209,14,FALSE)</f>
        <v>64345</v>
      </c>
      <c r="S93" s="3">
        <v>656</v>
      </c>
      <c r="T93" s="3">
        <f>($G93-$I93)/($S93+$V93*20)*V93*20</f>
        <v>0</v>
      </c>
      <c r="U93" s="122">
        <f>VLOOKUP($C93&amp;$D93,Sales!$A$21:$W$209,17,FALSE)</f>
        <v>0</v>
      </c>
      <c r="V93" s="3"/>
      <c r="X93" s="27">
        <f t="shared" si="79"/>
        <v>1</v>
      </c>
      <c r="Y93" s="28">
        <v>0.9</v>
      </c>
      <c r="Z93" s="27">
        <f t="shared" si="56"/>
        <v>1</v>
      </c>
      <c r="AA93" s="132">
        <f t="shared" si="57"/>
        <v>1</v>
      </c>
      <c r="AB93" s="27">
        <f t="shared" si="54"/>
        <v>0</v>
      </c>
      <c r="AC93" s="5">
        <f>2*$AC$9</f>
        <v>2</v>
      </c>
      <c r="AD93">
        <f t="shared" si="81"/>
        <v>0.55000000000000004</v>
      </c>
      <c r="AE93" s="24">
        <f t="shared" si="72"/>
        <v>658.13103253818178</v>
      </c>
      <c r="AF93" s="24">
        <f t="shared" si="58"/>
        <v>932.35229609575754</v>
      </c>
      <c r="AG93" s="24">
        <f t="shared" si="59"/>
        <v>25000</v>
      </c>
      <c r="AH93" s="24">
        <f t="shared" si="60"/>
        <v>275000</v>
      </c>
      <c r="AI93" s="5">
        <f t="shared" si="50"/>
        <v>2.9</v>
      </c>
      <c r="AJ93" s="5">
        <f t="shared" si="51"/>
        <v>0.56100000000000005</v>
      </c>
      <c r="AK93" s="24">
        <f t="shared" si="61"/>
        <v>1159.5734144804189</v>
      </c>
      <c r="AL93" s="24">
        <f t="shared" si="62"/>
        <v>1326.1787901241571</v>
      </c>
      <c r="AM93" s="24">
        <f t="shared" si="63"/>
        <v>60000</v>
      </c>
      <c r="AN93" s="24">
        <f t="shared" si="64"/>
        <v>320000</v>
      </c>
      <c r="AO93" s="5">
        <f t="shared" si="52"/>
        <v>3.4</v>
      </c>
      <c r="AP93" s="5">
        <f t="shared" si="53"/>
        <v>0.57222000000000006</v>
      </c>
      <c r="AQ93" s="24">
        <f t="shared" si="65"/>
        <v>1563.7971100002439</v>
      </c>
      <c r="AR93" s="24">
        <f t="shared" si="66"/>
        <v>1755.4389126963524</v>
      </c>
      <c r="AS93" s="24">
        <f t="shared" si="67"/>
        <v>284550</v>
      </c>
      <c r="AT93" s="24">
        <f t="shared" si="68"/>
        <v>534550</v>
      </c>
      <c r="BA93" s="5">
        <f t="shared" si="73"/>
        <v>3.4</v>
      </c>
      <c r="BB93" s="5">
        <f t="shared" si="74"/>
        <v>0.57222000000000006</v>
      </c>
      <c r="BC93" s="24">
        <f t="shared" si="75"/>
        <v>1563.7971100002439</v>
      </c>
      <c r="BD93" s="24">
        <f t="shared" si="76"/>
        <v>1755.4389126963524</v>
      </c>
      <c r="BE93" s="24">
        <f t="shared" si="77"/>
        <v>284550</v>
      </c>
      <c r="BF93" s="24">
        <f t="shared" si="78"/>
        <v>534550</v>
      </c>
      <c r="BI93" t="str">
        <f>RegionWideSubstations!C93</f>
        <v>City of Burley</v>
      </c>
      <c r="BJ93" s="417">
        <f>RegionWideSubstations!AE93/8760</f>
        <v>7.5129113303445405E-2</v>
      </c>
      <c r="BK93" s="416">
        <f>RegionWideSubstations!AF93/8760</f>
        <v>0.10643291051321434</v>
      </c>
      <c r="BL93" s="70">
        <f>(RegionWideSubstations!AK93/8760)-BJ93</f>
        <v>5.724228104363438E-2</v>
      </c>
      <c r="BM93" s="415">
        <f>(RegionWideSubstations!AL93/8760)-BK93</f>
        <v>4.4957362332009074E-2</v>
      </c>
      <c r="BN93" s="70">
        <f>(RegionWideSubstations!AQ93/8760)-BJ93-BL93</f>
        <v>4.6144257479432071E-2</v>
      </c>
      <c r="BO93" s="415">
        <f>(RegionWideSubstations!AR93/8760)-BK93-BM93</f>
        <v>4.9002297097282571E-2</v>
      </c>
      <c r="BP93" s="70">
        <f t="shared" si="69"/>
        <v>2.1876918115994126E-2</v>
      </c>
      <c r="BQ93" s="24">
        <f t="shared" si="70"/>
        <v>0.20039256994250598</v>
      </c>
    </row>
    <row r="94" spans="1:69">
      <c r="A94">
        <f t="shared" si="55"/>
        <v>82</v>
      </c>
      <c r="B94">
        <v>18260</v>
      </c>
      <c r="C94" t="s">
        <v>138</v>
      </c>
      <c r="D94" t="s">
        <v>5</v>
      </c>
      <c r="E94" t="s">
        <v>91</v>
      </c>
      <c r="F94" s="3">
        <v>2847</v>
      </c>
      <c r="G94" s="10">
        <v>95727</v>
      </c>
      <c r="H94" s="122">
        <f>VLOOKUP($C94&amp;$D94,Sales!$A$21:$W$209,23,FALSE)</f>
        <v>104884</v>
      </c>
      <c r="I94" s="3">
        <v>37000</v>
      </c>
      <c r="J94" s="122">
        <f>VLOOKUP($C94&amp;$D94,Sales!$A$21:$W$209,11,FALSE)</f>
        <v>41387</v>
      </c>
      <c r="K94" s="3">
        <v>3038</v>
      </c>
      <c r="L94" s="122">
        <f>VLOOKUP($C94&amp;$D94,Sales!$A$21:$W$209,12,FALSE)</f>
        <v>3092</v>
      </c>
      <c r="M94" s="3">
        <f t="shared" si="49"/>
        <v>12179.065174456879</v>
      </c>
      <c r="N94">
        <v>1</v>
      </c>
      <c r="O94">
        <v>2</v>
      </c>
      <c r="P94">
        <v>3</v>
      </c>
      <c r="Q94" s="3">
        <f t="shared" si="80"/>
        <v>4923.7388106745111</v>
      </c>
      <c r="R94" s="122">
        <f>VLOOKUP($C94&amp;$D94,Sales!$A$21:$W$209,14,FALSE)</f>
        <v>27649</v>
      </c>
      <c r="S94" s="3">
        <v>399</v>
      </c>
      <c r="T94" s="3">
        <f>($G94-$I94)/($S94+$V94*20)*V94*10</f>
        <v>26901.630594662744</v>
      </c>
      <c r="U94" s="122">
        <f>VLOOKUP($C94&amp;$D94,Sales!$A$21:$W$209,17,FALSE)</f>
        <v>35848</v>
      </c>
      <c r="V94" s="3">
        <v>218</v>
      </c>
      <c r="X94" s="27">
        <f t="shared" si="79"/>
        <v>1</v>
      </c>
      <c r="Y94" s="28">
        <v>0.9</v>
      </c>
      <c r="Z94" s="27">
        <f t="shared" si="56"/>
        <v>1</v>
      </c>
      <c r="AA94" s="132">
        <f t="shared" si="57"/>
        <v>1</v>
      </c>
      <c r="AB94" s="27">
        <f t="shared" si="54"/>
        <v>0</v>
      </c>
      <c r="AC94" s="5">
        <f>1.5*$AC$9</f>
        <v>1.5</v>
      </c>
      <c r="AD94">
        <f t="shared" si="81"/>
        <v>0.55000000000000004</v>
      </c>
      <c r="AE94" s="24">
        <f t="shared" si="72"/>
        <v>355.95754259070748</v>
      </c>
      <c r="AF94" s="24">
        <f t="shared" si="58"/>
        <v>553.71173291887817</v>
      </c>
      <c r="AG94" s="24">
        <f t="shared" si="59"/>
        <v>25000</v>
      </c>
      <c r="AH94" s="24">
        <f t="shared" si="60"/>
        <v>275000</v>
      </c>
      <c r="AI94" s="5">
        <f t="shared" si="50"/>
        <v>2.4</v>
      </c>
      <c r="AJ94" s="5">
        <f t="shared" si="51"/>
        <v>0.56100000000000005</v>
      </c>
      <c r="AK94" s="24">
        <f t="shared" si="61"/>
        <v>707.41082634271038</v>
      </c>
      <c r="AL94" s="24">
        <f t="shared" si="62"/>
        <v>830.22520591609759</v>
      </c>
      <c r="AM94" s="24">
        <f t="shared" si="63"/>
        <v>60000</v>
      </c>
      <c r="AN94" s="24">
        <f t="shared" si="64"/>
        <v>320000</v>
      </c>
      <c r="AO94" s="5">
        <f t="shared" si="52"/>
        <v>2.9</v>
      </c>
      <c r="AP94" s="5">
        <f t="shared" si="53"/>
        <v>0.57222000000000006</v>
      </c>
      <c r="AQ94" s="24">
        <f t="shared" si="65"/>
        <v>993.15956739626199</v>
      </c>
      <c r="AR94" s="24">
        <f t="shared" si="66"/>
        <v>1135.854907539403</v>
      </c>
      <c r="AS94" s="24">
        <f t="shared" si="67"/>
        <v>249600</v>
      </c>
      <c r="AT94" s="24">
        <f t="shared" si="68"/>
        <v>499600</v>
      </c>
      <c r="BA94" s="5">
        <f t="shared" si="73"/>
        <v>2.9</v>
      </c>
      <c r="BB94" s="5">
        <f t="shared" si="74"/>
        <v>0.57222000000000006</v>
      </c>
      <c r="BC94" s="24">
        <f t="shared" si="75"/>
        <v>993.15956739626199</v>
      </c>
      <c r="BD94" s="24">
        <f t="shared" si="76"/>
        <v>1135.854907539403</v>
      </c>
      <c r="BE94" s="24">
        <f t="shared" si="77"/>
        <v>249600</v>
      </c>
      <c r="BF94" s="24">
        <f t="shared" si="78"/>
        <v>499600</v>
      </c>
      <c r="BI94" t="str">
        <f>RegionWideSubstations!C94</f>
        <v>Columbia Basin Elec Cooperative, Inc</v>
      </c>
      <c r="BJ94" s="417">
        <f>RegionWideSubstations!AE94/8760</f>
        <v>4.0634422670172088E-2</v>
      </c>
      <c r="BK94" s="416">
        <f>RegionWideSubstations!AF94/8760</f>
        <v>6.3209101931378783E-2</v>
      </c>
      <c r="BL94" s="70">
        <f>(RegionWideSubstations!AK94/8760)-BJ94</f>
        <v>4.01202378712332E-2</v>
      </c>
      <c r="BM94" s="415">
        <f>(RegionWideSubstations!AL94/8760)-BK94</f>
        <v>3.1565464954020489E-2</v>
      </c>
      <c r="BN94" s="70">
        <f>(RegionWideSubstations!AQ94/8760)-BJ94-BL94</f>
        <v>3.2619719298350641E-2</v>
      </c>
      <c r="BO94" s="415">
        <f>(RegionWideSubstations!AR94/8760)-BK94-BM94</f>
        <v>3.4889235345126182E-2</v>
      </c>
      <c r="BP94" s="70">
        <f t="shared" si="69"/>
        <v>1.6289422390769526E-2</v>
      </c>
      <c r="BQ94" s="24">
        <f t="shared" si="70"/>
        <v>0.12966380223052545</v>
      </c>
    </row>
    <row r="95" spans="1:69">
      <c r="A95">
        <f t="shared" si="55"/>
        <v>83</v>
      </c>
      <c r="B95">
        <v>3420</v>
      </c>
      <c r="C95" t="s">
        <v>119</v>
      </c>
      <c r="D95" t="s">
        <v>1</v>
      </c>
      <c r="E95" t="s">
        <v>91</v>
      </c>
      <c r="F95" s="3">
        <v>4526</v>
      </c>
      <c r="G95" s="9">
        <f>+I95</f>
        <v>89999</v>
      </c>
      <c r="H95" s="122">
        <f>VLOOKUP($C95&amp;$D95,Sales!$A$21:$W$209,23,FALSE)</f>
        <v>209056</v>
      </c>
      <c r="I95" s="3">
        <v>89999</v>
      </c>
      <c r="J95" s="122">
        <f>VLOOKUP($C95&amp;$D95,Sales!$A$21:$W$209,11,FALSE)</f>
        <v>96953</v>
      </c>
      <c r="K95" s="3">
        <v>7942</v>
      </c>
      <c r="L95" s="122">
        <f>VLOOKUP($C95&amp;$D95,Sales!$A$21:$W$209,12,FALSE)</f>
        <v>8218</v>
      </c>
      <c r="M95" s="3">
        <f t="shared" si="49"/>
        <v>11332.032233694283</v>
      </c>
      <c r="N95">
        <v>2</v>
      </c>
      <c r="O95">
        <v>2</v>
      </c>
      <c r="P95">
        <v>3</v>
      </c>
      <c r="Q95" s="3"/>
      <c r="R95" s="122">
        <f>VLOOKUP($C95&amp;$D95,Sales!$A$21:$W$209,14,FALSE)</f>
        <v>112103</v>
      </c>
      <c r="T95" s="3"/>
      <c r="U95" s="122">
        <f>VLOOKUP($C95&amp;$D95,Sales!$A$21:$W$209,17,FALSE)</f>
        <v>0</v>
      </c>
      <c r="X95" s="27">
        <f t="shared" si="79"/>
        <v>1</v>
      </c>
      <c r="Y95" s="28">
        <v>0.9</v>
      </c>
      <c r="Z95" s="27">
        <f t="shared" si="56"/>
        <v>1</v>
      </c>
      <c r="AA95" s="132">
        <f t="shared" si="57"/>
        <v>2</v>
      </c>
      <c r="AB95" s="27">
        <f t="shared" si="54"/>
        <v>0</v>
      </c>
      <c r="AC95" s="5">
        <f>1.5*$AC$9</f>
        <v>1.5</v>
      </c>
      <c r="AD95">
        <f t="shared" si="81"/>
        <v>0.55000000000000004</v>
      </c>
      <c r="AE95" s="24">
        <f t="shared" si="72"/>
        <v>953.22912799894254</v>
      </c>
      <c r="AF95" s="24">
        <f t="shared" si="58"/>
        <v>1482.8008657761327</v>
      </c>
      <c r="AG95" s="24">
        <f t="shared" si="59"/>
        <v>50000</v>
      </c>
      <c r="AH95" s="24">
        <f t="shared" si="60"/>
        <v>550000</v>
      </c>
      <c r="AI95" s="5">
        <f t="shared" si="50"/>
        <v>2.4</v>
      </c>
      <c r="AJ95" s="5">
        <f t="shared" si="51"/>
        <v>0.56100000000000005</v>
      </c>
      <c r="AK95" s="24">
        <f t="shared" si="61"/>
        <v>1845.8822877802074</v>
      </c>
      <c r="AL95" s="24">
        <f t="shared" si="62"/>
        <v>2166.3479627420488</v>
      </c>
      <c r="AM95" s="24">
        <f t="shared" si="63"/>
        <v>120000</v>
      </c>
      <c r="AN95" s="24">
        <f t="shared" si="64"/>
        <v>640000</v>
      </c>
      <c r="AO95" s="5">
        <f t="shared" si="52"/>
        <v>2.9</v>
      </c>
      <c r="AP95" s="5">
        <f t="shared" si="53"/>
        <v>0.57222000000000006</v>
      </c>
      <c r="AQ95" s="24">
        <f t="shared" si="65"/>
        <v>2551.6339242635945</v>
      </c>
      <c r="AR95" s="24">
        <f t="shared" si="66"/>
        <v>2918.2479938416973</v>
      </c>
      <c r="AS95" s="24">
        <f t="shared" si="67"/>
        <v>600900</v>
      </c>
      <c r="AT95" s="24">
        <f t="shared" si="68"/>
        <v>1100900</v>
      </c>
      <c r="BA95" s="5">
        <f t="shared" si="73"/>
        <v>2.9</v>
      </c>
      <c r="BB95" s="5">
        <f t="shared" si="74"/>
        <v>0.57222000000000006</v>
      </c>
      <c r="BC95" s="24">
        <f t="shared" si="75"/>
        <v>2551.6339242635945</v>
      </c>
      <c r="BD95" s="24">
        <f t="shared" si="76"/>
        <v>2918.2479938416973</v>
      </c>
      <c r="BE95" s="24">
        <f t="shared" si="77"/>
        <v>600900</v>
      </c>
      <c r="BF95" s="24">
        <f t="shared" si="78"/>
        <v>1100900</v>
      </c>
      <c r="BI95" t="str">
        <f>RegionWideSubstations!C95</f>
        <v>Modern Electric Water Company</v>
      </c>
      <c r="BJ95" s="417">
        <f>RegionWideSubstations!AE95/8760</f>
        <v>0.10881611050216239</v>
      </c>
      <c r="BK95" s="416">
        <f>RegionWideSubstations!AF95/8760</f>
        <v>0.16926950522558593</v>
      </c>
      <c r="BL95" s="70">
        <f>(RegionWideSubstations!AK95/8760)-BJ95</f>
        <v>0.1019010456371307</v>
      </c>
      <c r="BM95" s="415">
        <f>(RegionWideSubstations!AL95/8760)-BK95</f>
        <v>7.8030490521223295E-2</v>
      </c>
      <c r="BN95" s="70">
        <f>(RegionWideSubstations!AQ95/8760)-BJ95-BL95</f>
        <v>8.0565255306322692E-2</v>
      </c>
      <c r="BO95" s="415">
        <f>(RegionWideSubstations!AR95/8760)-BK95-BM95</f>
        <v>8.5833336883521516E-2</v>
      </c>
      <c r="BP95" s="70">
        <f t="shared" si="69"/>
        <v>4.1850921184714951E-2</v>
      </c>
      <c r="BQ95" s="24">
        <f t="shared" si="70"/>
        <v>0.33313333263033074</v>
      </c>
    </row>
    <row r="96" spans="1:69">
      <c r="A96">
        <f t="shared" si="55"/>
        <v>84</v>
      </c>
      <c r="B96">
        <v>20138</v>
      </c>
      <c r="C96" t="s">
        <v>130</v>
      </c>
      <c r="D96" t="s">
        <v>3</v>
      </c>
      <c r="E96" t="s">
        <v>91</v>
      </c>
      <c r="F96" s="3">
        <v>4832</v>
      </c>
      <c r="G96" s="9">
        <f>+I96</f>
        <v>83316</v>
      </c>
      <c r="H96" s="122">
        <f>VLOOKUP($C96&amp;$D96,Sales!$A$21:$W$209,23,FALSE)</f>
        <v>258700</v>
      </c>
      <c r="I96" s="3">
        <v>83316</v>
      </c>
      <c r="J96" s="122">
        <f>VLOOKUP($C96&amp;$D96,Sales!$A$21:$W$209,11,FALSE)</f>
        <v>86074</v>
      </c>
      <c r="K96" s="3">
        <v>3927</v>
      </c>
      <c r="L96" s="122">
        <f>VLOOKUP($C96&amp;$D96,Sales!$A$21:$W$209,12,FALSE)</f>
        <v>4176</v>
      </c>
      <c r="M96" s="3">
        <f t="shared" si="49"/>
        <v>21216.195569136744</v>
      </c>
      <c r="N96">
        <v>2</v>
      </c>
      <c r="O96">
        <v>2</v>
      </c>
      <c r="P96">
        <v>4</v>
      </c>
      <c r="Q96" s="3">
        <f>($G96-$I96)/($S96+$V96*20)*S96</f>
        <v>0</v>
      </c>
      <c r="R96" s="122">
        <f>VLOOKUP($C96&amp;$D96,Sales!$A$21:$W$209,14,FALSE)</f>
        <v>45738</v>
      </c>
      <c r="S96" s="3">
        <v>224</v>
      </c>
      <c r="T96" s="3">
        <f>($G96-$I96)/($S96+$V96*20)*V96*20</f>
        <v>0</v>
      </c>
      <c r="U96" s="122">
        <f>VLOOKUP($C96&amp;$D96,Sales!$A$21:$W$209,17,FALSE)</f>
        <v>126888</v>
      </c>
      <c r="V96" s="3">
        <v>924</v>
      </c>
      <c r="X96" s="27">
        <f t="shared" si="79"/>
        <v>1</v>
      </c>
      <c r="Y96" s="28">
        <v>0.9</v>
      </c>
      <c r="Z96" s="27">
        <f t="shared" si="56"/>
        <v>1</v>
      </c>
      <c r="AA96" s="132">
        <f t="shared" si="57"/>
        <v>1</v>
      </c>
      <c r="AB96" s="27">
        <f t="shared" si="54"/>
        <v>0</v>
      </c>
      <c r="AC96" s="5">
        <f>1.5*$AC$9</f>
        <v>1.5</v>
      </c>
      <c r="AD96">
        <f t="shared" si="81"/>
        <v>0.55000000000000004</v>
      </c>
      <c r="AE96" s="24">
        <f t="shared" si="72"/>
        <v>727.40171083432358</v>
      </c>
      <c r="AF96" s="24">
        <f t="shared" si="58"/>
        <v>1131.5137724089477</v>
      </c>
      <c r="AG96" s="24">
        <f t="shared" si="59"/>
        <v>25000</v>
      </c>
      <c r="AH96" s="24">
        <f t="shared" si="60"/>
        <v>275000</v>
      </c>
      <c r="AI96" s="5">
        <f t="shared" si="50"/>
        <v>2.4</v>
      </c>
      <c r="AJ96" s="5">
        <f t="shared" si="51"/>
        <v>0.56100000000000005</v>
      </c>
      <c r="AK96" s="24">
        <f t="shared" si="61"/>
        <v>1479.0699206082363</v>
      </c>
      <c r="AL96" s="24">
        <f t="shared" si="62"/>
        <v>1735.8528929360552</v>
      </c>
      <c r="AM96" s="24">
        <f t="shared" si="63"/>
        <v>60000</v>
      </c>
      <c r="AN96" s="24">
        <f t="shared" si="64"/>
        <v>320000</v>
      </c>
      <c r="AO96" s="5">
        <f t="shared" si="52"/>
        <v>2.9</v>
      </c>
      <c r="AP96" s="5">
        <f t="shared" si="53"/>
        <v>0.57222000000000006</v>
      </c>
      <c r="AQ96" s="24">
        <f t="shared" si="65"/>
        <v>2110.7801947267308</v>
      </c>
      <c r="AR96" s="24">
        <f t="shared" si="66"/>
        <v>2414.0532112104565</v>
      </c>
      <c r="AS96" s="24">
        <f t="shared" si="67"/>
        <v>303800</v>
      </c>
      <c r="AT96" s="24">
        <f t="shared" si="68"/>
        <v>553800</v>
      </c>
      <c r="BA96" s="5">
        <f t="shared" si="73"/>
        <v>2.9</v>
      </c>
      <c r="BB96" s="5">
        <f t="shared" si="74"/>
        <v>0.57222000000000006</v>
      </c>
      <c r="BC96" s="24">
        <f t="shared" si="75"/>
        <v>2110.7801947267308</v>
      </c>
      <c r="BD96" s="24">
        <f t="shared" si="76"/>
        <v>2414.0532112104565</v>
      </c>
      <c r="BE96" s="24">
        <f t="shared" si="77"/>
        <v>303800</v>
      </c>
      <c r="BF96" s="24">
        <f t="shared" si="78"/>
        <v>553800</v>
      </c>
      <c r="BI96" t="str">
        <f>RegionWideSubstations!C96</f>
        <v>United Electric Co-op, Inc</v>
      </c>
      <c r="BJ96" s="417">
        <f>RegionWideSubstations!AE96/8760</f>
        <v>8.3036724981087162E-2</v>
      </c>
      <c r="BK96" s="416">
        <f>RegionWideSubstations!AF96/8760</f>
        <v>0.1291682388594689</v>
      </c>
      <c r="BL96" s="70">
        <f>(RegionWideSubstations!AK96/8760)-BJ96</f>
        <v>8.5806873261862177E-2</v>
      </c>
      <c r="BM96" s="415">
        <f>(RegionWideSubstations!AL96/8760)-BK96</f>
        <v>6.898848407843694E-2</v>
      </c>
      <c r="BN96" s="70">
        <f>(RegionWideSubstations!AQ96/8760)-BJ96-BL96</f>
        <v>7.2113044990695735E-2</v>
      </c>
      <c r="BO96" s="415">
        <f>(RegionWideSubstations!AR96/8760)-BK96-BM96</f>
        <v>7.7420127656895127E-2</v>
      </c>
      <c r="BP96" s="70">
        <f t="shared" si="69"/>
        <v>3.4620207361155897E-2</v>
      </c>
      <c r="BQ96" s="24">
        <f t="shared" si="70"/>
        <v>0.27557685059480097</v>
      </c>
    </row>
    <row r="97" spans="1:69">
      <c r="A97">
        <f t="shared" si="55"/>
        <v>85</v>
      </c>
      <c r="B97">
        <v>2545</v>
      </c>
      <c r="C97" t="s">
        <v>86</v>
      </c>
      <c r="D97" t="s">
        <v>1</v>
      </c>
      <c r="E97" t="s">
        <v>62</v>
      </c>
      <c r="F97" s="3">
        <v>2473</v>
      </c>
      <c r="G97" s="3">
        <v>82677</v>
      </c>
      <c r="H97" s="122">
        <f>VLOOKUP($C97&amp;$D97,Sales!$A$21:$W$209,23,FALSE)</f>
        <v>103053</v>
      </c>
      <c r="I97" s="3">
        <v>32911</v>
      </c>
      <c r="J97" s="122">
        <f>VLOOKUP($C97&amp;$D97,Sales!$A$21:$W$209,11,FALSE)</f>
        <v>38511</v>
      </c>
      <c r="K97" s="3">
        <v>2703</v>
      </c>
      <c r="L97" s="122">
        <f>VLOOKUP($C97&amp;$D97,Sales!$A$21:$W$209,12,FALSE)</f>
        <v>2829</v>
      </c>
      <c r="M97" s="3">
        <f t="shared" si="49"/>
        <v>12175.730669626342</v>
      </c>
      <c r="N97">
        <v>3</v>
      </c>
      <c r="O97">
        <v>1</v>
      </c>
      <c r="P97">
        <v>3</v>
      </c>
      <c r="Q97" s="3">
        <f>($G97-$I97)/($S97+$V97*20)*S97</f>
        <v>8967.229718189581</v>
      </c>
      <c r="R97" s="122">
        <f>VLOOKUP($C97&amp;$D97,Sales!$A$21:$W$209,14,FALSE)</f>
        <v>9664</v>
      </c>
      <c r="S97" s="3">
        <v>422</v>
      </c>
      <c r="T97" s="3">
        <f>($G97-$I97)/($S97+$V97*20)*V97*10</f>
        <v>20399.385140905211</v>
      </c>
      <c r="U97" s="122">
        <f>VLOOKUP($C97&amp;$D97,Sales!$A$21:$W$209,17,FALSE)</f>
        <v>54878</v>
      </c>
      <c r="V97" s="3">
        <v>96</v>
      </c>
      <c r="X97" s="27">
        <f t="shared" si="79"/>
        <v>1</v>
      </c>
      <c r="Y97" s="28">
        <v>0.9</v>
      </c>
      <c r="Z97" s="27">
        <f t="shared" si="56"/>
        <v>1</v>
      </c>
      <c r="AA97" s="132">
        <f t="shared" si="57"/>
        <v>1</v>
      </c>
      <c r="AB97" s="27">
        <f t="shared" si="54"/>
        <v>0</v>
      </c>
      <c r="AC97" s="5">
        <f>1.5*$AC$9</f>
        <v>1.5</v>
      </c>
      <c r="AD97">
        <f t="shared" si="81"/>
        <v>0.55000000000000004</v>
      </c>
      <c r="AE97" s="24">
        <f t="shared" si="72"/>
        <v>286.99144472815789</v>
      </c>
      <c r="AF97" s="24">
        <f t="shared" si="58"/>
        <v>446.43113624380112</v>
      </c>
      <c r="AG97" s="24">
        <f t="shared" si="59"/>
        <v>25000</v>
      </c>
      <c r="AH97" s="24">
        <f t="shared" si="60"/>
        <v>150000</v>
      </c>
      <c r="AI97" s="5">
        <f t="shared" si="50"/>
        <v>2.4</v>
      </c>
      <c r="AJ97" s="5">
        <f t="shared" si="51"/>
        <v>0.56100000000000005</v>
      </c>
      <c r="AK97" s="24">
        <f t="shared" si="61"/>
        <v>582.06586740240141</v>
      </c>
      <c r="AL97" s="24">
        <f t="shared" si="62"/>
        <v>683.11896938198493</v>
      </c>
      <c r="AM97" s="24">
        <f t="shared" si="63"/>
        <v>60000</v>
      </c>
      <c r="AN97" s="24">
        <f t="shared" si="64"/>
        <v>167500</v>
      </c>
      <c r="AO97" s="5">
        <f t="shared" si="52"/>
        <v>2.9</v>
      </c>
      <c r="AP97" s="5">
        <f t="shared" si="53"/>
        <v>0.57222000000000006</v>
      </c>
      <c r="AQ97" s="24">
        <f t="shared" si="65"/>
        <v>825.31123097938178</v>
      </c>
      <c r="AR97" s="24">
        <f t="shared" si="66"/>
        <v>943.89043083274112</v>
      </c>
      <c r="AS97" s="24">
        <f t="shared" si="67"/>
        <v>236450</v>
      </c>
      <c r="AT97" s="24">
        <f t="shared" si="68"/>
        <v>341450</v>
      </c>
      <c r="BA97" s="5">
        <f t="shared" si="73"/>
        <v>2.9</v>
      </c>
      <c r="BB97" s="5">
        <f t="shared" si="74"/>
        <v>0.57222000000000006</v>
      </c>
      <c r="BC97" s="24">
        <f t="shared" si="75"/>
        <v>825.31123097938178</v>
      </c>
      <c r="BD97" s="24">
        <f t="shared" si="76"/>
        <v>943.89043083274112</v>
      </c>
      <c r="BE97" s="24">
        <f t="shared" si="77"/>
        <v>236450</v>
      </c>
      <c r="BF97" s="24">
        <f t="shared" si="78"/>
        <v>341450</v>
      </c>
      <c r="BI97" t="str">
        <f>RegionWideSubstations!C97</f>
        <v>PUD No 1 of Ferry County</v>
      </c>
      <c r="BJ97" s="417">
        <f>RegionWideSubstations!AE97/8760</f>
        <v>3.2761580448419848E-2</v>
      </c>
      <c r="BK97" s="416">
        <f>RegionWideSubstations!AF97/8760</f>
        <v>5.0962458475319765E-2</v>
      </c>
      <c r="BL97" s="70">
        <f>(RegionWideSubstations!AK97/8760)-BJ97</f>
        <v>3.368429482582689E-2</v>
      </c>
      <c r="BM97" s="415">
        <f>(RegionWideSubstations!AL97/8760)-BK97</f>
        <v>2.7019159034039252E-2</v>
      </c>
      <c r="BN97" s="70">
        <f>(RegionWideSubstations!AQ97/8760)-BJ97-BL97</f>
        <v>2.7767735568148447E-2</v>
      </c>
      <c r="BO97" s="415">
        <f>(RegionWideSubstations!AR97/8760)-BK97-BM97</f>
        <v>2.9768431672460752E-2</v>
      </c>
      <c r="BP97" s="70">
        <f t="shared" si="69"/>
        <v>1.3536438339424584E-2</v>
      </c>
      <c r="BQ97" s="24">
        <f t="shared" si="70"/>
        <v>0.10775004918181977</v>
      </c>
    </row>
    <row r="98" spans="1:69">
      <c r="A98">
        <f t="shared" si="55"/>
        <v>86</v>
      </c>
      <c r="B98">
        <v>12615</v>
      </c>
      <c r="C98" t="s">
        <v>121</v>
      </c>
      <c r="D98" t="s">
        <v>122</v>
      </c>
      <c r="E98" t="s">
        <v>91</v>
      </c>
      <c r="F98" s="3">
        <v>5084</v>
      </c>
      <c r="G98" s="9">
        <f>+I98</f>
        <v>79323</v>
      </c>
      <c r="H98" s="122">
        <f>VLOOKUP($C98&amp;"MT",Sales!$A$21:$W$209,23,FALSE)+VLOOKUP($C98&amp;"ID",Sales!$A$21:$W$209,23,FALSE)</f>
        <v>160673</v>
      </c>
      <c r="I98" s="3">
        <v>79323</v>
      </c>
      <c r="J98" s="122">
        <f>VLOOKUP($C98&amp;"MT",Sales!$A$21:$W$209,11,FALSE)+VLOOKUP($C98&amp;"ID",Sales!$A$21:$W$209,11,FALSE)</f>
        <v>94938</v>
      </c>
      <c r="K98" s="3">
        <v>7057</v>
      </c>
      <c r="L98" s="122">
        <f>VLOOKUP($C98&amp;"MT",Sales!$A$21:$W$209,12,FALSE)+VLOOKUP($C98&amp;"ID",Sales!$A$21:$W$209,12,FALSE)</f>
        <v>7842</v>
      </c>
      <c r="M98" s="3">
        <f t="shared" si="49"/>
        <v>11240.328751594161</v>
      </c>
      <c r="N98">
        <v>3</v>
      </c>
      <c r="O98">
        <v>1</v>
      </c>
      <c r="P98">
        <v>3</v>
      </c>
      <c r="Q98" s="3"/>
      <c r="R98" s="122">
        <f>VLOOKUP($C98&amp;"MT",Sales!$A$21:$W$209,14,FALSE)+VLOOKUP($C98&amp;"ID",Sales!$A$21:$W$209,14,FALSE)</f>
        <v>65735</v>
      </c>
      <c r="T98" s="3"/>
      <c r="U98" s="122">
        <f>VLOOKUP($C98&amp;"MT",Sales!$A$21:$W$209,17,FALSE)+VLOOKUP($C98&amp;"ID",Sales!$A$21:$W$209,17,FALSE)</f>
        <v>0</v>
      </c>
      <c r="X98" s="27">
        <f t="shared" si="79"/>
        <v>1</v>
      </c>
      <c r="Y98" s="28">
        <v>0.9</v>
      </c>
      <c r="Z98" s="27">
        <f t="shared" si="56"/>
        <v>1</v>
      </c>
      <c r="AA98" s="132">
        <f t="shared" si="57"/>
        <v>1</v>
      </c>
      <c r="AB98" s="27">
        <f t="shared" si="54"/>
        <v>0</v>
      </c>
      <c r="AC98" s="5">
        <f>1.5*$AC$9</f>
        <v>1.5</v>
      </c>
      <c r="AD98">
        <f t="shared" si="81"/>
        <v>0.55000000000000004</v>
      </c>
      <c r="AE98" s="24">
        <f t="shared" si="72"/>
        <v>780.70710825024901</v>
      </c>
      <c r="AF98" s="24">
        <f t="shared" si="58"/>
        <v>1214.4332795003872</v>
      </c>
      <c r="AG98" s="24">
        <f t="shared" si="59"/>
        <v>25000</v>
      </c>
      <c r="AH98" s="24">
        <f t="shared" si="60"/>
        <v>275000</v>
      </c>
      <c r="AI98" s="5">
        <f t="shared" si="50"/>
        <v>2.4</v>
      </c>
      <c r="AJ98" s="5">
        <f t="shared" si="51"/>
        <v>0.56100000000000005</v>
      </c>
      <c r="AK98" s="24">
        <f t="shared" si="61"/>
        <v>1495.9887825463043</v>
      </c>
      <c r="AL98" s="24">
        <f t="shared" si="62"/>
        <v>1755.7090572939264</v>
      </c>
      <c r="AM98" s="24">
        <f t="shared" si="63"/>
        <v>60000</v>
      </c>
      <c r="AN98" s="24">
        <f t="shared" si="64"/>
        <v>320000</v>
      </c>
      <c r="AO98" s="5">
        <f t="shared" si="52"/>
        <v>2.9</v>
      </c>
      <c r="AP98" s="5">
        <f t="shared" si="53"/>
        <v>0.57222000000000006</v>
      </c>
      <c r="AQ98" s="24">
        <f t="shared" si="65"/>
        <v>2037.8497046342372</v>
      </c>
      <c r="AR98" s="24">
        <f t="shared" si="66"/>
        <v>2330.6442024265129</v>
      </c>
      <c r="AS98" s="24">
        <f t="shared" si="67"/>
        <v>487100</v>
      </c>
      <c r="AT98" s="24">
        <f t="shared" si="68"/>
        <v>737100</v>
      </c>
      <c r="BA98" s="5">
        <f t="shared" si="73"/>
        <v>2.9</v>
      </c>
      <c r="BB98" s="5">
        <f t="shared" si="74"/>
        <v>0.57222000000000006</v>
      </c>
      <c r="BC98" s="24">
        <f t="shared" si="75"/>
        <v>2037.8497046342372</v>
      </c>
      <c r="BD98" s="24">
        <f t="shared" si="76"/>
        <v>2330.6442024265129</v>
      </c>
      <c r="BE98" s="24">
        <f t="shared" si="77"/>
        <v>487100</v>
      </c>
      <c r="BF98" s="24">
        <f t="shared" si="78"/>
        <v>737100</v>
      </c>
      <c r="BI98" t="str">
        <f>RegionWideSubstations!C98</f>
        <v>Vigilante Electric Coop, Inc</v>
      </c>
      <c r="BJ98" s="417">
        <f>RegionWideSubstations!AE98/8760</f>
        <v>8.9121816010302404E-2</v>
      </c>
      <c r="BK98" s="416">
        <f>RegionWideSubstations!AF98/8760</f>
        <v>0.13863393601602594</v>
      </c>
      <c r="BL98" s="70">
        <f>(RegionWideSubstations!AK98/8760)-BJ98</f>
        <v>8.1653159166216335E-2</v>
      </c>
      <c r="BM98" s="415">
        <f>(RegionWideSubstations!AL98/8760)-BK98</f>
        <v>6.178947235086063E-2</v>
      </c>
      <c r="BN98" s="70">
        <f>(RegionWideSubstations!AQ98/8760)-BJ98-BL98</f>
        <v>6.1856269644741238E-2</v>
      </c>
      <c r="BO98" s="415">
        <f>(RegionWideSubstations!AR98/8760)-BK98-BM98</f>
        <v>6.5631865882715384E-2</v>
      </c>
      <c r="BP98" s="70">
        <f t="shared" si="69"/>
        <v>3.3424029428341995E-2</v>
      </c>
      <c r="BQ98" s="24">
        <f t="shared" si="70"/>
        <v>0.26605527424960196</v>
      </c>
    </row>
    <row r="99" spans="1:69">
      <c r="A99">
        <f t="shared" si="55"/>
        <v>87</v>
      </c>
      <c r="B99">
        <v>12789</v>
      </c>
      <c r="C99" s="67" t="s">
        <v>352</v>
      </c>
      <c r="D99" t="s">
        <v>3</v>
      </c>
      <c r="E99" t="s">
        <v>29</v>
      </c>
      <c r="F99" s="3">
        <v>2317</v>
      </c>
      <c r="G99" s="3">
        <v>77142</v>
      </c>
      <c r="H99" s="122">
        <f>VLOOKUP($C99&amp;$D99,Sales!$A$21:$W$209,23,FALSE)</f>
        <v>73074</v>
      </c>
      <c r="I99" s="3">
        <v>36280</v>
      </c>
      <c r="J99" s="122">
        <f>VLOOKUP($C99&amp;$D99,Sales!$A$21:$W$209,11,FALSE)</f>
        <v>36354</v>
      </c>
      <c r="K99" s="3">
        <v>2337</v>
      </c>
      <c r="L99" s="122">
        <f>VLOOKUP($C99&amp;$D99,Sales!$A$21:$W$209,12,FALSE)</f>
        <v>2380</v>
      </c>
      <c r="M99" s="3">
        <f t="shared" si="49"/>
        <v>15524.176294394523</v>
      </c>
      <c r="N99">
        <v>2</v>
      </c>
      <c r="O99">
        <v>2</v>
      </c>
      <c r="P99">
        <v>4</v>
      </c>
      <c r="Q99" s="3">
        <f>($G99-$I99)/($S99+$V99*20)*S99</f>
        <v>40862</v>
      </c>
      <c r="R99" s="122">
        <f>VLOOKUP($C99&amp;$D99,Sales!$A$21:$W$209,14,FALSE)</f>
        <v>24800</v>
      </c>
      <c r="S99" s="3">
        <v>392</v>
      </c>
      <c r="T99" s="3">
        <f>($G99-$I99)/($S99+$V99*20)*V99*10</f>
        <v>0</v>
      </c>
      <c r="U99" s="122">
        <f>VLOOKUP($C99&amp;$D99,Sales!$A$21:$W$209,17,FALSE)</f>
        <v>11920</v>
      </c>
      <c r="V99" s="3"/>
      <c r="X99" s="27">
        <f t="shared" si="79"/>
        <v>1</v>
      </c>
      <c r="Y99" s="28">
        <v>0.9</v>
      </c>
      <c r="Z99" s="27">
        <f t="shared" si="56"/>
        <v>1</v>
      </c>
      <c r="AA99" s="132">
        <f t="shared" si="57"/>
        <v>1</v>
      </c>
      <c r="AB99" s="27">
        <f t="shared" si="54"/>
        <v>0</v>
      </c>
      <c r="AC99" s="5">
        <f>2*$AC$9</f>
        <v>2</v>
      </c>
      <c r="AD99">
        <f t="shared" si="81"/>
        <v>0.55000000000000004</v>
      </c>
      <c r="AE99" s="24">
        <f t="shared" si="72"/>
        <v>405.35709317600083</v>
      </c>
      <c r="AF99" s="24">
        <f t="shared" si="58"/>
        <v>574.25588199933463</v>
      </c>
      <c r="AG99" s="24">
        <f t="shared" si="59"/>
        <v>25000</v>
      </c>
      <c r="AH99" s="24">
        <f t="shared" si="60"/>
        <v>275000</v>
      </c>
      <c r="AI99" s="5">
        <f t="shared" si="50"/>
        <v>2.9</v>
      </c>
      <c r="AJ99" s="5">
        <f t="shared" si="51"/>
        <v>0.56100000000000005</v>
      </c>
      <c r="AK99" s="24">
        <f t="shared" si="61"/>
        <v>714.08111800016093</v>
      </c>
      <c r="AL99" s="24">
        <f t="shared" si="62"/>
        <v>816.67897978179326</v>
      </c>
      <c r="AM99" s="24">
        <f t="shared" si="63"/>
        <v>60000</v>
      </c>
      <c r="AN99" s="24">
        <f t="shared" si="64"/>
        <v>320000</v>
      </c>
      <c r="AO99" s="5">
        <f t="shared" si="52"/>
        <v>3.4</v>
      </c>
      <c r="AP99" s="5">
        <f t="shared" si="53"/>
        <v>0.57222000000000006</v>
      </c>
      <c r="AQ99" s="24">
        <f t="shared" si="65"/>
        <v>955.28414339156154</v>
      </c>
      <c r="AR99" s="24">
        <f t="shared" si="66"/>
        <v>1072.3532786111157</v>
      </c>
      <c r="AS99" s="24">
        <f t="shared" si="67"/>
        <v>214000</v>
      </c>
      <c r="AT99" s="24">
        <f t="shared" si="68"/>
        <v>464000</v>
      </c>
      <c r="BA99" s="5">
        <f t="shared" si="73"/>
        <v>3.4</v>
      </c>
      <c r="BB99" s="5">
        <f t="shared" si="74"/>
        <v>0.57222000000000006</v>
      </c>
      <c r="BC99" s="24">
        <f t="shared" si="75"/>
        <v>955.28414339156154</v>
      </c>
      <c r="BD99" s="24">
        <f t="shared" si="76"/>
        <v>1072.3532786111157</v>
      </c>
      <c r="BE99" s="24">
        <f t="shared" si="77"/>
        <v>214000</v>
      </c>
      <c r="BF99" s="24">
        <f t="shared" si="78"/>
        <v>464000</v>
      </c>
      <c r="BI99" t="str">
        <f>RegionWideSubstations!C99</f>
        <v>Rupert City of</v>
      </c>
      <c r="BJ99" s="417">
        <f>RegionWideSubstations!AE99/8760</f>
        <v>4.6273640773516075E-2</v>
      </c>
      <c r="BK99" s="416">
        <f>RegionWideSubstations!AF99/8760</f>
        <v>6.5554324429147784E-2</v>
      </c>
      <c r="BL99" s="70">
        <f>(RegionWideSubstations!AK99/8760)-BJ99</f>
        <v>3.5242468587232886E-2</v>
      </c>
      <c r="BM99" s="415">
        <f>(RegionWideSubstations!AL99/8760)-BK99</f>
        <v>2.7673869609869714E-2</v>
      </c>
      <c r="BN99" s="70">
        <f>(RegionWideSubstations!AQ99/8760)-BJ99-BL99</f>
        <v>2.7534591939657613E-2</v>
      </c>
      <c r="BO99" s="415">
        <f>(RegionWideSubstations!AR99/8760)-BK99-BM99</f>
        <v>2.9186563793301645E-2</v>
      </c>
      <c r="BP99" s="70">
        <f t="shared" si="69"/>
        <v>1.3364056531912569E-2</v>
      </c>
      <c r="BQ99" s="24">
        <f t="shared" si="70"/>
        <v>0.12241475783231914</v>
      </c>
    </row>
    <row r="100" spans="1:69">
      <c r="A100">
        <f t="shared" si="55"/>
        <v>88</v>
      </c>
      <c r="B100">
        <v>10326</v>
      </c>
      <c r="C100" t="s">
        <v>134</v>
      </c>
      <c r="D100" t="s">
        <v>5</v>
      </c>
      <c r="E100" t="s">
        <v>91</v>
      </c>
      <c r="F100" s="3">
        <v>3178</v>
      </c>
      <c r="G100" s="3">
        <v>73411</v>
      </c>
      <c r="H100" s="122">
        <f>VLOOKUP($C100&amp;$D100,Sales!$A$21:$W$209,23,FALSE)</f>
        <v>107307</v>
      </c>
      <c r="I100" s="3">
        <v>46912</v>
      </c>
      <c r="J100" s="122">
        <f>VLOOKUP($C100&amp;$D100,Sales!$A$21:$W$209,11,FALSE)</f>
        <v>49264</v>
      </c>
      <c r="K100" s="3">
        <v>3684</v>
      </c>
      <c r="L100" s="122">
        <f>VLOOKUP($C100&amp;$D100,Sales!$A$21:$W$209,12,FALSE)</f>
        <v>3769</v>
      </c>
      <c r="M100" s="3">
        <f t="shared" si="49"/>
        <v>12733.98479913138</v>
      </c>
      <c r="N100">
        <v>2</v>
      </c>
      <c r="O100">
        <v>3</v>
      </c>
      <c r="P100">
        <v>3</v>
      </c>
      <c r="Q100" s="3">
        <f>($G100-$I100)/($S100+$V100*20)*S100</f>
        <v>262.55889908256881</v>
      </c>
      <c r="R100" s="122">
        <f>VLOOKUP($C100&amp;$D100,Sales!$A$21:$W$209,14,FALSE)</f>
        <v>15986</v>
      </c>
      <c r="S100" s="3">
        <v>270</v>
      </c>
      <c r="T100" s="3">
        <f>($G100-$I100)/($S100+$V100*20)*V100*20</f>
        <v>26236.441100917433</v>
      </c>
      <c r="U100" s="122">
        <f>VLOOKUP($C100&amp;$D100,Sales!$A$21:$W$209,17,FALSE)</f>
        <v>42057</v>
      </c>
      <c r="V100" s="3">
        <v>1349</v>
      </c>
      <c r="X100" s="27">
        <f t="shared" si="79"/>
        <v>1</v>
      </c>
      <c r="Y100" s="28">
        <v>0.9</v>
      </c>
      <c r="Z100" s="27">
        <f t="shared" si="56"/>
        <v>1</v>
      </c>
      <c r="AA100" s="132">
        <f t="shared" si="57"/>
        <v>1</v>
      </c>
      <c r="AB100" s="27">
        <f t="shared" si="54"/>
        <v>0</v>
      </c>
      <c r="AC100" s="5">
        <f>1.5*$AC$9</f>
        <v>1.5</v>
      </c>
      <c r="AD100">
        <f t="shared" si="81"/>
        <v>0.55000000000000004</v>
      </c>
      <c r="AE100" s="24">
        <f t="shared" si="72"/>
        <v>364.68629795029671</v>
      </c>
      <c r="AF100" s="24">
        <f t="shared" si="58"/>
        <v>567.28979681157261</v>
      </c>
      <c r="AG100" s="24">
        <f t="shared" si="59"/>
        <v>25000</v>
      </c>
      <c r="AH100" s="24">
        <f t="shared" si="60"/>
        <v>275000</v>
      </c>
      <c r="AI100" s="5">
        <f t="shared" si="50"/>
        <v>2.4</v>
      </c>
      <c r="AJ100" s="5">
        <f t="shared" si="51"/>
        <v>0.56100000000000005</v>
      </c>
      <c r="AK100" s="24">
        <f t="shared" si="61"/>
        <v>721.24977776084813</v>
      </c>
      <c r="AL100" s="24">
        <f t="shared" si="62"/>
        <v>846.46675306655095</v>
      </c>
      <c r="AM100" s="24">
        <f t="shared" si="63"/>
        <v>60000</v>
      </c>
      <c r="AN100" s="24">
        <f t="shared" si="64"/>
        <v>320000</v>
      </c>
      <c r="AO100" s="5">
        <f t="shared" si="52"/>
        <v>2.9</v>
      </c>
      <c r="AP100" s="5">
        <f t="shared" si="53"/>
        <v>0.57222000000000006</v>
      </c>
      <c r="AQ100" s="24">
        <f t="shared" si="65"/>
        <v>1003.1259798801656</v>
      </c>
      <c r="AR100" s="24">
        <f t="shared" si="66"/>
        <v>1147.2532758399593</v>
      </c>
      <c r="AS100" s="24">
        <f t="shared" si="67"/>
        <v>283450</v>
      </c>
      <c r="AT100" s="24">
        <f t="shared" si="68"/>
        <v>533450</v>
      </c>
      <c r="BA100" s="5">
        <f t="shared" si="73"/>
        <v>2.9</v>
      </c>
      <c r="BB100" s="5">
        <f t="shared" si="74"/>
        <v>0.57222000000000006</v>
      </c>
      <c r="BC100" s="24">
        <f t="shared" si="75"/>
        <v>1003.1259798801656</v>
      </c>
      <c r="BD100" s="24">
        <f t="shared" si="76"/>
        <v>1147.2532758399593</v>
      </c>
      <c r="BE100" s="24">
        <f t="shared" si="77"/>
        <v>283450</v>
      </c>
      <c r="BF100" s="24">
        <f t="shared" si="78"/>
        <v>533450</v>
      </c>
      <c r="BI100" t="str">
        <f>RegionWideSubstations!C100</f>
        <v>Wasco Electric Coop, Inc</v>
      </c>
      <c r="BJ100" s="417">
        <f>RegionWideSubstations!AE100/8760</f>
        <v>4.1630855930399169E-2</v>
      </c>
      <c r="BK100" s="416">
        <f>RegionWideSubstations!AF100/8760</f>
        <v>6.4759109225065364E-2</v>
      </c>
      <c r="BL100" s="70">
        <f>(RegionWideSubstations!AK100/8760)-BJ100</f>
        <v>4.070359358567939E-2</v>
      </c>
      <c r="BM100" s="415">
        <f>(RegionWideSubstations!AL100/8760)-BK100</f>
        <v>3.1869515554221267E-2</v>
      </c>
      <c r="BN100" s="70">
        <f>(RegionWideSubstations!AQ100/8760)-BJ100-BL100</f>
        <v>3.2177648643757689E-2</v>
      </c>
      <c r="BO100" s="415">
        <f>(RegionWideSubstations!AR100/8760)-BK100-BM100</f>
        <v>3.4336361047192732E-2</v>
      </c>
      <c r="BP100" s="70">
        <f t="shared" si="69"/>
        <v>1.6452887666643115E-2</v>
      </c>
      <c r="BQ100" s="24">
        <f t="shared" si="70"/>
        <v>0.13096498582647936</v>
      </c>
    </row>
    <row r="101" spans="1:69">
      <c r="A101">
        <f t="shared" si="55"/>
        <v>89</v>
      </c>
      <c r="B101">
        <v>1736</v>
      </c>
      <c r="C101" t="s">
        <v>46</v>
      </c>
      <c r="D101" t="s">
        <v>3</v>
      </c>
      <c r="E101" t="s">
        <v>29</v>
      </c>
      <c r="F101" s="3">
        <v>1274</v>
      </c>
      <c r="G101" s="3">
        <v>70501</v>
      </c>
      <c r="H101" s="122">
        <f>VLOOKUP($C101&amp;$D101,Sales!$A$21:$W$209,23,FALSE)</f>
        <v>66046</v>
      </c>
      <c r="I101" s="3">
        <v>23131</v>
      </c>
      <c r="J101" s="122">
        <f>VLOOKUP($C101&amp;$D101,Sales!$A$21:$W$209,11,FALSE)</f>
        <v>24225.027278916714</v>
      </c>
      <c r="K101" s="3">
        <v>1815</v>
      </c>
      <c r="L101" s="122">
        <f>VLOOKUP($C101&amp;$D101,Sales!$A$21:$W$209,12,FALSE)</f>
        <v>1914</v>
      </c>
      <c r="M101" s="3">
        <f t="shared" ref="M101:M132" si="82">I101/K101*1000</f>
        <v>12744.35261707989</v>
      </c>
      <c r="N101">
        <v>2</v>
      </c>
      <c r="O101">
        <v>1</v>
      </c>
      <c r="P101">
        <v>3</v>
      </c>
      <c r="Q101" s="3">
        <f>($G101-$I101)/($S101+$V101*20)*S101</f>
        <v>27276.680805938493</v>
      </c>
      <c r="R101" s="122">
        <f>VLOOKUP($C101&amp;$D101,Sales!$A$21:$W$209,14,FALSE)</f>
        <v>23244.754550268553</v>
      </c>
      <c r="S101" s="3">
        <v>543</v>
      </c>
      <c r="T101" s="3">
        <f>($G101-$I101)/($S101+$V101*20)*V101*10</f>
        <v>10046.659597030754</v>
      </c>
      <c r="U101" s="122">
        <f>VLOOKUP($C101&amp;$D101,Sales!$A$21:$W$209,17,FALSE)</f>
        <v>18576.218170814736</v>
      </c>
      <c r="V101" s="3">
        <v>20</v>
      </c>
      <c r="X101" s="27">
        <f t="shared" si="79"/>
        <v>1</v>
      </c>
      <c r="Y101" s="28">
        <v>0.9</v>
      </c>
      <c r="Z101" s="27">
        <f t="shared" si="56"/>
        <v>1</v>
      </c>
      <c r="AA101" s="132">
        <f t="shared" si="57"/>
        <v>1</v>
      </c>
      <c r="AB101" s="27">
        <f t="shared" si="54"/>
        <v>0</v>
      </c>
      <c r="AC101" s="5">
        <f>2*$AC$9</f>
        <v>2</v>
      </c>
      <c r="AD101">
        <f t="shared" si="81"/>
        <v>0.55000000000000004</v>
      </c>
      <c r="AE101" s="24">
        <f t="shared" si="72"/>
        <v>308.7395842498704</v>
      </c>
      <c r="AF101" s="24">
        <f t="shared" si="58"/>
        <v>437.38107768731641</v>
      </c>
      <c r="AG101" s="24">
        <f t="shared" si="59"/>
        <v>25000</v>
      </c>
      <c r="AH101" s="24">
        <f t="shared" si="60"/>
        <v>150000</v>
      </c>
      <c r="AI101" s="5">
        <f t="shared" ref="AI101:AI132" si="83">+AC101+0.9</f>
        <v>2.9</v>
      </c>
      <c r="AJ101" s="5">
        <f t="shared" ref="AJ101:AJ132" si="84">+AD101*$AJ$9</f>
        <v>0.56100000000000005</v>
      </c>
      <c r="AK101" s="24">
        <f t="shared" si="61"/>
        <v>555.62856368539371</v>
      </c>
      <c r="AL101" s="24">
        <f t="shared" si="62"/>
        <v>635.46025387007671</v>
      </c>
      <c r="AM101" s="24">
        <f t="shared" si="63"/>
        <v>60000</v>
      </c>
      <c r="AN101" s="24">
        <f t="shared" si="64"/>
        <v>167500</v>
      </c>
      <c r="AO101" s="5">
        <f t="shared" ref="AO101:AO132" si="85">AI101+$AO$9</f>
        <v>3.4</v>
      </c>
      <c r="AP101" s="5">
        <f t="shared" ref="AP101:AP132" si="86">+AJ101*$AP$9</f>
        <v>0.57222000000000006</v>
      </c>
      <c r="AQ101" s="24">
        <f t="shared" si="65"/>
        <v>759.09020142735312</v>
      </c>
      <c r="AR101" s="24">
        <f t="shared" si="66"/>
        <v>852.11596140619542</v>
      </c>
      <c r="AS101" s="24">
        <f t="shared" si="67"/>
        <v>190700</v>
      </c>
      <c r="AT101" s="24">
        <f t="shared" si="68"/>
        <v>295700</v>
      </c>
      <c r="BA101" s="5">
        <f t="shared" si="73"/>
        <v>3.4</v>
      </c>
      <c r="BB101" s="5">
        <f t="shared" si="74"/>
        <v>0.57222000000000006</v>
      </c>
      <c r="BC101" s="24">
        <f t="shared" si="75"/>
        <v>759.09020142735312</v>
      </c>
      <c r="BD101" s="24">
        <f t="shared" si="76"/>
        <v>852.11596140619542</v>
      </c>
      <c r="BE101" s="24">
        <f t="shared" si="77"/>
        <v>190700</v>
      </c>
      <c r="BF101" s="24">
        <f t="shared" si="78"/>
        <v>295700</v>
      </c>
      <c r="BI101" t="str">
        <f>RegionWideSubstations!C101</f>
        <v>City of Bonners Ferry</v>
      </c>
      <c r="BJ101" s="417">
        <f>RegionWideSubstations!AE101/8760</f>
        <v>3.5244244777382465E-2</v>
      </c>
      <c r="BK101" s="416">
        <f>RegionWideSubstations!AF101/8760</f>
        <v>4.9929346767958495E-2</v>
      </c>
      <c r="BL101" s="70">
        <f>(RegionWideSubstations!AK101/8760)-BJ101</f>
        <v>2.818367345154376E-2</v>
      </c>
      <c r="BM101" s="415">
        <f>(RegionWideSubstations!AL101/8760)-BK101</f>
        <v>2.2611778103054835E-2</v>
      </c>
      <c r="BN101" s="70">
        <f>(RegionWideSubstations!AQ101/8760)-BJ101-BL101</f>
        <v>2.3226214354104949E-2</v>
      </c>
      <c r="BO101" s="415">
        <f>(RegionWideSubstations!AR101/8760)-BK101-BM101</f>
        <v>2.4732386705036372E-2</v>
      </c>
      <c r="BP101" s="70">
        <f t="shared" si="69"/>
        <v>1.0619378993018527E-2</v>
      </c>
      <c r="BQ101" s="24">
        <f t="shared" si="70"/>
        <v>9.7273511576049701E-2</v>
      </c>
    </row>
    <row r="102" spans="1:69">
      <c r="A102">
        <f t="shared" si="55"/>
        <v>90</v>
      </c>
      <c r="B102">
        <v>12616</v>
      </c>
      <c r="C102" t="s">
        <v>132</v>
      </c>
      <c r="D102" t="s">
        <v>1</v>
      </c>
      <c r="E102" t="s">
        <v>91</v>
      </c>
      <c r="F102" s="3">
        <v>3770</v>
      </c>
      <c r="G102" s="9">
        <f>+I102</f>
        <v>69585</v>
      </c>
      <c r="H102" s="122">
        <f>VLOOKUP($C102&amp;$D102,Sales!$A$21:$W$209,23,FALSE)</f>
        <v>78082</v>
      </c>
      <c r="I102" s="3">
        <v>69585</v>
      </c>
      <c r="J102" s="122">
        <f>VLOOKUP($C102&amp;$D102,Sales!$A$21:$W$209,11,FALSE)</f>
        <v>74133</v>
      </c>
      <c r="K102" s="3">
        <v>3851</v>
      </c>
      <c r="L102" s="122">
        <f>VLOOKUP($C102&amp;$D102,Sales!$A$21:$W$209,12,FALSE)</f>
        <v>4065</v>
      </c>
      <c r="M102" s="3">
        <f t="shared" si="82"/>
        <v>18069.332640872501</v>
      </c>
      <c r="N102">
        <v>1</v>
      </c>
      <c r="O102">
        <v>1</v>
      </c>
      <c r="P102">
        <v>1</v>
      </c>
      <c r="Q102" s="3"/>
      <c r="R102" s="122">
        <f>VLOOKUP($C102&amp;$D102,Sales!$A$21:$W$209,14,FALSE)</f>
        <v>3897</v>
      </c>
      <c r="T102" s="3"/>
      <c r="U102" s="122">
        <f>VLOOKUP($C102&amp;$D102,Sales!$A$21:$W$209,17,FALSE)</f>
        <v>52</v>
      </c>
      <c r="X102" s="27">
        <f t="shared" si="79"/>
        <v>1</v>
      </c>
      <c r="Y102" s="28">
        <v>0.9</v>
      </c>
      <c r="Z102" s="27">
        <f t="shared" si="56"/>
        <v>1</v>
      </c>
      <c r="AA102" s="132">
        <f t="shared" si="57"/>
        <v>1</v>
      </c>
      <c r="AB102" s="27">
        <f t="shared" si="54"/>
        <v>0</v>
      </c>
      <c r="AC102" s="5">
        <f>1.5*$AC$9</f>
        <v>1.5</v>
      </c>
      <c r="AD102">
        <f t="shared" si="81"/>
        <v>0.55000000000000004</v>
      </c>
      <c r="AE102" s="24">
        <f t="shared" si="72"/>
        <v>445.16642223830922</v>
      </c>
      <c r="AF102" s="24">
        <f t="shared" si="58"/>
        <v>692.48110125959204</v>
      </c>
      <c r="AG102" s="24">
        <f t="shared" si="59"/>
        <v>25000</v>
      </c>
      <c r="AH102" s="24">
        <f t="shared" si="60"/>
        <v>275000</v>
      </c>
      <c r="AI102" s="5">
        <f t="shared" si="83"/>
        <v>2.4</v>
      </c>
      <c r="AJ102" s="5">
        <f t="shared" si="84"/>
        <v>0.56100000000000005</v>
      </c>
      <c r="AK102" s="24">
        <f t="shared" si="61"/>
        <v>832.70070303744012</v>
      </c>
      <c r="AL102" s="24">
        <f t="shared" si="62"/>
        <v>977.26679731477338</v>
      </c>
      <c r="AM102" s="24">
        <f t="shared" si="63"/>
        <v>60000</v>
      </c>
      <c r="AN102" s="24">
        <f t="shared" si="64"/>
        <v>320000</v>
      </c>
      <c r="AO102" s="5">
        <f t="shared" si="85"/>
        <v>2.9</v>
      </c>
      <c r="AP102" s="5">
        <f t="shared" si="86"/>
        <v>0.57222000000000006</v>
      </c>
      <c r="AQ102" s="24">
        <f t="shared" si="65"/>
        <v>1095.1682576651424</v>
      </c>
      <c r="AR102" s="24">
        <f t="shared" si="66"/>
        <v>1252.5200188239271</v>
      </c>
      <c r="AS102" s="24">
        <f t="shared" si="67"/>
        <v>298250</v>
      </c>
      <c r="AT102" s="24">
        <f t="shared" si="68"/>
        <v>548250</v>
      </c>
      <c r="BA102" s="5">
        <f t="shared" si="73"/>
        <v>2.9</v>
      </c>
      <c r="BB102" s="5">
        <f t="shared" si="74"/>
        <v>0.57222000000000006</v>
      </c>
      <c r="BC102" s="24">
        <f t="shared" si="75"/>
        <v>1095.1682576651424</v>
      </c>
      <c r="BD102" s="24">
        <f t="shared" si="76"/>
        <v>1252.5200188239271</v>
      </c>
      <c r="BE102" s="24">
        <f t="shared" si="77"/>
        <v>298250</v>
      </c>
      <c r="BF102" s="24">
        <f t="shared" si="78"/>
        <v>548250</v>
      </c>
      <c r="BI102" t="str">
        <f>RegionWideSubstations!C102</f>
        <v>Ohop Mutual Light Company, Inc</v>
      </c>
      <c r="BJ102" s="417">
        <f>RegionWideSubstations!AE102/8760</f>
        <v>5.0818084730400594E-2</v>
      </c>
      <c r="BK102" s="416">
        <f>RegionWideSubstations!AF102/8760</f>
        <v>7.905035402506759E-2</v>
      </c>
      <c r="BL102" s="70">
        <f>(RegionWideSubstations!AK102/8760)-BJ102</f>
        <v>4.4239073150585721E-2</v>
      </c>
      <c r="BM102" s="415">
        <f>(RegionWideSubstations!AL102/8760)-BK102</f>
        <v>3.2509782654701058E-2</v>
      </c>
      <c r="BN102" s="70">
        <f>(RegionWideSubstations!AQ102/8760)-BJ102-BL102</f>
        <v>2.9962049615034521E-2</v>
      </c>
      <c r="BO102" s="415">
        <f>(RegionWideSubstations!AR102/8760)-BK102-BM102</f>
        <v>3.142160062889883E-2</v>
      </c>
      <c r="BP102" s="70">
        <f t="shared" si="69"/>
        <v>1.7962529812646649E-2</v>
      </c>
      <c r="BQ102" s="24">
        <f t="shared" si="70"/>
        <v>0.14298173730866748</v>
      </c>
    </row>
    <row r="103" spans="1:69">
      <c r="A103">
        <f t="shared" si="55"/>
        <v>91</v>
      </c>
      <c r="B103">
        <v>8830</v>
      </c>
      <c r="C103" t="s">
        <v>45</v>
      </c>
      <c r="D103" t="s">
        <v>1</v>
      </c>
      <c r="E103" t="s">
        <v>29</v>
      </c>
      <c r="F103" s="3">
        <v>1390</v>
      </c>
      <c r="G103" s="3">
        <v>63892</v>
      </c>
      <c r="H103" s="122">
        <f>VLOOKUP($C103&amp;$D103,Sales!$A$21:$W$209,23,FALSE)</f>
        <v>72810</v>
      </c>
      <c r="I103" s="3">
        <v>21123</v>
      </c>
      <c r="J103" s="122">
        <f>VLOOKUP($C103&amp;$D103,Sales!$A$21:$W$209,11,FALSE)</f>
        <v>24042</v>
      </c>
      <c r="K103" s="3">
        <v>2241</v>
      </c>
      <c r="L103" s="122">
        <f>VLOOKUP($C103&amp;$D103,Sales!$A$21:$W$209,12,FALSE)</f>
        <v>2490</v>
      </c>
      <c r="M103" s="3">
        <f t="shared" si="82"/>
        <v>9425.7028112449807</v>
      </c>
      <c r="N103">
        <v>1</v>
      </c>
      <c r="O103">
        <v>1</v>
      </c>
      <c r="P103">
        <v>2</v>
      </c>
      <c r="Q103" s="3">
        <f t="shared" ref="Q103:Q111" si="87">($G103-$I103)/($S103+$V103*20)*S103</f>
        <v>28271.033898305086</v>
      </c>
      <c r="R103" s="122">
        <f>VLOOKUP($C103&amp;$D103,Sales!$A$21:$W$209,14,FALSE)</f>
        <v>39249</v>
      </c>
      <c r="S103" s="3">
        <v>507</v>
      </c>
      <c r="T103" s="3">
        <f>($G103-$I103)/($S103+$V103*20)*V103*10</f>
        <v>7248.9830508474588</v>
      </c>
      <c r="U103" s="122">
        <f>VLOOKUP($C103&amp;$D103,Sales!$A$21:$W$209,17,FALSE)</f>
        <v>9519</v>
      </c>
      <c r="V103" s="3">
        <v>13</v>
      </c>
      <c r="X103" s="27">
        <f t="shared" si="79"/>
        <v>1</v>
      </c>
      <c r="Y103" s="28">
        <v>0.9</v>
      </c>
      <c r="Z103" s="27">
        <f t="shared" si="56"/>
        <v>1</v>
      </c>
      <c r="AA103" s="132">
        <f t="shared" si="57"/>
        <v>1</v>
      </c>
      <c r="AB103" s="27">
        <f t="shared" si="54"/>
        <v>0</v>
      </c>
      <c r="AC103" s="5">
        <f>2*$AC$9</f>
        <v>2</v>
      </c>
      <c r="AD103">
        <f t="shared" si="81"/>
        <v>0.55000000000000004</v>
      </c>
      <c r="AE103" s="24">
        <f t="shared" si="72"/>
        <v>374.87768785394525</v>
      </c>
      <c r="AF103" s="24">
        <f t="shared" si="58"/>
        <v>531.07672445975584</v>
      </c>
      <c r="AG103" s="24">
        <f t="shared" si="59"/>
        <v>25000</v>
      </c>
      <c r="AH103" s="24">
        <f t="shared" si="60"/>
        <v>275000</v>
      </c>
      <c r="AI103" s="5">
        <f t="shared" si="83"/>
        <v>2.9</v>
      </c>
      <c r="AJ103" s="5">
        <f t="shared" si="84"/>
        <v>0.56100000000000005</v>
      </c>
      <c r="AK103" s="24">
        <f t="shared" si="61"/>
        <v>670.98500928273688</v>
      </c>
      <c r="AL103" s="24">
        <f t="shared" si="62"/>
        <v>767.39090142106102</v>
      </c>
      <c r="AM103" s="24">
        <f t="shared" si="63"/>
        <v>60000</v>
      </c>
      <c r="AN103" s="24">
        <f t="shared" si="64"/>
        <v>320000</v>
      </c>
      <c r="AO103" s="5">
        <f t="shared" si="85"/>
        <v>3.4</v>
      </c>
      <c r="AP103" s="5">
        <f t="shared" si="86"/>
        <v>0.57222000000000006</v>
      </c>
      <c r="AQ103" s="24">
        <f t="shared" si="65"/>
        <v>918.1933584101447</v>
      </c>
      <c r="AR103" s="24">
        <f t="shared" si="66"/>
        <v>1030.7170542937411</v>
      </c>
      <c r="AS103" s="24">
        <f t="shared" si="67"/>
        <v>219500</v>
      </c>
      <c r="AT103" s="24">
        <f t="shared" si="68"/>
        <v>469500</v>
      </c>
      <c r="BA103" s="5">
        <f t="shared" si="73"/>
        <v>3.4</v>
      </c>
      <c r="BB103" s="5">
        <f t="shared" si="74"/>
        <v>0.57222000000000006</v>
      </c>
      <c r="BC103" s="24">
        <f t="shared" si="75"/>
        <v>918.1933584101447</v>
      </c>
      <c r="BD103" s="24">
        <f t="shared" si="76"/>
        <v>1030.7170542937411</v>
      </c>
      <c r="BE103" s="24">
        <f t="shared" si="77"/>
        <v>219500</v>
      </c>
      <c r="BF103" s="24">
        <f t="shared" si="78"/>
        <v>469500</v>
      </c>
      <c r="BI103" t="str">
        <f>RegionWideSubstations!C103</f>
        <v>City of Blaine</v>
      </c>
      <c r="BJ103" s="417">
        <f>RegionWideSubstations!AE103/8760</f>
        <v>4.279425660433165E-2</v>
      </c>
      <c r="BK103" s="416">
        <f>RegionWideSubstations!AF103/8760</f>
        <v>6.0625196856136508E-2</v>
      </c>
      <c r="BL103" s="70">
        <f>(RegionWideSubstations!AK103/8760)-BJ103</f>
        <v>3.3802205642556128E-2</v>
      </c>
      <c r="BM103" s="415">
        <f>(RegionWideSubstations!AL103/8760)-BK103</f>
        <v>2.6976504219327076E-2</v>
      </c>
      <c r="BN103" s="70">
        <f>(RegionWideSubstations!AQ103/8760)-BJ103-BL103</f>
        <v>2.8220131178927826E-2</v>
      </c>
      <c r="BO103" s="415">
        <f>(RegionWideSubstations!AR103/8760)-BK103-BM103</f>
        <v>3.0060063113319643E-2</v>
      </c>
      <c r="BP103" s="70">
        <f t="shared" si="69"/>
        <v>1.2845170762967623E-2</v>
      </c>
      <c r="BQ103" s="24">
        <f t="shared" si="70"/>
        <v>0.11766176418878323</v>
      </c>
    </row>
    <row r="104" spans="1:69">
      <c r="A104">
        <f t="shared" si="55"/>
        <v>92</v>
      </c>
      <c r="B104">
        <v>9186</v>
      </c>
      <c r="C104" t="s">
        <v>85</v>
      </c>
      <c r="D104" t="s">
        <v>1</v>
      </c>
      <c r="E104" t="s">
        <v>62</v>
      </c>
      <c r="F104" s="3">
        <v>3473</v>
      </c>
      <c r="G104" s="3">
        <v>61843</v>
      </c>
      <c r="H104" s="122">
        <f>VLOOKUP($C104&amp;$D104,Sales!$A$21:$W$209,23,FALSE)</f>
        <v>92446</v>
      </c>
      <c r="I104" s="3">
        <v>44314</v>
      </c>
      <c r="J104" s="122">
        <f>VLOOKUP($C104&amp;$D104,Sales!$A$21:$W$209,11,FALSE)</f>
        <v>56179.824430750981</v>
      </c>
      <c r="K104" s="3">
        <v>3259</v>
      </c>
      <c r="L104" s="122">
        <f>VLOOKUP($C104&amp;$D104,Sales!$A$21:$W$209,12,FALSE)</f>
        <v>3503.0762924163059</v>
      </c>
      <c r="M104" s="3">
        <f t="shared" si="82"/>
        <v>13597.422522246088</v>
      </c>
      <c r="N104">
        <v>2</v>
      </c>
      <c r="O104">
        <v>3</v>
      </c>
      <c r="P104">
        <v>3</v>
      </c>
      <c r="Q104" s="3">
        <f t="shared" si="87"/>
        <v>1515.3825873697119</v>
      </c>
      <c r="R104" s="122">
        <f>VLOOKUP($C104&amp;$D104,Sales!$A$21:$W$209,14,FALSE)</f>
        <v>29453.638206961699</v>
      </c>
      <c r="S104" s="3">
        <v>282</v>
      </c>
      <c r="T104" s="3">
        <f>($G104-$I104)/($S104+$V104*20)*V104*20</f>
        <v>16013.61741263029</v>
      </c>
      <c r="U104" s="122">
        <f>VLOOKUP($C104&amp;$D104,Sales!$A$21:$W$209,17,FALSE)</f>
        <v>6812.5373622873212</v>
      </c>
      <c r="V104" s="3">
        <v>149</v>
      </c>
      <c r="X104" s="27">
        <f t="shared" si="79"/>
        <v>1</v>
      </c>
      <c r="Y104" s="28">
        <v>0.9</v>
      </c>
      <c r="Z104" s="27">
        <f t="shared" si="56"/>
        <v>1</v>
      </c>
      <c r="AA104" s="132">
        <f t="shared" si="57"/>
        <v>1</v>
      </c>
      <c r="AB104" s="27">
        <f t="shared" si="54"/>
        <v>0</v>
      </c>
      <c r="AC104" s="5">
        <f>1.5*$AC$9</f>
        <v>1.5</v>
      </c>
      <c r="AD104">
        <f t="shared" si="81"/>
        <v>0.55000000000000004</v>
      </c>
      <c r="AE104" s="24">
        <f t="shared" si="72"/>
        <v>432.86434497553842</v>
      </c>
      <c r="AF104" s="24">
        <f t="shared" si="58"/>
        <v>673.34453662861529</v>
      </c>
      <c r="AG104" s="24">
        <f t="shared" si="59"/>
        <v>25000</v>
      </c>
      <c r="AH104" s="24">
        <f t="shared" si="60"/>
        <v>275000</v>
      </c>
      <c r="AI104" s="5">
        <f t="shared" si="83"/>
        <v>2.4</v>
      </c>
      <c r="AJ104" s="5">
        <f t="shared" si="84"/>
        <v>0.56100000000000005</v>
      </c>
      <c r="AK104" s="24">
        <f t="shared" si="61"/>
        <v>830.29363627118221</v>
      </c>
      <c r="AL104" s="24">
        <f t="shared" si="62"/>
        <v>974.44183701270697</v>
      </c>
      <c r="AM104" s="24">
        <f t="shared" si="63"/>
        <v>60000</v>
      </c>
      <c r="AN104" s="24">
        <f t="shared" si="64"/>
        <v>320000</v>
      </c>
      <c r="AO104" s="5">
        <f t="shared" si="85"/>
        <v>2.9</v>
      </c>
      <c r="AP104" s="5">
        <f t="shared" si="86"/>
        <v>0.57222000000000006</v>
      </c>
      <c r="AQ104" s="24">
        <f t="shared" si="65"/>
        <v>1128.9978436838417</v>
      </c>
      <c r="AR104" s="24">
        <f t="shared" si="66"/>
        <v>1291.2101775464625</v>
      </c>
      <c r="AS104" s="24">
        <f t="shared" si="67"/>
        <v>270153.81462081533</v>
      </c>
      <c r="AT104" s="24">
        <f t="shared" si="68"/>
        <v>520153.81462081533</v>
      </c>
      <c r="BA104" s="5">
        <f t="shared" si="73"/>
        <v>2.9</v>
      </c>
      <c r="BB104" s="5">
        <f t="shared" si="74"/>
        <v>0.57222000000000006</v>
      </c>
      <c r="BC104" s="24">
        <f t="shared" si="75"/>
        <v>1128.9978436838417</v>
      </c>
      <c r="BD104" s="24">
        <f t="shared" si="76"/>
        <v>1291.2101775464625</v>
      </c>
      <c r="BE104" s="24">
        <f t="shared" si="77"/>
        <v>270153.81462081533</v>
      </c>
      <c r="BF104" s="24">
        <f t="shared" si="78"/>
        <v>520153.81462081533</v>
      </c>
      <c r="BI104" t="str">
        <f>RegionWideSubstations!C104</f>
        <v>PUD No 1 of Kittitas County</v>
      </c>
      <c r="BJ104" s="417">
        <f>RegionWideSubstations!AE104/8760</f>
        <v>4.9413738010906212E-2</v>
      </c>
      <c r="BK104" s="416">
        <f>RegionWideSubstations!AF104/8760</f>
        <v>7.6865814683631878E-2</v>
      </c>
      <c r="BL104" s="70">
        <f>(RegionWideSubstations!AK104/8760)-BJ104</f>
        <v>4.536864055886345E-2</v>
      </c>
      <c r="BM104" s="415">
        <f>(RegionWideSubstations!AL104/8760)-BK104</f>
        <v>3.4371837943389466E-2</v>
      </c>
      <c r="BN104" s="70">
        <f>(RegionWideSubstations!AQ104/8760)-BJ104-BL104</f>
        <v>3.4098653814230544E-2</v>
      </c>
      <c r="BO104" s="415">
        <f>(RegionWideSubstations!AR104/8760)-BK104-BM104</f>
        <v>3.6160769467323689E-2</v>
      </c>
      <c r="BP104" s="70">
        <f t="shared" si="69"/>
        <v>1.8517389710344834E-2</v>
      </c>
      <c r="BQ104" s="24">
        <f t="shared" si="70"/>
        <v>0.14739842209434503</v>
      </c>
    </row>
    <row r="105" spans="1:69">
      <c r="A105">
        <f t="shared" si="55"/>
        <v>93</v>
      </c>
      <c r="B105">
        <v>4005</v>
      </c>
      <c r="C105" t="s">
        <v>83</v>
      </c>
      <c r="D105" t="s">
        <v>1</v>
      </c>
      <c r="E105" t="s">
        <v>62</v>
      </c>
      <c r="F105" s="3">
        <v>3878</v>
      </c>
      <c r="G105" s="3">
        <v>61825</v>
      </c>
      <c r="H105" s="122">
        <f>VLOOKUP($C105&amp;$D105,Sales!$A$21:$W$209,23,FALSE)</f>
        <v>75261</v>
      </c>
      <c r="I105" s="3">
        <v>47960</v>
      </c>
      <c r="J105" s="122">
        <f>VLOOKUP($C105&amp;$D105,Sales!$A$21:$W$209,11,FALSE)</f>
        <v>59327.573883020261</v>
      </c>
      <c r="K105" s="3">
        <v>4501</v>
      </c>
      <c r="L105" s="122">
        <f>VLOOKUP($C105&amp;$D105,Sales!$A$21:$W$209,12,FALSE)</f>
        <v>4657.3341135166766</v>
      </c>
      <c r="M105" s="3">
        <f t="shared" si="82"/>
        <v>10655.409908909132</v>
      </c>
      <c r="N105">
        <v>1</v>
      </c>
      <c r="O105">
        <v>1</v>
      </c>
      <c r="P105">
        <v>1</v>
      </c>
      <c r="Q105" s="3">
        <f t="shared" si="87"/>
        <v>13865</v>
      </c>
      <c r="R105" s="122">
        <f>VLOOKUP($C105&amp;$D105,Sales!$A$21:$W$209,14,FALSE)</f>
        <v>15933.426116979737</v>
      </c>
      <c r="S105" s="3">
        <v>430</v>
      </c>
      <c r="T105" s="3">
        <f>($G105-$I105)/($S105+$V105*20)*V105*10</f>
        <v>0</v>
      </c>
      <c r="U105" s="122">
        <f>VLOOKUP($C105&amp;$D105,Sales!$A$21:$W$209,17,FALSE)</f>
        <v>0</v>
      </c>
      <c r="V105" s="3"/>
      <c r="X105" s="27">
        <f t="shared" si="79"/>
        <v>1</v>
      </c>
      <c r="Y105" s="28">
        <v>0.9</v>
      </c>
      <c r="Z105" s="27">
        <f t="shared" si="56"/>
        <v>1</v>
      </c>
      <c r="AA105" s="132">
        <f t="shared" si="57"/>
        <v>1</v>
      </c>
      <c r="AB105" s="27">
        <f t="shared" si="54"/>
        <v>0</v>
      </c>
      <c r="AC105" s="5">
        <f>1.5*$AC$9</f>
        <v>1.5</v>
      </c>
      <c r="AD105">
        <f t="shared" si="81"/>
        <v>0.55000000000000004</v>
      </c>
      <c r="AE105" s="24">
        <f t="shared" si="72"/>
        <v>400.67561383513544</v>
      </c>
      <c r="AF105" s="24">
        <f t="shared" si="58"/>
        <v>623.27317707687723</v>
      </c>
      <c r="AG105" s="24">
        <f t="shared" si="59"/>
        <v>25000</v>
      </c>
      <c r="AH105" s="24">
        <f t="shared" si="60"/>
        <v>275000</v>
      </c>
      <c r="AI105" s="5">
        <f t="shared" si="83"/>
        <v>2.4</v>
      </c>
      <c r="AJ105" s="5">
        <f t="shared" si="84"/>
        <v>0.56100000000000005</v>
      </c>
      <c r="AK105" s="24">
        <f t="shared" si="61"/>
        <v>756.97851120770019</v>
      </c>
      <c r="AL105" s="24">
        <f t="shared" si="62"/>
        <v>888.39839162570365</v>
      </c>
      <c r="AM105" s="24">
        <f t="shared" si="63"/>
        <v>60000</v>
      </c>
      <c r="AN105" s="24">
        <f t="shared" si="64"/>
        <v>320000</v>
      </c>
      <c r="AO105" s="5">
        <f t="shared" si="85"/>
        <v>2.9</v>
      </c>
      <c r="AP105" s="5">
        <f t="shared" si="86"/>
        <v>0.57222000000000006</v>
      </c>
      <c r="AQ105" s="24">
        <f t="shared" si="65"/>
        <v>1010.3886195663089</v>
      </c>
      <c r="AR105" s="24">
        <f t="shared" si="66"/>
        <v>1155.559398239629</v>
      </c>
      <c r="AS105" s="24">
        <f t="shared" si="67"/>
        <v>327866.70567583386</v>
      </c>
      <c r="AT105" s="24">
        <f t="shared" si="68"/>
        <v>577866.70567583386</v>
      </c>
      <c r="BA105" s="5">
        <f t="shared" si="73"/>
        <v>2.9</v>
      </c>
      <c r="BB105" s="5">
        <f t="shared" si="74"/>
        <v>0.57222000000000006</v>
      </c>
      <c r="BC105" s="24">
        <f t="shared" si="75"/>
        <v>1010.3886195663089</v>
      </c>
      <c r="BD105" s="24">
        <f t="shared" si="76"/>
        <v>1155.559398239629</v>
      </c>
      <c r="BE105" s="24">
        <f t="shared" si="77"/>
        <v>327866.70567583386</v>
      </c>
      <c r="BF105" s="24">
        <f t="shared" si="78"/>
        <v>577866.70567583386</v>
      </c>
      <c r="BI105" t="str">
        <f>RegionWideSubstations!C105</f>
        <v>PUD No 1 of Mason County</v>
      </c>
      <c r="BJ105" s="417">
        <f>RegionWideSubstations!AE105/8760</f>
        <v>4.5739225323645598E-2</v>
      </c>
      <c r="BK105" s="416">
        <f>RegionWideSubstations!AF105/8760</f>
        <v>7.1149906059004245E-2</v>
      </c>
      <c r="BL105" s="70">
        <f>(RegionWideSubstations!AK105/8760)-BJ105</f>
        <v>4.0673846732027945E-2</v>
      </c>
      <c r="BM105" s="415">
        <f>(RegionWideSubstations!AL105/8760)-BK105</f>
        <v>3.0265435450779282E-2</v>
      </c>
      <c r="BN105" s="70">
        <f>(RegionWideSubstations!AQ105/8760)-BJ105-BL105</f>
        <v>2.8928094561484992E-2</v>
      </c>
      <c r="BO105" s="415">
        <f>(RegionWideSubstations!AR105/8760)-BK105-BM105</f>
        <v>3.0497831805242612E-2</v>
      </c>
      <c r="BP105" s="70">
        <f t="shared" si="69"/>
        <v>1.6572006697867597E-2</v>
      </c>
      <c r="BQ105" s="24">
        <f t="shared" si="70"/>
        <v>0.13191317331502614</v>
      </c>
    </row>
    <row r="106" spans="1:69">
      <c r="A106">
        <f t="shared" si="55"/>
        <v>94</v>
      </c>
      <c r="B106">
        <v>22814</v>
      </c>
      <c r="C106" t="s">
        <v>129</v>
      </c>
      <c r="D106" t="s">
        <v>5</v>
      </c>
      <c r="E106" t="s">
        <v>91</v>
      </c>
      <c r="F106" s="3">
        <v>5543</v>
      </c>
      <c r="G106" s="3">
        <v>61194</v>
      </c>
      <c r="H106" s="122">
        <f>VLOOKUP($C106&amp;$D106,Sales!$A$21:$W$209,23,FALSE)</f>
        <v>68195</v>
      </c>
      <c r="I106" s="3">
        <v>49161</v>
      </c>
      <c r="J106" s="122">
        <f>VLOOKUP($C106&amp;$D106,Sales!$A$21:$W$209,11,FALSE)</f>
        <v>53372.287175979152</v>
      </c>
      <c r="K106" s="3">
        <v>3938</v>
      </c>
      <c r="L106" s="122">
        <f>VLOOKUP($C106&amp;$D106,Sales!$A$21:$W$209,12,FALSE)</f>
        <v>3922.7832558139535</v>
      </c>
      <c r="M106" s="3">
        <f t="shared" si="82"/>
        <v>12483.748095479939</v>
      </c>
      <c r="N106">
        <v>1</v>
      </c>
      <c r="O106">
        <v>1</v>
      </c>
      <c r="P106">
        <v>2</v>
      </c>
      <c r="Q106" s="3">
        <f t="shared" si="87"/>
        <v>5850.9082568807335</v>
      </c>
      <c r="R106" s="122">
        <f>VLOOKUP($C106&amp;$D106,Sales!$A$21:$W$209,14,FALSE)</f>
        <v>5319.0650879823024</v>
      </c>
      <c r="S106" s="3">
        <v>265</v>
      </c>
      <c r="T106" s="3">
        <f>($G106-$I106)/($S106+$V106*20)*V106*20</f>
        <v>6182.0917431192665</v>
      </c>
      <c r="U106" s="122">
        <f>VLOOKUP($C106&amp;$D106,Sales!$A$21:$W$209,17,FALSE)</f>
        <v>9503.6477360385397</v>
      </c>
      <c r="V106" s="3">
        <v>14</v>
      </c>
      <c r="X106" s="27">
        <f t="shared" si="79"/>
        <v>1</v>
      </c>
      <c r="Y106" s="28">
        <v>0.9</v>
      </c>
      <c r="Z106" s="27">
        <f t="shared" si="56"/>
        <v>1</v>
      </c>
      <c r="AA106" s="132">
        <f t="shared" si="57"/>
        <v>1</v>
      </c>
      <c r="AB106" s="27">
        <f t="shared" si="54"/>
        <v>0</v>
      </c>
      <c r="AC106" s="5">
        <f>1.5*$AC$9</f>
        <v>1.5</v>
      </c>
      <c r="AD106">
        <f t="shared" si="81"/>
        <v>0.55000000000000004</v>
      </c>
      <c r="AE106" s="24">
        <f t="shared" si="72"/>
        <v>334.26136320809042</v>
      </c>
      <c r="AF106" s="24">
        <f t="shared" si="58"/>
        <v>519.96212054591831</v>
      </c>
      <c r="AG106" s="24">
        <f t="shared" si="59"/>
        <v>25000</v>
      </c>
      <c r="AH106" s="24">
        <f t="shared" si="60"/>
        <v>150000</v>
      </c>
      <c r="AI106" s="5">
        <f t="shared" si="83"/>
        <v>2.4</v>
      </c>
      <c r="AJ106" s="5">
        <f t="shared" si="84"/>
        <v>0.56100000000000005</v>
      </c>
      <c r="AK106" s="24">
        <f t="shared" si="61"/>
        <v>633.75789548325838</v>
      </c>
      <c r="AL106" s="24">
        <f t="shared" si="62"/>
        <v>743.78530789354625</v>
      </c>
      <c r="AM106" s="24">
        <f t="shared" si="63"/>
        <v>60000</v>
      </c>
      <c r="AN106" s="24">
        <f t="shared" si="64"/>
        <v>167500</v>
      </c>
      <c r="AO106" s="5">
        <f t="shared" si="85"/>
        <v>2.9</v>
      </c>
      <c r="AP106" s="5">
        <f t="shared" si="86"/>
        <v>0.57222000000000006</v>
      </c>
      <c r="AQ106" s="24">
        <f t="shared" si="65"/>
        <v>845.21977360508129</v>
      </c>
      <c r="AR106" s="24">
        <f t="shared" si="66"/>
        <v>966.65939624948942</v>
      </c>
      <c r="AS106" s="24">
        <f t="shared" si="67"/>
        <v>291139.16279069765</v>
      </c>
      <c r="AT106" s="24">
        <f t="shared" si="68"/>
        <v>396139.16279069765</v>
      </c>
      <c r="BA106" s="5">
        <f t="shared" si="73"/>
        <v>2.9</v>
      </c>
      <c r="BB106" s="5">
        <f t="shared" si="74"/>
        <v>0.57222000000000006</v>
      </c>
      <c r="BC106" s="24">
        <f t="shared" si="75"/>
        <v>845.21977360508129</v>
      </c>
      <c r="BD106" s="24">
        <f t="shared" si="76"/>
        <v>966.65939624948942</v>
      </c>
      <c r="BE106" s="24">
        <f t="shared" si="77"/>
        <v>291139.16279069765</v>
      </c>
      <c r="BF106" s="24">
        <f t="shared" si="78"/>
        <v>396139.16279069765</v>
      </c>
      <c r="BI106" t="str">
        <f>RegionWideSubstations!C106</f>
        <v>West Oregon Electric Coop Inc</v>
      </c>
      <c r="BJ106" s="417">
        <f>RegionWideSubstations!AE106/8760</f>
        <v>3.8157689863937264E-2</v>
      </c>
      <c r="BK106" s="416">
        <f>RegionWideSubstations!AF106/8760</f>
        <v>5.9356406455013506E-2</v>
      </c>
      <c r="BL106" s="70">
        <f>(RegionWideSubstations!AK106/8760)-BJ106</f>
        <v>3.4189101857895879E-2</v>
      </c>
      <c r="BM106" s="415">
        <f>(RegionWideSubstations!AL106/8760)-BK106</f>
        <v>2.5550592162971224E-2</v>
      </c>
      <c r="BN106" s="70">
        <f>(RegionWideSubstations!AQ106/8760)-BJ106-BL106</f>
        <v>2.4139483803861064E-2</v>
      </c>
      <c r="BO106" s="415">
        <f>(RegionWideSubstations!AR106/8760)-BK106-BM106</f>
        <v>2.5442247529217255E-2</v>
      </c>
      <c r="BP106" s="70">
        <f t="shared" si="69"/>
        <v>1.3862970621507778E-2</v>
      </c>
      <c r="BQ106" s="24">
        <f t="shared" si="70"/>
        <v>0.11034924614720198</v>
      </c>
    </row>
    <row r="107" spans="1:69">
      <c r="A107">
        <f t="shared" si="55"/>
        <v>95</v>
      </c>
      <c r="B107">
        <v>14074</v>
      </c>
      <c r="C107" t="s">
        <v>42</v>
      </c>
      <c r="D107" t="s">
        <v>5</v>
      </c>
      <c r="E107" t="s">
        <v>29</v>
      </c>
      <c r="F107" s="3">
        <v>2149</v>
      </c>
      <c r="G107" s="3">
        <v>58511</v>
      </c>
      <c r="H107" s="122">
        <f>VLOOKUP($C107&amp;$D107,Sales!$A$21:$W$209,23,FALSE)</f>
        <v>63804</v>
      </c>
      <c r="I107" s="3">
        <v>31794</v>
      </c>
      <c r="J107" s="122">
        <f>VLOOKUP($C107&amp;$D107,Sales!$A$21:$W$209,11,FALSE)</f>
        <v>34629</v>
      </c>
      <c r="K107" s="3">
        <v>2731</v>
      </c>
      <c r="L107" s="122">
        <f>VLOOKUP($C107&amp;$D107,Sales!$A$21:$W$209,12,FALSE)</f>
        <v>2781</v>
      </c>
      <c r="M107" s="3">
        <f t="shared" si="82"/>
        <v>11641.889417795679</v>
      </c>
      <c r="N107">
        <v>1</v>
      </c>
      <c r="O107">
        <v>1</v>
      </c>
      <c r="P107">
        <v>3</v>
      </c>
      <c r="Q107" s="3">
        <f t="shared" si="87"/>
        <v>23209.297592997813</v>
      </c>
      <c r="R107" s="122">
        <f>VLOOKUP($C107&amp;$D107,Sales!$A$21:$W$209,14,FALSE)</f>
        <v>27842</v>
      </c>
      <c r="S107" s="3">
        <v>397</v>
      </c>
      <c r="T107" s="3">
        <f>($G107-$I107)/($S107+$V107*20)*V107*10</f>
        <v>1753.8512035010942</v>
      </c>
      <c r="U107" s="122">
        <f>VLOOKUP($C107&amp;$D107,Sales!$A$21:$W$209,17,FALSE)</f>
        <v>1333</v>
      </c>
      <c r="V107" s="3">
        <v>3</v>
      </c>
      <c r="X107" s="27">
        <v>3</v>
      </c>
      <c r="Y107" s="28">
        <v>0.9</v>
      </c>
      <c r="Z107" s="27">
        <f t="shared" si="56"/>
        <v>3</v>
      </c>
      <c r="AA107" s="132">
        <f t="shared" si="57"/>
        <v>1</v>
      </c>
      <c r="AB107" s="27">
        <f t="shared" si="54"/>
        <v>0</v>
      </c>
      <c r="AC107" s="5">
        <f>2*$AC$9</f>
        <v>2</v>
      </c>
      <c r="AD107">
        <f t="shared" si="81"/>
        <v>0.55000000000000004</v>
      </c>
      <c r="AE107" s="24">
        <f t="shared" si="72"/>
        <v>398.50517985037413</v>
      </c>
      <c r="AF107" s="24">
        <f t="shared" si="58"/>
        <v>564.54900478803006</v>
      </c>
      <c r="AG107" s="24">
        <f t="shared" si="59"/>
        <v>25000</v>
      </c>
      <c r="AH107" s="24">
        <f t="shared" si="60"/>
        <v>275000</v>
      </c>
      <c r="AI107" s="5">
        <f t="shared" si="83"/>
        <v>2.9</v>
      </c>
      <c r="AJ107" s="5">
        <f t="shared" si="84"/>
        <v>0.56100000000000005</v>
      </c>
      <c r="AK107" s="24">
        <f t="shared" si="61"/>
        <v>695.18794082250326</v>
      </c>
      <c r="AL107" s="24">
        <f t="shared" si="62"/>
        <v>795.0712656533226</v>
      </c>
      <c r="AM107" s="24">
        <f t="shared" si="63"/>
        <v>60000</v>
      </c>
      <c r="AN107" s="24">
        <f t="shared" si="64"/>
        <v>320000</v>
      </c>
      <c r="AO107" s="5">
        <f t="shared" si="85"/>
        <v>3.4</v>
      </c>
      <c r="AP107" s="5">
        <f t="shared" si="86"/>
        <v>0.57222000000000006</v>
      </c>
      <c r="AQ107" s="24">
        <f t="shared" si="65"/>
        <v>923.90749867840827</v>
      </c>
      <c r="AR107" s="24">
        <f t="shared" si="66"/>
        <v>1037.1314568497819</v>
      </c>
      <c r="AS107" s="24">
        <f t="shared" si="67"/>
        <v>234050</v>
      </c>
      <c r="AT107" s="24">
        <f t="shared" si="68"/>
        <v>484050</v>
      </c>
      <c r="BA107" s="5">
        <f t="shared" si="73"/>
        <v>3.4</v>
      </c>
      <c r="BB107" s="5">
        <f t="shared" si="74"/>
        <v>0.57222000000000006</v>
      </c>
      <c r="BC107" s="24">
        <f t="shared" si="75"/>
        <v>923.90749867840827</v>
      </c>
      <c r="BD107" s="24">
        <f t="shared" si="76"/>
        <v>1037.1314568497819</v>
      </c>
      <c r="BE107" s="24">
        <f t="shared" si="77"/>
        <v>234050</v>
      </c>
      <c r="BF107" s="24">
        <f t="shared" si="78"/>
        <v>484050</v>
      </c>
      <c r="BI107" t="str">
        <f>RegionWideSubstations!C107</f>
        <v>City of Bandon</v>
      </c>
      <c r="BJ107" s="417">
        <f>RegionWideSubstations!AE107/8760</f>
        <v>4.5491458887029011E-2</v>
      </c>
      <c r="BK107" s="416">
        <f>RegionWideSubstations!AF107/8760</f>
        <v>6.4446233423291102E-2</v>
      </c>
      <c r="BL107" s="70">
        <f>(RegionWideSubstations!AK107/8760)-BJ107</f>
        <v>3.3867895088142592E-2</v>
      </c>
      <c r="BM107" s="415">
        <f>(RegionWideSubstations!AL107/8760)-BK107</f>
        <v>2.631532658279595E-2</v>
      </c>
      <c r="BN107" s="70">
        <f>(RegionWideSubstations!AQ107/8760)-BJ107-BL107</f>
        <v>2.6109538568025684E-2</v>
      </c>
      <c r="BO107" s="415">
        <f>(RegionWideSubstations!AR107/8760)-BK107-BM107</f>
        <v>2.7632441917404035E-2</v>
      </c>
      <c r="BP107" s="70">
        <f t="shared" si="69"/>
        <v>1.2925109380293801E-2</v>
      </c>
      <c r="BQ107" s="24">
        <f t="shared" si="70"/>
        <v>0.11839400192349109</v>
      </c>
    </row>
    <row r="108" spans="1:69">
      <c r="A108">
        <f t="shared" si="55"/>
        <v>96</v>
      </c>
      <c r="B108">
        <v>1176</v>
      </c>
      <c r="C108" t="s">
        <v>41</v>
      </c>
      <c r="D108" t="s">
        <v>1</v>
      </c>
      <c r="E108" t="s">
        <v>29</v>
      </c>
      <c r="F108" s="3">
        <v>2385</v>
      </c>
      <c r="G108" s="3">
        <v>57670</v>
      </c>
      <c r="H108" s="122">
        <f>VLOOKUP($C108&amp;$D108,Sales!$A$21:$W$209,23,FALSE)</f>
        <v>58995</v>
      </c>
      <c r="I108" s="3">
        <v>39390</v>
      </c>
      <c r="J108" s="122">
        <f>VLOOKUP($C108&amp;$D108,Sales!$A$21:$W$209,11,FALSE)</f>
        <v>41313.93656192725</v>
      </c>
      <c r="K108" s="3">
        <v>3153</v>
      </c>
      <c r="L108" s="122">
        <f>VLOOKUP($C108&amp;$D108,Sales!$A$21:$W$209,12,FALSE)</f>
        <v>3193.5769457547171</v>
      </c>
      <c r="M108" s="3">
        <f t="shared" si="82"/>
        <v>12492.863939105615</v>
      </c>
      <c r="N108">
        <v>1</v>
      </c>
      <c r="O108">
        <v>1</v>
      </c>
      <c r="P108">
        <v>1</v>
      </c>
      <c r="Q108" s="3">
        <f t="shared" si="87"/>
        <v>18280</v>
      </c>
      <c r="R108" s="122">
        <f>VLOOKUP($C108&amp;$D108,Sales!$A$21:$W$209,14,FALSE)</f>
        <v>17681.06343807275</v>
      </c>
      <c r="S108" s="3">
        <v>179</v>
      </c>
      <c r="T108" s="3">
        <f>($G108-$I108)/($S108+$V108*20)*V108*10</f>
        <v>0</v>
      </c>
      <c r="U108" s="122">
        <f>VLOOKUP($C108&amp;$D108,Sales!$A$21:$W$209,17,FALSE)</f>
        <v>0</v>
      </c>
      <c r="V108" s="3"/>
      <c r="X108" s="27">
        <f t="shared" ref="X108:X142" si="88">IF(G108&lt;$X$11,1,G108/$X$11)</f>
        <v>1</v>
      </c>
      <c r="Y108" s="28">
        <v>0.9</v>
      </c>
      <c r="Z108" s="27">
        <f t="shared" si="56"/>
        <v>1</v>
      </c>
      <c r="AA108" s="132">
        <f t="shared" si="57"/>
        <v>1</v>
      </c>
      <c r="AB108" s="27">
        <f t="shared" si="54"/>
        <v>0</v>
      </c>
      <c r="AC108" s="5">
        <f>2*$AC$9</f>
        <v>2</v>
      </c>
      <c r="AD108">
        <f t="shared" si="81"/>
        <v>0.55000000000000004</v>
      </c>
      <c r="AE108" s="24">
        <f t="shared" si="72"/>
        <v>402.4732772005849</v>
      </c>
      <c r="AF108" s="24">
        <f t="shared" si="58"/>
        <v>570.17047603416199</v>
      </c>
      <c r="AG108" s="24">
        <f t="shared" si="59"/>
        <v>25000</v>
      </c>
      <c r="AH108" s="24">
        <f t="shared" si="60"/>
        <v>150000</v>
      </c>
      <c r="AI108" s="5">
        <f t="shared" si="83"/>
        <v>2.9</v>
      </c>
      <c r="AJ108" s="5">
        <f t="shared" si="84"/>
        <v>0.56100000000000005</v>
      </c>
      <c r="AK108" s="24">
        <f t="shared" si="61"/>
        <v>693.24929277111175</v>
      </c>
      <c r="AL108" s="24">
        <f t="shared" si="62"/>
        <v>792.85407621523711</v>
      </c>
      <c r="AM108" s="24">
        <f t="shared" si="63"/>
        <v>60000</v>
      </c>
      <c r="AN108" s="24">
        <f t="shared" si="64"/>
        <v>167500</v>
      </c>
      <c r="AO108" s="5">
        <f t="shared" si="85"/>
        <v>3.4</v>
      </c>
      <c r="AP108" s="5">
        <f t="shared" si="86"/>
        <v>0.57222000000000006</v>
      </c>
      <c r="AQ108" s="24">
        <f t="shared" si="65"/>
        <v>905.69629031397631</v>
      </c>
      <c r="AR108" s="24">
        <f t="shared" si="66"/>
        <v>1016.6884827544146</v>
      </c>
      <c r="AS108" s="24">
        <f t="shared" si="67"/>
        <v>254678.84728773584</v>
      </c>
      <c r="AT108" s="24">
        <f t="shared" si="68"/>
        <v>359678.84728773584</v>
      </c>
      <c r="BA108" s="5">
        <f t="shared" si="73"/>
        <v>3.4</v>
      </c>
      <c r="BB108" s="5">
        <f t="shared" si="74"/>
        <v>0.57222000000000006</v>
      </c>
      <c r="BC108" s="24">
        <f t="shared" si="75"/>
        <v>905.69629031397631</v>
      </c>
      <c r="BD108" s="24">
        <f t="shared" si="76"/>
        <v>1016.6884827544146</v>
      </c>
      <c r="BE108" s="24">
        <f t="shared" si="77"/>
        <v>254678.84728773584</v>
      </c>
      <c r="BF108" s="24">
        <f t="shared" si="78"/>
        <v>359678.84728773584</v>
      </c>
      <c r="BI108" t="str">
        <f>RegionWideSubstations!C108</f>
        <v>City of Milton</v>
      </c>
      <c r="BJ108" s="417">
        <f>RegionWideSubstations!AE108/8760</f>
        <v>4.5944438036596452E-2</v>
      </c>
      <c r="BK108" s="416">
        <f>RegionWideSubstations!AF108/8760</f>
        <v>6.508795388517831E-2</v>
      </c>
      <c r="BL108" s="70">
        <f>(RegionWideSubstations!AK108/8760)-BJ108</f>
        <v>3.3193609083393472E-2</v>
      </c>
      <c r="BM108" s="415">
        <f>(RegionWideSubstations!AL108/8760)-BK108</f>
        <v>2.5420502303775697E-2</v>
      </c>
      <c r="BN108" s="70">
        <f>(RegionWideSubstations!AQ108/8760)-BJ108-BL108</f>
        <v>2.4251940358774496E-2</v>
      </c>
      <c r="BO108" s="415">
        <f>(RegionWideSubstations!AR108/8760)-BK108-BM108</f>
        <v>2.5551872892600178E-2</v>
      </c>
      <c r="BP108" s="70">
        <f t="shared" si="69"/>
        <v>1.2670341602789764E-2</v>
      </c>
      <c r="BQ108" s="24">
        <f t="shared" si="70"/>
        <v>0.11606032908155418</v>
      </c>
    </row>
    <row r="109" spans="1:69">
      <c r="A109">
        <f t="shared" si="55"/>
        <v>97</v>
      </c>
      <c r="B109">
        <v>6297</v>
      </c>
      <c r="C109" t="s">
        <v>44</v>
      </c>
      <c r="D109" t="s">
        <v>3</v>
      </c>
      <c r="E109" t="s">
        <v>29</v>
      </c>
      <c r="F109" s="3">
        <v>469</v>
      </c>
      <c r="G109" s="3">
        <v>55949</v>
      </c>
      <c r="H109" s="122">
        <f>VLOOKUP($C109&amp;$D109,Sales!$A$21:$W$209,23,FALSE)</f>
        <v>49236</v>
      </c>
      <c r="I109" s="3">
        <v>24636</v>
      </c>
      <c r="J109" s="122">
        <f>VLOOKUP($C109&amp;$D109,Sales!$A$21:$W$209,11,FALSE)</f>
        <v>25177.688858884499</v>
      </c>
      <c r="K109" s="3">
        <v>2399</v>
      </c>
      <c r="L109" s="122">
        <f>VLOOKUP($C109&amp;$D109,Sales!$A$21:$W$209,12,FALSE)</f>
        <v>2405.8453038674033</v>
      </c>
      <c r="M109" s="3">
        <f t="shared" si="82"/>
        <v>10269.278866194247</v>
      </c>
      <c r="N109">
        <v>2</v>
      </c>
      <c r="O109">
        <v>2</v>
      </c>
      <c r="P109">
        <v>4</v>
      </c>
      <c r="Q109" s="3">
        <f t="shared" si="87"/>
        <v>29715.397959183672</v>
      </c>
      <c r="R109" s="122">
        <f>VLOOKUP($C109&amp;$D109,Sales!$A$21:$W$209,14,FALSE)</f>
        <v>14221.4739392014</v>
      </c>
      <c r="S109" s="3">
        <v>372</v>
      </c>
      <c r="T109" s="3">
        <f>($G109-$I109)/($S109+$V109*20)*V109*10</f>
        <v>798.80102040816325</v>
      </c>
      <c r="U109" s="122">
        <f>VLOOKUP($C109&amp;$D109,Sales!$A$21:$W$209,17,FALSE)</f>
        <v>9836.8372019141043</v>
      </c>
      <c r="V109" s="3">
        <v>1</v>
      </c>
      <c r="X109" s="27">
        <f t="shared" si="88"/>
        <v>1</v>
      </c>
      <c r="Y109" s="28">
        <v>0.9</v>
      </c>
      <c r="Z109" s="27">
        <f t="shared" si="56"/>
        <v>1</v>
      </c>
      <c r="AA109" s="132">
        <f t="shared" si="57"/>
        <v>1</v>
      </c>
      <c r="AB109" s="27">
        <f t="shared" ref="AB109:AB140" si="89">+X109-Z109</f>
        <v>0</v>
      </c>
      <c r="AC109" s="5">
        <f>2*$AC$9</f>
        <v>2</v>
      </c>
      <c r="AD109">
        <f t="shared" si="81"/>
        <v>0.55000000000000004</v>
      </c>
      <c r="AE109" s="24">
        <f t="shared" si="72"/>
        <v>268.2029609223423</v>
      </c>
      <c r="AF109" s="24">
        <f t="shared" si="58"/>
        <v>0</v>
      </c>
      <c r="AG109" s="24">
        <f t="shared" si="59"/>
        <v>15000</v>
      </c>
      <c r="AH109" s="24">
        <f t="shared" si="60"/>
        <v>0</v>
      </c>
      <c r="AI109" s="5">
        <f t="shared" si="83"/>
        <v>2.9</v>
      </c>
      <c r="AJ109" s="5">
        <f t="shared" si="84"/>
        <v>0.56100000000000005</v>
      </c>
      <c r="AK109" s="24">
        <f t="shared" si="61"/>
        <v>472.62362867685852</v>
      </c>
      <c r="AL109" s="24">
        <f t="shared" si="62"/>
        <v>0</v>
      </c>
      <c r="AM109" s="24">
        <f t="shared" si="63"/>
        <v>32500</v>
      </c>
      <c r="AN109" s="24">
        <f t="shared" si="64"/>
        <v>0</v>
      </c>
      <c r="AO109" s="5">
        <f t="shared" si="85"/>
        <v>3.4</v>
      </c>
      <c r="AP109" s="5">
        <f t="shared" si="86"/>
        <v>0.57222000000000006</v>
      </c>
      <c r="AQ109" s="24">
        <f t="shared" si="65"/>
        <v>631.32729387530276</v>
      </c>
      <c r="AR109" s="24">
        <f t="shared" si="66"/>
        <v>0</v>
      </c>
      <c r="AS109" s="24">
        <f t="shared" si="67"/>
        <v>170292.26519337017</v>
      </c>
      <c r="AT109" s="24">
        <f t="shared" si="68"/>
        <v>0</v>
      </c>
      <c r="BA109" s="5">
        <f t="shared" si="73"/>
        <v>3.4</v>
      </c>
      <c r="BB109" s="5">
        <f t="shared" si="74"/>
        <v>0.57222000000000006</v>
      </c>
      <c r="BC109" s="24">
        <f t="shared" si="75"/>
        <v>631.32729387530276</v>
      </c>
      <c r="BD109" s="24">
        <f t="shared" si="76"/>
        <v>0</v>
      </c>
      <c r="BE109" s="24">
        <f t="shared" si="77"/>
        <v>170292.26519337017</v>
      </c>
      <c r="BF109" s="24">
        <f t="shared" si="78"/>
        <v>0</v>
      </c>
      <c r="BI109" t="str">
        <f>RegionWideSubstations!C109</f>
        <v>City of Weiser</v>
      </c>
      <c r="BJ109" s="417">
        <f>RegionWideSubstations!AE109/8760</f>
        <v>3.061677636099798E-2</v>
      </c>
      <c r="BK109" s="416">
        <f>RegionWideSubstations!AF109/8760</f>
        <v>0</v>
      </c>
      <c r="BL109" s="70">
        <f>(RegionWideSubstations!AK109/8760)-BJ109</f>
        <v>2.3335692666040665E-2</v>
      </c>
      <c r="BM109" s="415">
        <f>(RegionWideSubstations!AL109/8760)-BK109</f>
        <v>0</v>
      </c>
      <c r="BN109" s="70">
        <f>(RegionWideSubstations!AQ109/8760)-BJ109-BL109</f>
        <v>1.8116856757813264E-2</v>
      </c>
      <c r="BO109" s="415">
        <f>(RegionWideSubstations!AR109/8760)-BK109-BM109</f>
        <v>0</v>
      </c>
      <c r="BP109" s="70">
        <f t="shared" si="69"/>
        <v>-7.2069325784851909E-2</v>
      </c>
      <c r="BQ109" s="24">
        <f t="shared" si="70"/>
        <v>0</v>
      </c>
    </row>
    <row r="110" spans="1:69">
      <c r="A110">
        <f t="shared" ref="A110:A142" si="90">A109+1</f>
        <v>98</v>
      </c>
      <c r="B110">
        <v>18051</v>
      </c>
      <c r="C110" t="s">
        <v>40</v>
      </c>
      <c r="D110" t="s">
        <v>5</v>
      </c>
      <c r="E110" t="s">
        <v>29</v>
      </c>
      <c r="F110" s="3">
        <v>2604</v>
      </c>
      <c r="G110" s="3">
        <v>55718</v>
      </c>
      <c r="H110" s="122">
        <f>VLOOKUP($C110&amp;$D110,Sales!$A$21:$W$209,23,FALSE)</f>
        <v>69319</v>
      </c>
      <c r="I110" s="3">
        <v>34470</v>
      </c>
      <c r="J110" s="122">
        <f>VLOOKUP($C110&amp;$D110,Sales!$A$21:$W$209,11,FALSE)</f>
        <v>43642</v>
      </c>
      <c r="K110" s="3">
        <v>3419</v>
      </c>
      <c r="L110" s="122">
        <f>VLOOKUP($C110&amp;$D110,Sales!$A$21:$W$209,12,FALSE)</f>
        <v>3994</v>
      </c>
      <c r="M110" s="3">
        <f t="shared" si="82"/>
        <v>10081.895291020766</v>
      </c>
      <c r="N110">
        <v>1</v>
      </c>
      <c r="O110">
        <v>2</v>
      </c>
      <c r="P110">
        <v>2</v>
      </c>
      <c r="Q110" s="3">
        <f t="shared" si="87"/>
        <v>2858.7002360346187</v>
      </c>
      <c r="R110" s="122">
        <f>VLOOKUP($C110&amp;$D110,Sales!$A$21:$W$209,14,FALSE)</f>
        <v>3758</v>
      </c>
      <c r="S110" s="3">
        <v>171</v>
      </c>
      <c r="T110" s="3">
        <f>($G110-$I110)/($S110+$V110*20)*V110*20</f>
        <v>18389.299763965384</v>
      </c>
      <c r="U110" s="122">
        <f>VLOOKUP($C110&amp;$D110,Sales!$A$21:$W$209,17,FALSE)</f>
        <v>21919</v>
      </c>
      <c r="V110" s="3">
        <v>55</v>
      </c>
      <c r="X110" s="27">
        <f t="shared" si="88"/>
        <v>1</v>
      </c>
      <c r="Y110" s="28">
        <v>0.9</v>
      </c>
      <c r="Z110" s="27">
        <f t="shared" si="56"/>
        <v>1</v>
      </c>
      <c r="AA110" s="132">
        <f t="shared" si="57"/>
        <v>1</v>
      </c>
      <c r="AB110" s="27">
        <f t="shared" si="89"/>
        <v>0</v>
      </c>
      <c r="AC110" s="5">
        <f>2*$AC$9</f>
        <v>2</v>
      </c>
      <c r="AD110">
        <f t="shared" si="81"/>
        <v>0.55000000000000004</v>
      </c>
      <c r="AE110" s="24">
        <f t="shared" si="72"/>
        <v>371.75235561474591</v>
      </c>
      <c r="AF110" s="24">
        <f t="shared" si="58"/>
        <v>526.64917045422339</v>
      </c>
      <c r="AG110" s="24">
        <f t="shared" si="59"/>
        <v>25000</v>
      </c>
      <c r="AH110" s="24">
        <f t="shared" si="60"/>
        <v>150000</v>
      </c>
      <c r="AI110" s="5">
        <f t="shared" si="83"/>
        <v>2.9</v>
      </c>
      <c r="AJ110" s="5">
        <f t="shared" si="84"/>
        <v>0.56100000000000005</v>
      </c>
      <c r="AK110" s="24">
        <f t="shared" si="61"/>
        <v>650.87299211145637</v>
      </c>
      <c r="AL110" s="24">
        <f t="shared" si="62"/>
        <v>744.38922661022877</v>
      </c>
      <c r="AM110" s="24">
        <f t="shared" si="63"/>
        <v>60000</v>
      </c>
      <c r="AN110" s="24">
        <f t="shared" si="64"/>
        <v>167500</v>
      </c>
      <c r="AO110" s="5">
        <f t="shared" si="85"/>
        <v>3.4</v>
      </c>
      <c r="AP110" s="5">
        <f t="shared" si="86"/>
        <v>0.57222000000000006</v>
      </c>
      <c r="AQ110" s="24">
        <f t="shared" si="65"/>
        <v>856.3961175635618</v>
      </c>
      <c r="AR110" s="24">
        <f t="shared" si="66"/>
        <v>961.34662216693948</v>
      </c>
      <c r="AS110" s="24">
        <f t="shared" si="67"/>
        <v>294700</v>
      </c>
      <c r="AT110" s="24">
        <f t="shared" si="68"/>
        <v>399700</v>
      </c>
      <c r="BA110" s="5">
        <f t="shared" si="73"/>
        <v>3.4</v>
      </c>
      <c r="BB110" s="5">
        <f t="shared" si="74"/>
        <v>0.57222000000000006</v>
      </c>
      <c r="BC110" s="24">
        <f t="shared" si="75"/>
        <v>856.3961175635618</v>
      </c>
      <c r="BD110" s="24">
        <f t="shared" si="76"/>
        <v>961.34662216693948</v>
      </c>
      <c r="BE110" s="24">
        <f t="shared" si="77"/>
        <v>294700</v>
      </c>
      <c r="BF110" s="24">
        <f t="shared" si="78"/>
        <v>399700</v>
      </c>
      <c r="BI110" t="str">
        <f>RegionWideSubstations!C110</f>
        <v>City of Monmouth</v>
      </c>
      <c r="BJ110" s="417">
        <f>RegionWideSubstations!AE110/8760</f>
        <v>4.2437483517665055E-2</v>
      </c>
      <c r="BK110" s="416">
        <f>RegionWideSubstations!AF110/8760</f>
        <v>6.011976831669217E-2</v>
      </c>
      <c r="BL110" s="70">
        <f>(RegionWideSubstations!AK110/8760)-BJ110</f>
        <v>3.1863086358071981E-2</v>
      </c>
      <c r="BM110" s="415">
        <f>(RegionWideSubstations!AL110/8760)-BK110</f>
        <v>2.485617079406454E-2</v>
      </c>
      <c r="BN110" s="70">
        <f>(RegionWideSubstations!AQ110/8760)-BJ110-BL110</f>
        <v>2.3461544001381895E-2</v>
      </c>
      <c r="BO110" s="415">
        <f>(RegionWideSubstations!AR110/8760)-BK110-BM110</f>
        <v>2.4766825976793458E-2</v>
      </c>
      <c r="BP110" s="70">
        <f t="shared" si="69"/>
        <v>1.1980651210431237E-2</v>
      </c>
      <c r="BQ110" s="24">
        <f t="shared" si="70"/>
        <v>0.10974276508755017</v>
      </c>
    </row>
    <row r="111" spans="1:69">
      <c r="A111">
        <f t="shared" si="90"/>
        <v>99</v>
      </c>
      <c r="B111">
        <v>4041</v>
      </c>
      <c r="C111" t="s">
        <v>51</v>
      </c>
      <c r="D111" t="s">
        <v>1</v>
      </c>
      <c r="E111" t="s">
        <v>29</v>
      </c>
      <c r="F111" s="3">
        <v>557</v>
      </c>
      <c r="G111" s="3">
        <v>55683</v>
      </c>
      <c r="H111" s="126">
        <f>G111*SUM(H$13:H$53,H$55:H$64,H$66:H$70,H$72:H$76,H$78:H$110,H$112:H$114,H$117:H$121,H$123:H$142)/SUM(G$13:G$53,G$55:G$64,G$66:G$70,G$72:G$76,G$78:G$110,G$112:G$114,G$117:G$121,G$123:G$142)</f>
        <v>59652.292521289957</v>
      </c>
      <c r="I111" s="3">
        <v>19327</v>
      </c>
      <c r="J111" s="126">
        <f>I111*SUM(J$13:J$53,J$55:J$64,J$66:J$70,J$72:J$76,J$78:J$110,J$112:J$114,J$117:J$121,J$123:J$142)/SUM(I$13:I$53,I$55:I$64,I$66:I$70,I$72:I$76,I$78:I$110,I$112:I$114,I$117:I$121,I$123:I$142)</f>
        <v>20751.57124207067</v>
      </c>
      <c r="K111" s="3">
        <v>950</v>
      </c>
      <c r="L111" s="126">
        <f>K111*SUM(L$13:L$53,L$55:L$64,L$66:L$70,L$72:L$76,L$78:L$110,L$112:L$114,L$117:L$121,L$123:L$142)/SUM(K$13:K$53,K$55:K$64,K$66:K$70,K$72:K$76,K$78:K$110,K$112:K$114,K$117:K$121,K$123:K$142)</f>
        <v>1021.3284716688594</v>
      </c>
      <c r="M111" s="3">
        <f t="shared" si="82"/>
        <v>20344.210526315786</v>
      </c>
      <c r="N111">
        <v>2</v>
      </c>
      <c r="O111">
        <v>3</v>
      </c>
      <c r="P111">
        <v>3</v>
      </c>
      <c r="Q111" s="3">
        <f t="shared" si="87"/>
        <v>17624.571428571428</v>
      </c>
      <c r="R111" s="126">
        <f>Q111*H111/G111</f>
        <v>18880.916804401917</v>
      </c>
      <c r="S111" s="3">
        <v>207</v>
      </c>
      <c r="T111" s="3">
        <f>($G111-$I111)/($S111+$V111*20)*V111*20</f>
        <v>18731.428571428572</v>
      </c>
      <c r="U111" s="126">
        <f>H111-J111-R111</f>
        <v>20019.804474817371</v>
      </c>
      <c r="V111" s="3">
        <v>11</v>
      </c>
      <c r="X111" s="27">
        <f t="shared" si="88"/>
        <v>1</v>
      </c>
      <c r="Y111" s="28">
        <v>0.9</v>
      </c>
      <c r="Z111" s="27">
        <f t="shared" si="56"/>
        <v>1</v>
      </c>
      <c r="AA111" s="132">
        <f t="shared" si="57"/>
        <v>1</v>
      </c>
      <c r="AB111" s="27">
        <f t="shared" si="89"/>
        <v>0</v>
      </c>
      <c r="AC111" s="5">
        <f>2*$AC$9</f>
        <v>2</v>
      </c>
      <c r="AD111">
        <f t="shared" si="81"/>
        <v>0.55000000000000004</v>
      </c>
      <c r="AE111" s="24">
        <f t="shared" si="72"/>
        <v>262.62441791806174</v>
      </c>
      <c r="AF111" s="24">
        <f t="shared" si="58"/>
        <v>0</v>
      </c>
      <c r="AG111" s="24">
        <f t="shared" si="59"/>
        <v>15000</v>
      </c>
      <c r="AH111" s="24">
        <f t="shared" si="60"/>
        <v>0</v>
      </c>
      <c r="AI111" s="5">
        <f t="shared" si="83"/>
        <v>2.9</v>
      </c>
      <c r="AJ111" s="5">
        <f t="shared" si="84"/>
        <v>0.56100000000000005</v>
      </c>
      <c r="AK111" s="24">
        <f t="shared" si="61"/>
        <v>475.78434616202867</v>
      </c>
      <c r="AL111" s="24">
        <f t="shared" si="62"/>
        <v>0</v>
      </c>
      <c r="AM111" s="24">
        <f t="shared" si="63"/>
        <v>32500</v>
      </c>
      <c r="AN111" s="24">
        <f t="shared" si="64"/>
        <v>0</v>
      </c>
      <c r="AO111" s="5">
        <f t="shared" si="85"/>
        <v>3.4</v>
      </c>
      <c r="AP111" s="5">
        <f t="shared" si="86"/>
        <v>0.57222000000000006</v>
      </c>
      <c r="AQ111" s="24">
        <f t="shared" si="65"/>
        <v>653.09439807487968</v>
      </c>
      <c r="AR111" s="24">
        <f t="shared" si="66"/>
        <v>0</v>
      </c>
      <c r="AS111" s="24">
        <f t="shared" si="67"/>
        <v>101066.42358344297</v>
      </c>
      <c r="AT111" s="24">
        <f t="shared" si="68"/>
        <v>0</v>
      </c>
      <c r="BA111" s="5">
        <f t="shared" si="73"/>
        <v>3.4</v>
      </c>
      <c r="BB111" s="5">
        <f t="shared" si="74"/>
        <v>0.57222000000000006</v>
      </c>
      <c r="BC111" s="24">
        <f t="shared" si="75"/>
        <v>653.09439807487968</v>
      </c>
      <c r="BD111" s="24">
        <f t="shared" si="76"/>
        <v>0</v>
      </c>
      <c r="BE111" s="24">
        <f t="shared" si="77"/>
        <v>101066.42358344297</v>
      </c>
      <c r="BF111" s="24">
        <f t="shared" si="78"/>
        <v>0</v>
      </c>
      <c r="BI111" t="str">
        <f>RegionWideSubstations!C111</f>
        <v>City of Cashmere</v>
      </c>
      <c r="BJ111" s="417">
        <f>RegionWideSubstations!AE111/8760</f>
        <v>2.9979956383340382E-2</v>
      </c>
      <c r="BK111" s="416">
        <f>RegionWideSubstations!AF111/8760</f>
        <v>0</v>
      </c>
      <c r="BL111" s="70">
        <f>(RegionWideSubstations!AK111/8760)-BJ111</f>
        <v>2.4333325142005355E-2</v>
      </c>
      <c r="BM111" s="415">
        <f>(RegionWideSubstations!AL111/8760)-BK111</f>
        <v>0</v>
      </c>
      <c r="BN111" s="70">
        <f>(RegionWideSubstations!AQ111/8760)-BJ111-BL111</f>
        <v>2.0240873506033215E-2</v>
      </c>
      <c r="BO111" s="415">
        <f>(RegionWideSubstations!AR111/8760)-BK111-BM111</f>
        <v>0</v>
      </c>
      <c r="BP111" s="70">
        <f t="shared" si="69"/>
        <v>-7.4554155031378952E-2</v>
      </c>
      <c r="BQ111" s="24">
        <f t="shared" si="70"/>
        <v>0</v>
      </c>
    </row>
    <row r="112" spans="1:69">
      <c r="A112">
        <f t="shared" si="90"/>
        <v>100</v>
      </c>
      <c r="B112">
        <v>20297</v>
      </c>
      <c r="C112" t="s">
        <v>131</v>
      </c>
      <c r="D112" t="s">
        <v>1</v>
      </c>
      <c r="E112" t="s">
        <v>91</v>
      </c>
      <c r="F112" s="3">
        <v>2345</v>
      </c>
      <c r="G112" s="9">
        <f>+I112</f>
        <v>52894</v>
      </c>
      <c r="H112" s="122">
        <f>VLOOKUP($C112&amp;$D112,Sales!$A$21:$W$209,23,FALSE)</f>
        <v>116777</v>
      </c>
      <c r="I112" s="3">
        <v>52894</v>
      </c>
      <c r="J112" s="122">
        <f>VLOOKUP($C112&amp;$D112,Sales!$A$21:$W$209,11,FALSE)</f>
        <v>55916</v>
      </c>
      <c r="K112" s="3">
        <v>3866</v>
      </c>
      <c r="L112" s="122">
        <f>VLOOKUP($C112&amp;$D112,Sales!$A$21:$W$209,12,FALSE)</f>
        <v>3862</v>
      </c>
      <c r="M112" s="3">
        <f t="shared" si="82"/>
        <v>13681.841696844283</v>
      </c>
      <c r="N112">
        <v>1</v>
      </c>
      <c r="O112">
        <v>1</v>
      </c>
      <c r="P112">
        <v>1</v>
      </c>
      <c r="Q112" s="3"/>
      <c r="R112" s="122">
        <f>VLOOKUP($C112&amp;$D112,Sales!$A$21:$W$209,14,FALSE)</f>
        <v>60861</v>
      </c>
      <c r="T112" s="3"/>
      <c r="U112" s="122">
        <f>VLOOKUP($C112&amp;$D112,Sales!$A$21:$W$209,17,FALSE)</f>
        <v>0</v>
      </c>
      <c r="X112" s="27">
        <f t="shared" si="88"/>
        <v>1</v>
      </c>
      <c r="Y112" s="28">
        <v>0.9</v>
      </c>
      <c r="Z112" s="27">
        <f t="shared" si="56"/>
        <v>1</v>
      </c>
      <c r="AA112" s="132">
        <f t="shared" si="57"/>
        <v>1</v>
      </c>
      <c r="AB112" s="27">
        <f t="shared" si="89"/>
        <v>0</v>
      </c>
      <c r="AC112" s="5">
        <f t="shared" ref="AC112:AC117" si="91">1.5*$AC$9</f>
        <v>1.5</v>
      </c>
      <c r="AD112">
        <f t="shared" si="81"/>
        <v>0.55000000000000004</v>
      </c>
      <c r="AE112" s="24">
        <f t="shared" si="72"/>
        <v>536.60749575255772</v>
      </c>
      <c r="AF112" s="24">
        <f t="shared" si="58"/>
        <v>834.72277117064527</v>
      </c>
      <c r="AG112" s="24">
        <f t="shared" si="59"/>
        <v>25000</v>
      </c>
      <c r="AH112" s="24">
        <f t="shared" si="60"/>
        <v>275000</v>
      </c>
      <c r="AI112" s="5">
        <f t="shared" si="83"/>
        <v>2.4</v>
      </c>
      <c r="AJ112" s="5">
        <f t="shared" si="84"/>
        <v>0.56100000000000005</v>
      </c>
      <c r="AK112" s="24">
        <f t="shared" si="61"/>
        <v>1037.7527781204926</v>
      </c>
      <c r="AL112" s="24">
        <f t="shared" si="62"/>
        <v>1217.918190988634</v>
      </c>
      <c r="AM112" s="24">
        <f t="shared" si="63"/>
        <v>60000</v>
      </c>
      <c r="AN112" s="24">
        <f t="shared" si="64"/>
        <v>320000</v>
      </c>
      <c r="AO112" s="5">
        <f t="shared" si="85"/>
        <v>2.9</v>
      </c>
      <c r="AP112" s="5">
        <f t="shared" si="86"/>
        <v>0.57222000000000006</v>
      </c>
      <c r="AQ112" s="24">
        <f t="shared" si="65"/>
        <v>1431.9321984523908</v>
      </c>
      <c r="AR112" s="24">
        <f t="shared" si="66"/>
        <v>1637.6695832875043</v>
      </c>
      <c r="AS112" s="24">
        <f t="shared" si="67"/>
        <v>288100</v>
      </c>
      <c r="AT112" s="24">
        <f t="shared" si="68"/>
        <v>538100</v>
      </c>
      <c r="BA112" s="5">
        <f t="shared" si="73"/>
        <v>2.9</v>
      </c>
      <c r="BB112" s="5">
        <f t="shared" si="74"/>
        <v>0.57222000000000006</v>
      </c>
      <c r="BC112" s="24">
        <f t="shared" si="75"/>
        <v>1431.9321984523908</v>
      </c>
      <c r="BD112" s="24">
        <f t="shared" si="76"/>
        <v>1637.6695832875043</v>
      </c>
      <c r="BE112" s="24">
        <f t="shared" si="77"/>
        <v>288100</v>
      </c>
      <c r="BF112" s="24">
        <f t="shared" si="78"/>
        <v>538100</v>
      </c>
      <c r="BI112" t="str">
        <f>RegionWideSubstations!C112</f>
        <v>Parkland Light &amp; Water Company</v>
      </c>
      <c r="BJ112" s="417">
        <f>RegionWideSubstations!AE112/8760</f>
        <v>6.1256563442072802E-2</v>
      </c>
      <c r="BK112" s="416">
        <f>RegionWideSubstations!AF112/8760</f>
        <v>9.5287987576557681E-2</v>
      </c>
      <c r="BL112" s="70">
        <f>(RegionWideSubstations!AK112/8760)-BJ112</f>
        <v>5.7208365567115858E-2</v>
      </c>
      <c r="BM112" s="415">
        <f>(RegionWideSubstations!AL112/8760)-BK112</f>
        <v>4.3743769385615139E-2</v>
      </c>
      <c r="BN112" s="70">
        <f>(RegionWideSubstations!AQ112/8760)-BJ112-BL112</f>
        <v>4.4997650722819423E-2</v>
      </c>
      <c r="BO112" s="415">
        <f>(RegionWideSubstations!AR112/8760)-BK112-BM112</f>
        <v>4.7916825604893881E-2</v>
      </c>
      <c r="BP112" s="70">
        <f t="shared" si="69"/>
        <v>2.3486002835058611E-2</v>
      </c>
      <c r="BQ112" s="24">
        <f t="shared" si="70"/>
        <v>0.1869485825670667</v>
      </c>
    </row>
    <row r="113" spans="1:69">
      <c r="A113">
        <f t="shared" si="90"/>
        <v>101</v>
      </c>
      <c r="B113">
        <v>16416</v>
      </c>
      <c r="C113" t="s">
        <v>145</v>
      </c>
      <c r="D113" t="s">
        <v>3</v>
      </c>
      <c r="E113" t="s">
        <v>91</v>
      </c>
      <c r="F113" s="3">
        <v>1836</v>
      </c>
      <c r="G113" s="3">
        <v>50794</v>
      </c>
      <c r="H113" s="122">
        <f>VLOOKUP($C113&amp;$D113,Sales!$A$21:$W$209,23,FALSE)</f>
        <v>77882</v>
      </c>
      <c r="I113" s="3">
        <v>25537</v>
      </c>
      <c r="J113" s="122">
        <f>VLOOKUP($C113&amp;$D113,Sales!$A$21:$W$209,11,FALSE)</f>
        <v>31934.353011093503</v>
      </c>
      <c r="K113" s="3">
        <v>1696</v>
      </c>
      <c r="L113" s="122">
        <f>VLOOKUP($C113&amp;$D113,Sales!$A$21:$W$209,12,FALSE)</f>
        <v>1800.4253846153847</v>
      </c>
      <c r="M113" s="3">
        <f t="shared" si="82"/>
        <v>15057.193396226416</v>
      </c>
      <c r="N113">
        <v>3</v>
      </c>
      <c r="O113">
        <v>1</v>
      </c>
      <c r="P113">
        <v>4</v>
      </c>
      <c r="Q113" s="3">
        <f>($G113-$I113)/($S113+$V113*20)*S113</f>
        <v>431.53637934344403</v>
      </c>
      <c r="R113" s="122">
        <f>VLOOKUP($C113&amp;$D113,Sales!$A$21:$W$209,14,FALSE)</f>
        <v>4667.0572503961967</v>
      </c>
      <c r="S113" s="3">
        <v>178</v>
      </c>
      <c r="T113" s="3">
        <f>($G113-$I113)/($S113+$V113*20)*V113*10</f>
        <v>12412.731810328278</v>
      </c>
      <c r="U113" s="122">
        <f>VLOOKUP($C113&amp;$D113,Sales!$A$21:$W$209,17,FALSE)</f>
        <v>41280.589738510302</v>
      </c>
      <c r="V113" s="3">
        <v>512</v>
      </c>
      <c r="X113" s="27">
        <f t="shared" si="88"/>
        <v>1</v>
      </c>
      <c r="Y113" s="28">
        <v>0.9</v>
      </c>
      <c r="Z113" s="27">
        <f t="shared" si="56"/>
        <v>1</v>
      </c>
      <c r="AA113" s="132">
        <f t="shared" si="57"/>
        <v>1</v>
      </c>
      <c r="AB113" s="27">
        <f t="shared" si="89"/>
        <v>0</v>
      </c>
      <c r="AC113" s="5">
        <f t="shared" si="91"/>
        <v>1.5</v>
      </c>
      <c r="AD113">
        <f t="shared" si="81"/>
        <v>0.55000000000000004</v>
      </c>
      <c r="AE113" s="24">
        <f t="shared" si="72"/>
        <v>224.12320960642509</v>
      </c>
      <c r="AF113" s="24">
        <f t="shared" si="58"/>
        <v>0</v>
      </c>
      <c r="AG113" s="24">
        <f t="shared" si="59"/>
        <v>15000</v>
      </c>
      <c r="AH113" s="24">
        <f t="shared" si="60"/>
        <v>0</v>
      </c>
      <c r="AI113" s="5">
        <f t="shared" si="83"/>
        <v>2.4</v>
      </c>
      <c r="AJ113" s="5">
        <f t="shared" si="84"/>
        <v>0.56100000000000005</v>
      </c>
      <c r="AK113" s="24">
        <f t="shared" si="61"/>
        <v>451.63726409397844</v>
      </c>
      <c r="AL113" s="24">
        <f t="shared" si="62"/>
        <v>0</v>
      </c>
      <c r="AM113" s="24">
        <f t="shared" si="63"/>
        <v>32500</v>
      </c>
      <c r="AN113" s="24">
        <f t="shared" si="64"/>
        <v>0</v>
      </c>
      <c r="AO113" s="5">
        <f t="shared" si="85"/>
        <v>2.9</v>
      </c>
      <c r="AP113" s="5">
        <f t="shared" si="86"/>
        <v>0.57222000000000006</v>
      </c>
      <c r="AQ113" s="24">
        <f t="shared" si="65"/>
        <v>635.7618758987461</v>
      </c>
      <c r="AR113" s="24">
        <f t="shared" si="66"/>
        <v>0</v>
      </c>
      <c r="AS113" s="24">
        <f t="shared" si="67"/>
        <v>140021.26923076925</v>
      </c>
      <c r="AT113" s="24">
        <f t="shared" si="68"/>
        <v>0</v>
      </c>
      <c r="BA113" s="5">
        <f t="shared" si="73"/>
        <v>2.9</v>
      </c>
      <c r="BB113" s="5">
        <f t="shared" si="74"/>
        <v>0.57222000000000006</v>
      </c>
      <c r="BC113" s="24">
        <f t="shared" si="75"/>
        <v>635.7618758987461</v>
      </c>
      <c r="BD113" s="24">
        <f t="shared" si="76"/>
        <v>0</v>
      </c>
      <c r="BE113" s="24">
        <f t="shared" si="77"/>
        <v>140021.26923076925</v>
      </c>
      <c r="BF113" s="24">
        <f t="shared" si="78"/>
        <v>0</v>
      </c>
      <c r="BI113" t="str">
        <f>RegionWideSubstations!C113</f>
        <v>Lost River Electric Coop Inc</v>
      </c>
      <c r="BJ113" s="417">
        <f>RegionWideSubstations!AE113/8760</f>
        <v>2.5584841279272273E-2</v>
      </c>
      <c r="BK113" s="416">
        <f>RegionWideSubstations!AF113/8760</f>
        <v>0</v>
      </c>
      <c r="BL113" s="70">
        <f>(RegionWideSubstations!AK113/8760)-BJ113</f>
        <v>2.5971924028259517E-2</v>
      </c>
      <c r="BM113" s="415">
        <f>(RegionWideSubstations!AL113/8760)-BK113</f>
        <v>0</v>
      </c>
      <c r="BN113" s="70">
        <f>(RegionWideSubstations!AQ113/8760)-BJ113-BL113</f>
        <v>2.101879130191411E-2</v>
      </c>
      <c r="BO113" s="415">
        <f>(RegionWideSubstations!AR113/8760)-BK113-BM113</f>
        <v>0</v>
      </c>
      <c r="BP113" s="70">
        <f t="shared" si="69"/>
        <v>-7.2575556609445896E-2</v>
      </c>
      <c r="BQ113" s="24">
        <f t="shared" si="70"/>
        <v>0</v>
      </c>
    </row>
    <row r="114" spans="1:69">
      <c r="A114">
        <f t="shared" si="90"/>
        <v>102</v>
      </c>
      <c r="B114">
        <v>1818</v>
      </c>
      <c r="C114" t="s">
        <v>136</v>
      </c>
      <c r="D114" t="s">
        <v>5</v>
      </c>
      <c r="E114" t="s">
        <v>91</v>
      </c>
      <c r="F114" s="3">
        <v>3163</v>
      </c>
      <c r="G114" s="9">
        <f>+I114</f>
        <v>47944</v>
      </c>
      <c r="H114" s="122">
        <f>VLOOKUP($C114&amp;$D114,Sales!$A$21:$W$209,23,FALSE)</f>
        <v>108447</v>
      </c>
      <c r="I114" s="3">
        <v>47944</v>
      </c>
      <c r="J114" s="122">
        <f>VLOOKUP($C114&amp;$D114,Sales!$A$21:$W$209,11,FALSE)</f>
        <v>53201</v>
      </c>
      <c r="K114" s="3">
        <v>3078</v>
      </c>
      <c r="L114" s="122">
        <f>VLOOKUP($C114&amp;$D114,Sales!$A$21:$W$209,12,FALSE)</f>
        <v>3262</v>
      </c>
      <c r="M114" s="3">
        <f t="shared" si="82"/>
        <v>15576.348278102663</v>
      </c>
      <c r="N114">
        <v>1</v>
      </c>
      <c r="O114">
        <v>1</v>
      </c>
      <c r="P114">
        <v>2</v>
      </c>
      <c r="Q114" s="3">
        <f>($G114-$I114)/($S114+$V114*20)*S114</f>
        <v>0</v>
      </c>
      <c r="R114" s="122">
        <f>VLOOKUP($C114&amp;$D114,Sales!$A$21:$W$209,14,FALSE)</f>
        <v>5606</v>
      </c>
      <c r="S114" s="3">
        <v>214</v>
      </c>
      <c r="T114" s="3">
        <f>($G114-$I114)/($S114+$V114*20)*V114*10</f>
        <v>0</v>
      </c>
      <c r="U114" s="122">
        <f>VLOOKUP($C114&amp;$D114,Sales!$A$21:$W$209,17,FALSE)</f>
        <v>49640</v>
      </c>
      <c r="V114" s="3">
        <v>197</v>
      </c>
      <c r="X114" s="27">
        <f t="shared" si="88"/>
        <v>1</v>
      </c>
      <c r="Y114" s="28">
        <v>0.9</v>
      </c>
      <c r="Z114" s="27">
        <f t="shared" si="56"/>
        <v>1</v>
      </c>
      <c r="AA114" s="132">
        <f t="shared" si="57"/>
        <v>1</v>
      </c>
      <c r="AB114" s="27">
        <f t="shared" si="89"/>
        <v>0</v>
      </c>
      <c r="AC114" s="5">
        <f t="shared" si="91"/>
        <v>1.5</v>
      </c>
      <c r="AD114">
        <f t="shared" si="81"/>
        <v>0.55000000000000004</v>
      </c>
      <c r="AE114" s="24">
        <f t="shared" si="72"/>
        <v>355.65672789997075</v>
      </c>
      <c r="AF114" s="24">
        <f t="shared" si="58"/>
        <v>553.24379895550999</v>
      </c>
      <c r="AG114" s="24">
        <f t="shared" si="59"/>
        <v>25000</v>
      </c>
      <c r="AH114" s="24">
        <f t="shared" si="60"/>
        <v>150000</v>
      </c>
      <c r="AI114" s="5">
        <f t="shared" si="83"/>
        <v>2.4</v>
      </c>
      <c r="AJ114" s="5">
        <f t="shared" si="84"/>
        <v>0.56100000000000005</v>
      </c>
      <c r="AK114" s="24">
        <f t="shared" si="61"/>
        <v>703.7695439463206</v>
      </c>
      <c r="AL114" s="24">
        <f t="shared" si="62"/>
        <v>825.95175643700134</v>
      </c>
      <c r="AM114" s="24">
        <f t="shared" si="63"/>
        <v>60000</v>
      </c>
      <c r="AN114" s="24">
        <f t="shared" si="64"/>
        <v>167500</v>
      </c>
      <c r="AO114" s="5">
        <f t="shared" si="85"/>
        <v>2.9</v>
      </c>
      <c r="AP114" s="5">
        <f t="shared" si="86"/>
        <v>0.57222000000000006</v>
      </c>
      <c r="AQ114" s="24">
        <f t="shared" si="65"/>
        <v>974.90627914244988</v>
      </c>
      <c r="AR114" s="24">
        <f t="shared" si="66"/>
        <v>1114.979020398549</v>
      </c>
      <c r="AS114" s="24">
        <f t="shared" si="67"/>
        <v>258100</v>
      </c>
      <c r="AT114" s="24">
        <f t="shared" si="68"/>
        <v>363100</v>
      </c>
      <c r="BA114" s="5">
        <f t="shared" si="73"/>
        <v>2.9</v>
      </c>
      <c r="BB114" s="5">
        <f t="shared" si="74"/>
        <v>0.57222000000000006</v>
      </c>
      <c r="BC114" s="24">
        <f t="shared" si="75"/>
        <v>974.90627914244988</v>
      </c>
      <c r="BD114" s="24">
        <f t="shared" si="76"/>
        <v>1114.979020398549</v>
      </c>
      <c r="BE114" s="24">
        <f t="shared" si="77"/>
        <v>258100</v>
      </c>
      <c r="BF114" s="24">
        <f t="shared" si="78"/>
        <v>363100</v>
      </c>
      <c r="BI114" t="str">
        <f>RegionWideSubstations!C114</f>
        <v>Hood River Electric Coop</v>
      </c>
      <c r="BJ114" s="417">
        <f>RegionWideSubstations!AE114/8760</f>
        <v>4.0600083093603967E-2</v>
      </c>
      <c r="BK114" s="416">
        <f>RegionWideSubstations!AF114/8760</f>
        <v>6.3155684812272836E-2</v>
      </c>
      <c r="BL114" s="70">
        <f>(RegionWideSubstations!AK114/8760)-BJ114</f>
        <v>3.9738905941364144E-2</v>
      </c>
      <c r="BM114" s="415">
        <f>(RegionWideSubstations!AL114/8760)-BK114</f>
        <v>3.1131045374599459E-2</v>
      </c>
      <c r="BN114" s="70">
        <f>(RegionWideSubstations!AQ114/8760)-BJ114-BL114</f>
        <v>3.0951682100014755E-2</v>
      </c>
      <c r="BO114" s="415">
        <f>(RegionWideSubstations!AR114/8760)-BK114-BM114</f>
        <v>3.2993979904286277E-2</v>
      </c>
      <c r="BP114" s="70">
        <f t="shared" si="69"/>
        <v>1.5990038956175706E-2</v>
      </c>
      <c r="BQ114" s="24">
        <f t="shared" si="70"/>
        <v>0.12728071009115857</v>
      </c>
    </row>
    <row r="115" spans="1:69">
      <c r="A115">
        <f t="shared" si="90"/>
        <v>103</v>
      </c>
      <c r="B115">
        <v>16565</v>
      </c>
      <c r="C115" t="s">
        <v>7</v>
      </c>
      <c r="D115" t="s">
        <v>133</v>
      </c>
      <c r="E115" t="s">
        <v>91</v>
      </c>
      <c r="F115" s="3">
        <v>3266</v>
      </c>
      <c r="G115" s="9">
        <f>+I115</f>
        <v>46712</v>
      </c>
      <c r="H115" s="126">
        <f>VLOOKUP($C115&amp;"OR",Sales!$A$21:$W$209,23,FALSE)</f>
        <v>34804</v>
      </c>
      <c r="I115" s="3">
        <v>46712</v>
      </c>
      <c r="J115" s="126">
        <f>VLOOKUP($C115&amp;"OR",Sales!$A$21:$W$209,11,FALSE)</f>
        <v>15827</v>
      </c>
      <c r="K115" s="3">
        <v>3763</v>
      </c>
      <c r="L115" s="126">
        <f>VLOOKUP($C115&amp;"OR",Sales!$A$21:$W$209,12,FALSE)</f>
        <v>1148</v>
      </c>
      <c r="M115" s="3">
        <f t="shared" si="82"/>
        <v>12413.499867127293</v>
      </c>
      <c r="N115">
        <v>2</v>
      </c>
      <c r="O115">
        <v>1</v>
      </c>
      <c r="P115">
        <v>4</v>
      </c>
      <c r="Q115" s="3"/>
      <c r="R115" s="126">
        <f>VLOOKUP($C115&amp;"OR",Sales!$A$21:$W$209,14,FALSE)</f>
        <v>3872</v>
      </c>
      <c r="T115" s="3"/>
      <c r="U115" s="126">
        <f>VLOOKUP($C115&amp;"OR",Sales!$A$21:$W$209,17,FALSE)</f>
        <v>15105</v>
      </c>
      <c r="X115" s="27">
        <f t="shared" si="88"/>
        <v>1</v>
      </c>
      <c r="Y115" s="28">
        <v>0.9</v>
      </c>
      <c r="Z115" s="27">
        <f t="shared" si="56"/>
        <v>1</v>
      </c>
      <c r="AA115" s="132">
        <f t="shared" si="57"/>
        <v>1</v>
      </c>
      <c r="AB115" s="27">
        <f t="shared" si="89"/>
        <v>0</v>
      </c>
      <c r="AC115" s="5">
        <f t="shared" si="91"/>
        <v>1.5</v>
      </c>
      <c r="AD115">
        <f t="shared" si="81"/>
        <v>0.55000000000000004</v>
      </c>
      <c r="AE115" s="24">
        <f t="shared" si="72"/>
        <v>113.62940529847643</v>
      </c>
      <c r="AF115" s="24">
        <f t="shared" si="58"/>
        <v>0</v>
      </c>
      <c r="AG115" s="24">
        <f t="shared" si="59"/>
        <v>15000</v>
      </c>
      <c r="AH115" s="24">
        <f t="shared" si="60"/>
        <v>0</v>
      </c>
      <c r="AI115" s="5">
        <f t="shared" si="83"/>
        <v>2.4</v>
      </c>
      <c r="AJ115" s="5">
        <f t="shared" si="84"/>
        <v>0.56100000000000005</v>
      </c>
      <c r="AK115" s="24">
        <f t="shared" si="61"/>
        <v>225.54763331136235</v>
      </c>
      <c r="AL115" s="24">
        <f t="shared" si="62"/>
        <v>0</v>
      </c>
      <c r="AM115" s="24">
        <f t="shared" si="63"/>
        <v>32500</v>
      </c>
      <c r="AN115" s="24">
        <f t="shared" si="64"/>
        <v>0</v>
      </c>
      <c r="AO115" s="5">
        <f t="shared" si="85"/>
        <v>2.9</v>
      </c>
      <c r="AP115" s="5">
        <f t="shared" si="86"/>
        <v>0.57222000000000006</v>
      </c>
      <c r="AQ115" s="24">
        <f t="shared" si="65"/>
        <v>314.17664930175727</v>
      </c>
      <c r="AR115" s="24">
        <f t="shared" si="66"/>
        <v>0</v>
      </c>
      <c r="AS115" s="24">
        <f t="shared" si="67"/>
        <v>107400</v>
      </c>
      <c r="AT115" s="24">
        <f t="shared" si="68"/>
        <v>0</v>
      </c>
      <c r="BA115" s="5">
        <f t="shared" si="73"/>
        <v>2.9</v>
      </c>
      <c r="BB115" s="5">
        <f t="shared" si="74"/>
        <v>0.57222000000000006</v>
      </c>
      <c r="BC115" s="24">
        <f t="shared" si="75"/>
        <v>314.17664930175727</v>
      </c>
      <c r="BD115" s="24">
        <f t="shared" si="76"/>
        <v>0</v>
      </c>
      <c r="BE115" s="24">
        <f t="shared" si="77"/>
        <v>107400</v>
      </c>
      <c r="BF115" s="24">
        <f t="shared" si="78"/>
        <v>0</v>
      </c>
      <c r="BI115" t="str">
        <f>RegionWideSubstations!C115</f>
        <v>Surprise Valley Electrification Corp.</v>
      </c>
      <c r="BJ115" s="417">
        <f>RegionWideSubstations!AE115/8760</f>
        <v>1.2971393298912835E-2</v>
      </c>
      <c r="BK115" s="416">
        <f>RegionWideSubstations!AF115/8760</f>
        <v>0</v>
      </c>
      <c r="BL115" s="70">
        <f>(RegionWideSubstations!AK115/8760)-BJ115</f>
        <v>1.2776053426128529E-2</v>
      </c>
      <c r="BM115" s="415">
        <f>(RegionWideSubstations!AL115/8760)-BK115</f>
        <v>0</v>
      </c>
      <c r="BN115" s="70">
        <f>(RegionWideSubstations!AQ115/8760)-BJ115-BL115</f>
        <v>1.0117467578812206E-2</v>
      </c>
      <c r="BO115" s="415">
        <f>(RegionWideSubstations!AR115/8760)-BK115-BM115</f>
        <v>0</v>
      </c>
      <c r="BP115" s="70">
        <f t="shared" si="69"/>
        <v>-3.5864914303853572E-2</v>
      </c>
      <c r="BQ115" s="24">
        <f t="shared" si="70"/>
        <v>0</v>
      </c>
    </row>
    <row r="116" spans="1:69">
      <c r="A116">
        <f t="shared" si="90"/>
        <v>104</v>
      </c>
      <c r="B116">
        <v>15327</v>
      </c>
      <c r="C116" t="s">
        <v>125</v>
      </c>
      <c r="D116" t="s">
        <v>126</v>
      </c>
      <c r="E116" t="s">
        <v>91</v>
      </c>
      <c r="F116" s="3">
        <v>3673</v>
      </c>
      <c r="G116" s="9">
        <f>+I116</f>
        <v>45224</v>
      </c>
      <c r="H116" s="126">
        <f>G116*SUM(H$13:H$53,H$55:H$64,H$66:H$70,H$72:H$76,H$78:H$110,H$112:H$114,H$117:H$121,H$123:H$142)/SUM(G$13:G$53,G$55:G$64,G$66:G$70,G$72:G$76,G$78:G$110,G$112:G$114,G$117:G$121,G$123:G$142)</f>
        <v>48447.735879582942</v>
      </c>
      <c r="I116" s="3">
        <v>45224</v>
      </c>
      <c r="J116" s="126">
        <f>I116*SUM(J$13:J$53,J$55:J$64,J$66:J$70,J$72:J$76,J$78:J$110,J$112:J$114,J$117:J$121,J$123:J$142)/SUM(I$13:I$53,I$55:I$64,I$66:I$70,I$72:I$76,I$78:I$110,I$112:I$114,I$117:I$121,I$123:I$142)</f>
        <v>48557.409729984167</v>
      </c>
      <c r="K116" s="3">
        <v>4037</v>
      </c>
      <c r="L116" s="126">
        <f>K116*SUM(L$13:L$53,L$55:L$64,L$66:L$70,L$72:L$76,L$78:L$110,L$112:L$114,L$117:L$121,L$123:L$142)/SUM(K$13:K$53,K$55:K$64,K$66:K$70,K$72:K$76,K$78:K$110,K$112:K$114,K$117:K$121,K$123:K$142)</f>
        <v>4340.1084632917728</v>
      </c>
      <c r="M116" s="3">
        <f t="shared" si="82"/>
        <v>11202.378003467922</v>
      </c>
      <c r="N116">
        <v>2</v>
      </c>
      <c r="O116">
        <v>3</v>
      </c>
      <c r="P116">
        <v>4</v>
      </c>
      <c r="Q116" s="3"/>
      <c r="R116" s="126">
        <v>0</v>
      </c>
      <c r="T116" s="3"/>
      <c r="U116" s="126">
        <v>0</v>
      </c>
      <c r="X116" s="27">
        <f t="shared" si="88"/>
        <v>1</v>
      </c>
      <c r="Y116" s="28">
        <v>0.9</v>
      </c>
      <c r="Z116" s="27">
        <f t="shared" si="56"/>
        <v>1</v>
      </c>
      <c r="AA116" s="132">
        <f t="shared" si="57"/>
        <v>1</v>
      </c>
      <c r="AB116" s="27">
        <f t="shared" si="89"/>
        <v>0</v>
      </c>
      <c r="AC116" s="5">
        <f t="shared" si="91"/>
        <v>1.5</v>
      </c>
      <c r="AD116">
        <f t="shared" si="81"/>
        <v>0.55000000000000004</v>
      </c>
      <c r="AE116" s="24">
        <f t="shared" si="72"/>
        <v>282.71615211489177</v>
      </c>
      <c r="AF116" s="24">
        <f t="shared" si="58"/>
        <v>439.78068106760941</v>
      </c>
      <c r="AG116" s="24">
        <f t="shared" si="59"/>
        <v>25000</v>
      </c>
      <c r="AH116" s="24">
        <f t="shared" si="60"/>
        <v>150000</v>
      </c>
      <c r="AI116" s="5">
        <f t="shared" si="83"/>
        <v>2.4</v>
      </c>
      <c r="AJ116" s="5">
        <f t="shared" si="84"/>
        <v>0.56100000000000005</v>
      </c>
      <c r="AK116" s="24">
        <f t="shared" si="61"/>
        <v>527.30601171600381</v>
      </c>
      <c r="AL116" s="24">
        <f t="shared" si="62"/>
        <v>618.85219430558777</v>
      </c>
      <c r="AM116" s="24">
        <f t="shared" si="63"/>
        <v>60000</v>
      </c>
      <c r="AN116" s="24">
        <f t="shared" si="64"/>
        <v>167500</v>
      </c>
      <c r="AO116" s="5">
        <f t="shared" si="85"/>
        <v>2.9</v>
      </c>
      <c r="AP116" s="5">
        <f t="shared" si="86"/>
        <v>0.57222000000000006</v>
      </c>
      <c r="AQ116" s="24">
        <f t="shared" si="65"/>
        <v>690.52370065497325</v>
      </c>
      <c r="AR116" s="24">
        <f t="shared" si="66"/>
        <v>789.73687603643486</v>
      </c>
      <c r="AS116" s="24">
        <f t="shared" si="67"/>
        <v>312005.42316458863</v>
      </c>
      <c r="AT116" s="24">
        <f t="shared" si="68"/>
        <v>417005.42316458863</v>
      </c>
      <c r="BA116" s="5">
        <f t="shared" si="73"/>
        <v>2.9</v>
      </c>
      <c r="BB116" s="5">
        <f t="shared" si="74"/>
        <v>0.57222000000000006</v>
      </c>
      <c r="BC116" s="24">
        <f t="shared" si="75"/>
        <v>690.52370065497325</v>
      </c>
      <c r="BD116" s="24">
        <f t="shared" si="76"/>
        <v>789.73687603643486</v>
      </c>
      <c r="BE116" s="24">
        <f t="shared" si="77"/>
        <v>312005.42316458863</v>
      </c>
      <c r="BF116" s="24">
        <f t="shared" si="78"/>
        <v>417005.42316458863</v>
      </c>
      <c r="BI116" t="str">
        <f>RegionWideSubstations!C116</f>
        <v>Wells Rural Electric Co</v>
      </c>
      <c r="BJ116" s="417">
        <f>RegionWideSubstations!AE116/8760</f>
        <v>3.2273533346448835E-2</v>
      </c>
      <c r="BK116" s="416">
        <f>RegionWideSubstations!AF116/8760</f>
        <v>5.0203274094475961E-2</v>
      </c>
      <c r="BL116" s="70">
        <f>(RegionWideSubstations!AK116/8760)-BJ116</f>
        <v>2.7921216849442008E-2</v>
      </c>
      <c r="BM116" s="415">
        <f>(RegionWideSubstations!AL116/8760)-BK116</f>
        <v>2.0441953565979262E-2</v>
      </c>
      <c r="BN116" s="70">
        <f>(RegionWideSubstations!AQ116/8760)-BJ116-BL116</f>
        <v>1.8632156271571852E-2</v>
      </c>
      <c r="BO116" s="415">
        <f>(RegionWideSubstations!AR116/8760)-BK116-BM116</f>
        <v>1.9507383759229127E-2</v>
      </c>
      <c r="BP116" s="70">
        <f t="shared" si="69"/>
        <v>1.1325704952221655E-2</v>
      </c>
      <c r="BQ116" s="24">
        <f t="shared" si="70"/>
        <v>9.015261141968435E-2</v>
      </c>
    </row>
    <row r="117" spans="1:69">
      <c r="A117">
        <f t="shared" si="90"/>
        <v>105</v>
      </c>
      <c r="B117">
        <v>1956</v>
      </c>
      <c r="C117" t="s">
        <v>128</v>
      </c>
      <c r="D117" t="s">
        <v>1</v>
      </c>
      <c r="E117" t="s">
        <v>91</v>
      </c>
      <c r="F117" s="3">
        <v>3842</v>
      </c>
      <c r="G117" s="3">
        <v>41706</v>
      </c>
      <c r="H117" s="122">
        <f>VLOOKUP($C117&amp;$D117,Sales!$A$21:$W$209,23,FALSE)</f>
        <v>91728</v>
      </c>
      <c r="I117" s="3">
        <v>51533</v>
      </c>
      <c r="J117" s="122">
        <f>VLOOKUP($C117&amp;$D117,Sales!$A$21:$W$209,11,FALSE)</f>
        <v>56449</v>
      </c>
      <c r="K117" s="3">
        <v>3968</v>
      </c>
      <c r="L117" s="122">
        <f>VLOOKUP($C117&amp;$D117,Sales!$A$21:$W$209,12,FALSE)</f>
        <v>4268</v>
      </c>
      <c r="M117" s="3">
        <f t="shared" si="82"/>
        <v>12987.147177419354</v>
      </c>
      <c r="N117">
        <v>1</v>
      </c>
      <c r="O117">
        <v>1</v>
      </c>
      <c r="P117">
        <v>1</v>
      </c>
      <c r="Q117" s="3"/>
      <c r="R117" s="122">
        <f>VLOOKUP($C117&amp;$D117,Sales!$A$21:$W$209,14,FALSE)</f>
        <v>35279</v>
      </c>
      <c r="S117" s="3">
        <v>230</v>
      </c>
      <c r="T117" s="3"/>
      <c r="U117" s="122">
        <f>VLOOKUP($C117&amp;$D117,Sales!$A$21:$W$209,17,FALSE)</f>
        <v>0</v>
      </c>
      <c r="V117" s="3">
        <v>378</v>
      </c>
      <c r="X117" s="27">
        <f t="shared" si="88"/>
        <v>1</v>
      </c>
      <c r="Y117" s="28">
        <v>0.9</v>
      </c>
      <c r="Z117" s="27">
        <f t="shared" si="56"/>
        <v>1</v>
      </c>
      <c r="AA117" s="132">
        <f t="shared" si="57"/>
        <v>1</v>
      </c>
      <c r="AB117" s="27">
        <f t="shared" si="89"/>
        <v>0</v>
      </c>
      <c r="AC117" s="5">
        <f t="shared" si="91"/>
        <v>1.5</v>
      </c>
      <c r="AD117">
        <f t="shared" si="81"/>
        <v>0.55000000000000004</v>
      </c>
      <c r="AE117" s="24">
        <f t="shared" si="72"/>
        <v>451.00021793847134</v>
      </c>
      <c r="AF117" s="24">
        <f t="shared" si="58"/>
        <v>701.55589457095539</v>
      </c>
      <c r="AG117" s="24">
        <f t="shared" si="59"/>
        <v>25000</v>
      </c>
      <c r="AH117" s="24">
        <f t="shared" si="60"/>
        <v>275000</v>
      </c>
      <c r="AI117" s="5">
        <f t="shared" si="83"/>
        <v>2.4</v>
      </c>
      <c r="AJ117" s="5">
        <f t="shared" si="84"/>
        <v>0.56100000000000005</v>
      </c>
      <c r="AK117" s="24">
        <f t="shared" si="61"/>
        <v>862.57129901078474</v>
      </c>
      <c r="AL117" s="24">
        <f t="shared" si="62"/>
        <v>1012.3232606446015</v>
      </c>
      <c r="AM117" s="24">
        <f t="shared" si="63"/>
        <v>60000</v>
      </c>
      <c r="AN117" s="24">
        <f t="shared" si="64"/>
        <v>320000</v>
      </c>
      <c r="AO117" s="5">
        <f t="shared" si="85"/>
        <v>2.9</v>
      </c>
      <c r="AP117" s="5">
        <f t="shared" si="86"/>
        <v>0.57222000000000006</v>
      </c>
      <c r="AQ117" s="24">
        <f t="shared" si="65"/>
        <v>1171.8578924034873</v>
      </c>
      <c r="AR117" s="24">
        <f t="shared" si="66"/>
        <v>1340.2282792430688</v>
      </c>
      <c r="AS117" s="24">
        <f t="shared" si="67"/>
        <v>308400</v>
      </c>
      <c r="AT117" s="24">
        <f t="shared" si="68"/>
        <v>558400</v>
      </c>
      <c r="BA117" s="5">
        <f t="shared" si="73"/>
        <v>2.9</v>
      </c>
      <c r="BB117" s="5">
        <f t="shared" si="74"/>
        <v>0.57222000000000006</v>
      </c>
      <c r="BC117" s="24">
        <f t="shared" si="75"/>
        <v>1171.8578924034873</v>
      </c>
      <c r="BD117" s="24">
        <f t="shared" si="76"/>
        <v>1340.2282792430688</v>
      </c>
      <c r="BE117" s="24">
        <f t="shared" si="77"/>
        <v>308400</v>
      </c>
      <c r="BF117" s="24">
        <f t="shared" si="78"/>
        <v>558400</v>
      </c>
      <c r="BI117" t="str">
        <f>RegionWideSubstations!C117</f>
        <v>Tanner Electric Coop</v>
      </c>
      <c r="BJ117" s="417">
        <f>RegionWideSubstations!AE117/8760</f>
        <v>5.1484043143661111E-2</v>
      </c>
      <c r="BK117" s="416">
        <f>RegionWideSubstations!AF117/8760</f>
        <v>8.0086289334583949E-2</v>
      </c>
      <c r="BL117" s="70">
        <f>(RegionWideSubstations!AK117/8760)-BJ117</f>
        <v>4.6983000122410211E-2</v>
      </c>
      <c r="BM117" s="415">
        <f>(RegionWideSubstations!AL117/8760)-BK117</f>
        <v>3.5475726720735859E-2</v>
      </c>
      <c r="BN117" s="70">
        <f>(RegionWideSubstations!AQ117/8760)-BJ117-BL117</f>
        <v>3.5306688743459193E-2</v>
      </c>
      <c r="BO117" s="415">
        <f>(RegionWideSubstations!AR117/8760)-BK117-BM117</f>
        <v>3.7432079748683469E-2</v>
      </c>
      <c r="BP117" s="70">
        <f t="shared" si="69"/>
        <v>1.9220363794472756E-2</v>
      </c>
      <c r="BQ117" s="24">
        <f t="shared" si="70"/>
        <v>0.15299409580400328</v>
      </c>
    </row>
    <row r="118" spans="1:69">
      <c r="A118">
        <f t="shared" si="90"/>
        <v>106</v>
      </c>
      <c r="B118">
        <v>11211</v>
      </c>
      <c r="C118" t="s">
        <v>50</v>
      </c>
      <c r="D118" t="s">
        <v>1</v>
      </c>
      <c r="E118" t="s">
        <v>29</v>
      </c>
      <c r="F118" s="3">
        <v>798</v>
      </c>
      <c r="G118" s="3">
        <v>40273</v>
      </c>
      <c r="H118" s="122">
        <f>VLOOKUP($C118&amp;$D118,Sales!$A$21:$W$209,23,FALSE)</f>
        <v>29685</v>
      </c>
      <c r="I118" s="3">
        <v>12685</v>
      </c>
      <c r="J118" s="122">
        <f>VLOOKUP($C118&amp;$D118,Sales!$A$21:$W$209,11,FALSE)</f>
        <v>15655.409098893377</v>
      </c>
      <c r="K118" s="3">
        <v>953</v>
      </c>
      <c r="L118" s="122">
        <f>VLOOKUP($C118&amp;$D118,Sales!$A$21:$W$209,12,FALSE)</f>
        <v>920.8984375</v>
      </c>
      <c r="M118" s="3">
        <f t="shared" si="82"/>
        <v>13310.598111227702</v>
      </c>
      <c r="N118">
        <v>1</v>
      </c>
      <c r="O118">
        <v>1</v>
      </c>
      <c r="P118">
        <v>1</v>
      </c>
      <c r="Q118" s="3">
        <f t="shared" ref="Q118:Q134" si="92">($G118-$I118)/($S118+$V118*20)*S118</f>
        <v>16662.059405940596</v>
      </c>
      <c r="R118" s="122">
        <f>VLOOKUP($C118&amp;$D118,Sales!$A$21:$W$209,14,FALSE)</f>
        <v>4308.0532232566311</v>
      </c>
      <c r="S118" s="3">
        <v>61</v>
      </c>
      <c r="T118" s="3">
        <f t="shared" ref="T118:T123" si="93">($G118-$I118)/($S118+$V118*20)*V118*10</f>
        <v>5462.9702970297039</v>
      </c>
      <c r="U118" s="122">
        <f>VLOOKUP($C118&amp;$D118,Sales!$A$21:$W$209,17,FALSE)</f>
        <v>9721.5376778499904</v>
      </c>
      <c r="V118" s="3">
        <v>2</v>
      </c>
      <c r="X118" s="27">
        <f t="shared" si="88"/>
        <v>1</v>
      </c>
      <c r="Y118" s="28">
        <v>0.9</v>
      </c>
      <c r="Z118" s="27">
        <f t="shared" si="56"/>
        <v>1</v>
      </c>
      <c r="AA118" s="132">
        <f t="shared" si="57"/>
        <v>1</v>
      </c>
      <c r="AB118" s="27">
        <f t="shared" si="89"/>
        <v>0</v>
      </c>
      <c r="AC118" s="5">
        <f>2*$AC$9</f>
        <v>2</v>
      </c>
      <c r="AD118">
        <f t="shared" si="81"/>
        <v>0.55000000000000004</v>
      </c>
      <c r="AE118" s="24">
        <f t="shared" si="72"/>
        <v>148.36319658678443</v>
      </c>
      <c r="AF118" s="24">
        <f t="shared" si="58"/>
        <v>0</v>
      </c>
      <c r="AG118" s="24">
        <f t="shared" si="59"/>
        <v>15000</v>
      </c>
      <c r="AH118" s="24">
        <f t="shared" si="60"/>
        <v>0</v>
      </c>
      <c r="AI118" s="5">
        <f t="shared" si="83"/>
        <v>2.9</v>
      </c>
      <c r="AJ118" s="5">
        <f t="shared" si="84"/>
        <v>0.56100000000000005</v>
      </c>
      <c r="AK118" s="24">
        <f t="shared" si="61"/>
        <v>262.69297772634951</v>
      </c>
      <c r="AL118" s="24">
        <f t="shared" si="62"/>
        <v>0</v>
      </c>
      <c r="AM118" s="24">
        <f t="shared" si="63"/>
        <v>32500</v>
      </c>
      <c r="AN118" s="24">
        <f t="shared" si="64"/>
        <v>0</v>
      </c>
      <c r="AO118" s="5">
        <f t="shared" si="85"/>
        <v>3.4</v>
      </c>
      <c r="AP118" s="5">
        <f t="shared" si="86"/>
        <v>0.57222000000000006</v>
      </c>
      <c r="AQ118" s="24">
        <f t="shared" si="65"/>
        <v>350.52818926794612</v>
      </c>
      <c r="AR118" s="24">
        <f t="shared" si="66"/>
        <v>0</v>
      </c>
      <c r="AS118" s="24">
        <f t="shared" si="67"/>
        <v>96044.921875</v>
      </c>
      <c r="AT118" s="24">
        <f t="shared" si="68"/>
        <v>0</v>
      </c>
      <c r="BA118" s="5">
        <f t="shared" si="73"/>
        <v>3.4</v>
      </c>
      <c r="BB118" s="5">
        <f t="shared" si="74"/>
        <v>0.57222000000000006</v>
      </c>
      <c r="BC118" s="24">
        <f t="shared" si="75"/>
        <v>350.52818926794612</v>
      </c>
      <c r="BD118" s="24">
        <f t="shared" si="76"/>
        <v>0</v>
      </c>
      <c r="BE118" s="24">
        <f t="shared" si="77"/>
        <v>96044.921875</v>
      </c>
      <c r="BF118" s="24">
        <f t="shared" si="78"/>
        <v>0</v>
      </c>
      <c r="BI118" t="str">
        <f>RegionWideSubstations!C118</f>
        <v>City of McCleary</v>
      </c>
      <c r="BJ118" s="417">
        <f>RegionWideSubstations!AE118/8760</f>
        <v>1.6936437966527901E-2</v>
      </c>
      <c r="BK118" s="416">
        <f>RegionWideSubstations!AF118/8760</f>
        <v>0</v>
      </c>
      <c r="BL118" s="70">
        <f>(RegionWideSubstations!AK118/8760)-BJ118</f>
        <v>1.3051344878945787E-2</v>
      </c>
      <c r="BM118" s="415">
        <f>(RegionWideSubstations!AL118/8760)-BK118</f>
        <v>0</v>
      </c>
      <c r="BN118" s="70">
        <f>(RegionWideSubstations!AQ118/8760)-BJ118-BL118</f>
        <v>1.0026850632602349E-2</v>
      </c>
      <c r="BO118" s="415">
        <f>(RegionWideSubstations!AR118/8760)-BK118-BM118</f>
        <v>0</v>
      </c>
      <c r="BP118" s="70">
        <f t="shared" si="69"/>
        <v>-4.0014633478076038E-2</v>
      </c>
      <c r="BQ118" s="24">
        <f t="shared" si="70"/>
        <v>0</v>
      </c>
    </row>
    <row r="119" spans="1:69">
      <c r="A119">
        <f t="shared" si="90"/>
        <v>107</v>
      </c>
      <c r="B119">
        <v>11589</v>
      </c>
      <c r="C119" t="s">
        <v>148</v>
      </c>
      <c r="D119" t="s">
        <v>1</v>
      </c>
      <c r="E119" t="s">
        <v>91</v>
      </c>
      <c r="F119" s="3">
        <v>1254</v>
      </c>
      <c r="G119" s="3">
        <v>38189</v>
      </c>
      <c r="H119" s="122">
        <f>VLOOKUP($C119&amp;$D119,Sales!$A$21:$W$209,23,FALSE)</f>
        <v>49509</v>
      </c>
      <c r="I119" s="3">
        <v>17605</v>
      </c>
      <c r="J119" s="122">
        <f>VLOOKUP($C119&amp;$D119,Sales!$A$21:$W$209,11,FALSE)</f>
        <v>21214.356283193421</v>
      </c>
      <c r="K119" s="3">
        <v>1500</v>
      </c>
      <c r="L119" s="122">
        <f>VLOOKUP($C119&amp;$D119,Sales!$A$21:$W$209,12,FALSE)</f>
        <v>1207.3594053005818</v>
      </c>
      <c r="M119" s="3">
        <f t="shared" si="82"/>
        <v>11736.666666666666</v>
      </c>
      <c r="N119">
        <v>2</v>
      </c>
      <c r="O119">
        <v>2</v>
      </c>
      <c r="P119">
        <v>3</v>
      </c>
      <c r="Q119" s="3">
        <f t="shared" si="92"/>
        <v>2068.7911886186325</v>
      </c>
      <c r="R119" s="122">
        <f>VLOOKUP($C119&amp;$D119,Sales!$A$21:$W$209,14,FALSE)</f>
        <v>14765.972310262121</v>
      </c>
      <c r="S119" s="3">
        <v>219</v>
      </c>
      <c r="T119" s="3">
        <f t="shared" si="93"/>
        <v>9257.6044056906849</v>
      </c>
      <c r="U119" s="122">
        <f>VLOOKUP($C119&amp;$D119,Sales!$A$21:$W$209,17,FALSE)</f>
        <v>13528.671406544458</v>
      </c>
      <c r="V119" s="3">
        <v>98</v>
      </c>
      <c r="X119" s="27">
        <f t="shared" si="88"/>
        <v>1</v>
      </c>
      <c r="Y119" s="28">
        <v>0.9</v>
      </c>
      <c r="Z119" s="27">
        <f t="shared" si="56"/>
        <v>1</v>
      </c>
      <c r="AA119" s="132">
        <f t="shared" si="57"/>
        <v>1</v>
      </c>
      <c r="AB119" s="27">
        <f t="shared" si="89"/>
        <v>0</v>
      </c>
      <c r="AC119" s="5">
        <f>1.5*$AC$9</f>
        <v>1.5</v>
      </c>
      <c r="AD119">
        <f t="shared" si="81"/>
        <v>0.55000000000000004</v>
      </c>
      <c r="AE119" s="24">
        <f t="shared" si="72"/>
        <v>181.93284043146537</v>
      </c>
      <c r="AF119" s="24">
        <f t="shared" si="58"/>
        <v>0</v>
      </c>
      <c r="AG119" s="24">
        <f t="shared" si="59"/>
        <v>15000</v>
      </c>
      <c r="AH119" s="24">
        <f t="shared" si="60"/>
        <v>0</v>
      </c>
      <c r="AI119" s="5">
        <f t="shared" si="83"/>
        <v>2.4</v>
      </c>
      <c r="AJ119" s="5">
        <f t="shared" si="84"/>
        <v>0.56100000000000005</v>
      </c>
      <c r="AK119" s="24">
        <f t="shared" si="61"/>
        <v>358.37330125330487</v>
      </c>
      <c r="AL119" s="24">
        <f t="shared" si="62"/>
        <v>0</v>
      </c>
      <c r="AM119" s="24">
        <f t="shared" si="63"/>
        <v>32500</v>
      </c>
      <c r="AN119" s="24">
        <f t="shared" si="64"/>
        <v>0</v>
      </c>
      <c r="AO119" s="5">
        <f t="shared" si="85"/>
        <v>2.9</v>
      </c>
      <c r="AP119" s="5">
        <f t="shared" si="86"/>
        <v>0.57222000000000006</v>
      </c>
      <c r="AQ119" s="24">
        <f t="shared" si="65"/>
        <v>499.6970504783294</v>
      </c>
      <c r="AR119" s="24">
        <f t="shared" si="66"/>
        <v>0</v>
      </c>
      <c r="AS119" s="24">
        <f t="shared" si="67"/>
        <v>110367.97026502909</v>
      </c>
      <c r="AT119" s="24">
        <f t="shared" si="68"/>
        <v>0</v>
      </c>
      <c r="BA119" s="5">
        <f t="shared" si="73"/>
        <v>2.9</v>
      </c>
      <c r="BB119" s="5">
        <f t="shared" si="74"/>
        <v>0.57222000000000006</v>
      </c>
      <c r="BC119" s="24">
        <f t="shared" si="75"/>
        <v>499.6970504783294</v>
      </c>
      <c r="BD119" s="24">
        <f t="shared" si="76"/>
        <v>0</v>
      </c>
      <c r="BE119" s="24">
        <f t="shared" si="77"/>
        <v>110367.97026502909</v>
      </c>
      <c r="BF119" s="24">
        <f t="shared" si="78"/>
        <v>0</v>
      </c>
      <c r="BI119" t="str">
        <f>RegionWideSubstations!C119</f>
        <v>Nespelem Valley Elec Coop, Inc</v>
      </c>
      <c r="BJ119" s="417">
        <f>RegionWideSubstations!AE119/8760</f>
        <v>2.0768589090349926E-2</v>
      </c>
      <c r="BK119" s="416">
        <f>RegionWideSubstations!AF119/8760</f>
        <v>0</v>
      </c>
      <c r="BL119" s="70">
        <f>(RegionWideSubstations!AK119/8760)-BJ119</f>
        <v>2.0141605116648351E-2</v>
      </c>
      <c r="BM119" s="415">
        <f>(RegionWideSubstations!AL119/8760)-BK119</f>
        <v>0</v>
      </c>
      <c r="BN119" s="70">
        <f>(RegionWideSubstations!AQ119/8760)-BJ119-BL119</f>
        <v>1.613284808504846E-2</v>
      </c>
      <c r="BO119" s="415">
        <f>(RegionWideSubstations!AR119/8760)-BK119-BM119</f>
        <v>0</v>
      </c>
      <c r="BP119" s="70">
        <f t="shared" si="69"/>
        <v>-5.7043042292046736E-2</v>
      </c>
      <c r="BQ119" s="24">
        <f t="shared" si="70"/>
        <v>0</v>
      </c>
    </row>
    <row r="120" spans="1:69">
      <c r="A120">
        <f t="shared" si="90"/>
        <v>108</v>
      </c>
      <c r="B120">
        <v>13387</v>
      </c>
      <c r="C120" t="s">
        <v>43</v>
      </c>
      <c r="D120" t="s">
        <v>1</v>
      </c>
      <c r="E120" t="s">
        <v>29</v>
      </c>
      <c r="F120" s="3">
        <v>1948</v>
      </c>
      <c r="G120" s="3">
        <v>37733</v>
      </c>
      <c r="H120" s="122">
        <f>VLOOKUP($C120&amp;$D120,Sales!$A$21:$W$209,23,FALSE)</f>
        <v>38287</v>
      </c>
      <c r="I120" s="3">
        <v>30517</v>
      </c>
      <c r="J120" s="122">
        <f>VLOOKUP($C120&amp;$D120,Sales!$A$21:$W$209,11,FALSE)</f>
        <v>30911</v>
      </c>
      <c r="K120" s="3">
        <v>2675</v>
      </c>
      <c r="L120" s="122">
        <f>VLOOKUP($C120&amp;$D120,Sales!$A$21:$W$209,12,FALSE)</f>
        <v>2701</v>
      </c>
      <c r="M120" s="3">
        <f t="shared" si="82"/>
        <v>11408.224299065419</v>
      </c>
      <c r="N120">
        <v>1</v>
      </c>
      <c r="O120">
        <v>1</v>
      </c>
      <c r="P120">
        <v>1</v>
      </c>
      <c r="Q120" s="3">
        <f t="shared" si="92"/>
        <v>7216</v>
      </c>
      <c r="R120" s="122">
        <f>VLOOKUP($C120&amp;$D120,Sales!$A$21:$W$209,14,FALSE)</f>
        <v>7376</v>
      </c>
      <c r="S120" s="3">
        <v>128</v>
      </c>
      <c r="T120" s="3">
        <f t="shared" si="93"/>
        <v>0</v>
      </c>
      <c r="U120" s="122">
        <f>VLOOKUP($C120&amp;$D120,Sales!$A$21:$W$209,17,FALSE)</f>
        <v>0</v>
      </c>
      <c r="V120" s="3"/>
      <c r="X120" s="27">
        <f t="shared" si="88"/>
        <v>1</v>
      </c>
      <c r="Y120" s="28">
        <v>0.9</v>
      </c>
      <c r="Z120" s="27">
        <f t="shared" si="56"/>
        <v>1</v>
      </c>
      <c r="AA120" s="132">
        <f t="shared" si="57"/>
        <v>1</v>
      </c>
      <c r="AB120" s="27">
        <f t="shared" si="89"/>
        <v>0</v>
      </c>
      <c r="AC120" s="5">
        <f>2*$AC$9</f>
        <v>2</v>
      </c>
      <c r="AD120">
        <f t="shared" si="81"/>
        <v>0.55000000000000004</v>
      </c>
      <c r="AE120" s="24">
        <f t="shared" si="72"/>
        <v>274.06806906623257</v>
      </c>
      <c r="AF120" s="24">
        <f t="shared" si="58"/>
        <v>0</v>
      </c>
      <c r="AG120" s="24">
        <f t="shared" si="59"/>
        <v>15000</v>
      </c>
      <c r="AH120" s="24">
        <f t="shared" si="60"/>
        <v>0</v>
      </c>
      <c r="AI120" s="5">
        <f t="shared" si="83"/>
        <v>2.9</v>
      </c>
      <c r="AJ120" s="5">
        <f t="shared" si="84"/>
        <v>0.56100000000000005</v>
      </c>
      <c r="AK120" s="24">
        <f t="shared" si="61"/>
        <v>468.65754800501617</v>
      </c>
      <c r="AL120" s="24">
        <f t="shared" si="62"/>
        <v>0</v>
      </c>
      <c r="AM120" s="24">
        <f t="shared" si="63"/>
        <v>32500</v>
      </c>
      <c r="AN120" s="24">
        <f t="shared" si="64"/>
        <v>0</v>
      </c>
      <c r="AO120" s="5">
        <f t="shared" si="85"/>
        <v>3.4</v>
      </c>
      <c r="AP120" s="5">
        <f t="shared" si="86"/>
        <v>0.57222000000000006</v>
      </c>
      <c r="AQ120" s="24">
        <f t="shared" si="65"/>
        <v>605.84512059010819</v>
      </c>
      <c r="AR120" s="24">
        <f t="shared" si="66"/>
        <v>0</v>
      </c>
      <c r="AS120" s="24">
        <f t="shared" si="67"/>
        <v>185050</v>
      </c>
      <c r="AT120" s="24">
        <f t="shared" si="68"/>
        <v>0</v>
      </c>
      <c r="BA120" s="5">
        <f t="shared" si="73"/>
        <v>3.4</v>
      </c>
      <c r="BB120" s="5">
        <f t="shared" si="74"/>
        <v>0.57222000000000006</v>
      </c>
      <c r="BC120" s="24">
        <f t="shared" si="75"/>
        <v>605.84512059010819</v>
      </c>
      <c r="BD120" s="24">
        <f t="shared" si="76"/>
        <v>0</v>
      </c>
      <c r="BE120" s="24">
        <f t="shared" si="77"/>
        <v>185050</v>
      </c>
      <c r="BF120" s="24">
        <f t="shared" si="78"/>
        <v>0</v>
      </c>
      <c r="BI120" t="str">
        <f>RegionWideSubstations!C120</f>
        <v>Town of Steilacoom</v>
      </c>
      <c r="BJ120" s="417">
        <f>RegionWideSubstations!AE120/8760</f>
        <v>3.1286309254136141E-2</v>
      </c>
      <c r="BK120" s="416">
        <f>RegionWideSubstations!AF120/8760</f>
        <v>0</v>
      </c>
      <c r="BL120" s="70">
        <f>(RegionWideSubstations!AK120/8760)-BJ120</f>
        <v>2.2213410837760683E-2</v>
      </c>
      <c r="BM120" s="415">
        <f>(RegionWideSubstations!AL120/8760)-BK120</f>
        <v>0</v>
      </c>
      <c r="BN120" s="70">
        <f>(RegionWideSubstations!AQ120/8760)-BJ120-BL120</f>
        <v>1.566068180195114E-2</v>
      </c>
      <c r="BO120" s="415">
        <f>(RegionWideSubstations!AR120/8760)-BK120-BM120</f>
        <v>0</v>
      </c>
      <c r="BP120" s="70">
        <f t="shared" si="69"/>
        <v>-6.9160401893847964E-2</v>
      </c>
      <c r="BQ120" s="24">
        <f t="shared" si="70"/>
        <v>0</v>
      </c>
    </row>
    <row r="121" spans="1:69">
      <c r="A121">
        <f t="shared" si="90"/>
        <v>109</v>
      </c>
      <c r="B121">
        <v>5631</v>
      </c>
      <c r="C121" t="s">
        <v>137</v>
      </c>
      <c r="D121" t="s">
        <v>3</v>
      </c>
      <c r="E121" t="s">
        <v>91</v>
      </c>
      <c r="F121" s="3">
        <v>3075</v>
      </c>
      <c r="G121" s="3">
        <v>36518</v>
      </c>
      <c r="H121" s="122">
        <f>VLOOKUP($C121&amp;$D121,Sales!$A$21:$W$209,23,FALSE)</f>
        <v>48769</v>
      </c>
      <c r="I121" s="3">
        <v>33231</v>
      </c>
      <c r="J121" s="122">
        <f>VLOOKUP($C121&amp;$D121,Sales!$A$21:$W$209,11,FALSE)</f>
        <v>40455.648569317709</v>
      </c>
      <c r="K121" s="3">
        <v>3043</v>
      </c>
      <c r="L121" s="122">
        <f>VLOOKUP($C121&amp;$D121,Sales!$A$21:$W$209,12,FALSE)</f>
        <v>3493.2614555256064</v>
      </c>
      <c r="M121" s="3">
        <f t="shared" si="82"/>
        <v>10920.473217219849</v>
      </c>
      <c r="N121">
        <v>2</v>
      </c>
      <c r="O121">
        <v>1</v>
      </c>
      <c r="P121">
        <v>3</v>
      </c>
      <c r="Q121" s="3">
        <f t="shared" si="92"/>
        <v>1435.1690140845071</v>
      </c>
      <c r="R121" s="122">
        <f>VLOOKUP($C121&amp;$D121,Sales!$A$21:$W$209,14,FALSE)</f>
        <v>8115.6695353527284</v>
      </c>
      <c r="S121" s="3">
        <v>217</v>
      </c>
      <c r="T121" s="3">
        <f t="shared" si="93"/>
        <v>925.91549295774655</v>
      </c>
      <c r="U121" s="122">
        <f>VLOOKUP($C121&amp;$D121,Sales!$A$21:$W$209,17,FALSE)</f>
        <v>197.68189532956609</v>
      </c>
      <c r="V121" s="3">
        <v>14</v>
      </c>
      <c r="X121" s="27">
        <f t="shared" si="88"/>
        <v>1</v>
      </c>
      <c r="Y121" s="28">
        <v>0.9</v>
      </c>
      <c r="Z121" s="27">
        <f t="shared" si="56"/>
        <v>1</v>
      </c>
      <c r="AA121" s="132">
        <f t="shared" si="57"/>
        <v>1</v>
      </c>
      <c r="AB121" s="27">
        <f t="shared" si="89"/>
        <v>0</v>
      </c>
      <c r="AC121" s="5">
        <f>1.5*$AC$9</f>
        <v>1.5</v>
      </c>
      <c r="AD121">
        <f t="shared" si="81"/>
        <v>0.55000000000000004</v>
      </c>
      <c r="AE121" s="24">
        <f t="shared" si="72"/>
        <v>263.7932641855765</v>
      </c>
      <c r="AF121" s="24">
        <f t="shared" si="58"/>
        <v>410.34507762200781</v>
      </c>
      <c r="AG121" s="24">
        <f t="shared" si="59"/>
        <v>25000</v>
      </c>
      <c r="AH121" s="24">
        <f t="shared" si="60"/>
        <v>150000</v>
      </c>
      <c r="AI121" s="5">
        <f t="shared" si="83"/>
        <v>2.4</v>
      </c>
      <c r="AJ121" s="5">
        <f t="shared" si="84"/>
        <v>0.56100000000000005</v>
      </c>
      <c r="AK121" s="24">
        <f t="shared" si="61"/>
        <v>497.08049248731436</v>
      </c>
      <c r="AL121" s="24">
        <f t="shared" si="62"/>
        <v>583.37918909969528</v>
      </c>
      <c r="AM121" s="24">
        <f t="shared" si="63"/>
        <v>60000</v>
      </c>
      <c r="AN121" s="24">
        <f t="shared" si="64"/>
        <v>167500</v>
      </c>
      <c r="AO121" s="5">
        <f t="shared" si="85"/>
        <v>2.9</v>
      </c>
      <c r="AP121" s="5">
        <f t="shared" si="86"/>
        <v>0.57222000000000006</v>
      </c>
      <c r="AQ121" s="24">
        <f t="shared" si="65"/>
        <v>660.85730079979157</v>
      </c>
      <c r="AR121" s="24">
        <f t="shared" si="66"/>
        <v>755.80806240895708</v>
      </c>
      <c r="AS121" s="24">
        <f t="shared" si="67"/>
        <v>269663.07277628034</v>
      </c>
      <c r="AT121" s="24">
        <f t="shared" si="68"/>
        <v>374663.07277628034</v>
      </c>
      <c r="BA121" s="5">
        <f t="shared" si="73"/>
        <v>2.9</v>
      </c>
      <c r="BB121" s="5">
        <f t="shared" si="74"/>
        <v>0.57222000000000006</v>
      </c>
      <c r="BC121" s="24">
        <f t="shared" si="75"/>
        <v>660.85730079979157</v>
      </c>
      <c r="BD121" s="24">
        <f t="shared" si="76"/>
        <v>755.80806240895708</v>
      </c>
      <c r="BE121" s="24">
        <f t="shared" si="77"/>
        <v>269663.07277628034</v>
      </c>
      <c r="BF121" s="24">
        <f t="shared" si="78"/>
        <v>374663.07277628034</v>
      </c>
      <c r="BI121" t="str">
        <f>RegionWideSubstations!C121</f>
        <v>Idaho Cnty L&amp;P Coop Assn, Inc</v>
      </c>
      <c r="BJ121" s="417">
        <f>RegionWideSubstations!AE121/8760</f>
        <v>3.0113386322554395E-2</v>
      </c>
      <c r="BK121" s="416">
        <f>RegionWideSubstations!AF121/8760</f>
        <v>4.6843045390640159E-2</v>
      </c>
      <c r="BL121" s="70">
        <f>(RegionWideSubstations!AK121/8760)-BJ121</f>
        <v>2.6630962134901581E-2</v>
      </c>
      <c r="BM121" s="415">
        <f>(RegionWideSubstations!AL121/8760)-BK121</f>
        <v>1.9752752451790812E-2</v>
      </c>
      <c r="BN121" s="70">
        <f>(RegionWideSubstations!AQ121/8760)-BJ121-BL121</f>
        <v>1.8695982684072746E-2</v>
      </c>
      <c r="BO121" s="415">
        <f>(RegionWideSubstations!AR121/8760)-BK121-BM121</f>
        <v>1.9683661336673722E-2</v>
      </c>
      <c r="BP121" s="70">
        <f t="shared" si="69"/>
        <v>1.0839128037575974E-2</v>
      </c>
      <c r="BQ121" s="24">
        <f t="shared" si="70"/>
        <v>8.6279459179104692E-2</v>
      </c>
    </row>
    <row r="122" spans="1:69">
      <c r="A122">
        <f t="shared" si="90"/>
        <v>110</v>
      </c>
      <c r="B122">
        <v>17493</v>
      </c>
      <c r="C122" t="s">
        <v>87</v>
      </c>
      <c r="D122" t="s">
        <v>1</v>
      </c>
      <c r="E122" t="s">
        <v>62</v>
      </c>
      <c r="F122" s="3">
        <v>1935</v>
      </c>
      <c r="G122" s="3">
        <v>36079</v>
      </c>
      <c r="H122" s="126">
        <f>G122*SUM(H$13:H$53,H$55:H$64,H$66:H$70,H$72:H$76,H$78:H$110,H$112:H$114,H$117:H$121,H$123:H$142)/SUM(G$13:G$53,G$55:G$64,G$66:G$70,G$72:G$76,G$78:G$110,G$112:G$114,G$117:G$121,G$123:G$142)</f>
        <v>38650.846072870001</v>
      </c>
      <c r="I122" s="3">
        <v>26264</v>
      </c>
      <c r="J122" s="126">
        <f>I122*SUM(J$13:J$53,J$55:J$64,J$66:J$70,J$72:J$76,J$78:J$110,J$112:J$114,J$117:J$121,J$123:J$142)/SUM(I$13:I$53,I$55:I$64,I$66:I$70,I$72:I$76,I$78:I$110,I$112:I$114,I$117:I$121,I$123:I$142)</f>
        <v>28199.889641524504</v>
      </c>
      <c r="K122" s="3">
        <v>1920</v>
      </c>
      <c r="L122" s="126">
        <f>K122*SUM(L$13:L$53,L$55:L$64,L$66:L$70,L$72:L$76,L$78:L$110,L$112:L$114,L$117:L$121,L$123:L$142)/SUM(K$13:K$53,K$55:K$64,K$66:K$70,K$72:K$76,K$78:K$110,K$112:K$114,K$117:K$121,K$123:K$142)</f>
        <v>2064.1585953728522</v>
      </c>
      <c r="M122" s="3">
        <f t="shared" si="82"/>
        <v>13679.166666666668</v>
      </c>
      <c r="N122">
        <v>1</v>
      </c>
      <c r="O122">
        <v>1</v>
      </c>
      <c r="P122">
        <v>1</v>
      </c>
      <c r="Q122" s="3">
        <f t="shared" si="92"/>
        <v>9815</v>
      </c>
      <c r="R122" s="126">
        <f>H122-J122</f>
        <v>10450.956431345498</v>
      </c>
      <c r="S122" s="3">
        <v>342</v>
      </c>
      <c r="T122" s="3">
        <f t="shared" si="93"/>
        <v>0</v>
      </c>
      <c r="U122" s="126">
        <v>0</v>
      </c>
      <c r="V122" s="3"/>
      <c r="X122" s="27">
        <f t="shared" si="88"/>
        <v>1</v>
      </c>
      <c r="Y122" s="28">
        <v>0.9</v>
      </c>
      <c r="Z122" s="27">
        <f t="shared" si="56"/>
        <v>1</v>
      </c>
      <c r="AA122" s="132">
        <f t="shared" si="57"/>
        <v>1</v>
      </c>
      <c r="AB122" s="27">
        <f t="shared" si="89"/>
        <v>0</v>
      </c>
      <c r="AC122" s="5">
        <f>1.5*$AC$9</f>
        <v>1.5</v>
      </c>
      <c r="AD122">
        <f t="shared" si="81"/>
        <v>0.55000000000000004</v>
      </c>
      <c r="AE122" s="24">
        <f t="shared" si="72"/>
        <v>200.42914499522368</v>
      </c>
      <c r="AF122" s="24">
        <f t="shared" si="58"/>
        <v>0</v>
      </c>
      <c r="AG122" s="24">
        <f t="shared" si="59"/>
        <v>15000</v>
      </c>
      <c r="AH122" s="24">
        <f t="shared" si="60"/>
        <v>0</v>
      </c>
      <c r="AI122" s="5">
        <f t="shared" si="83"/>
        <v>2.4</v>
      </c>
      <c r="AJ122" s="5">
        <f t="shared" si="84"/>
        <v>0.56100000000000005</v>
      </c>
      <c r="AK122" s="24">
        <f t="shared" si="61"/>
        <v>380.16593811495716</v>
      </c>
      <c r="AL122" s="24">
        <f t="shared" si="62"/>
        <v>0</v>
      </c>
      <c r="AM122" s="24">
        <f t="shared" si="63"/>
        <v>32500</v>
      </c>
      <c r="AN122" s="24">
        <f t="shared" si="64"/>
        <v>0</v>
      </c>
      <c r="AO122" s="5">
        <f t="shared" si="85"/>
        <v>2.9</v>
      </c>
      <c r="AP122" s="5">
        <f t="shared" si="86"/>
        <v>0.57222000000000006</v>
      </c>
      <c r="AQ122" s="24">
        <f t="shared" si="65"/>
        <v>510.36818435430587</v>
      </c>
      <c r="AR122" s="24">
        <f t="shared" si="66"/>
        <v>0</v>
      </c>
      <c r="AS122" s="24">
        <f t="shared" si="67"/>
        <v>153207.92976864261</v>
      </c>
      <c r="AT122" s="24">
        <f t="shared" si="68"/>
        <v>0</v>
      </c>
      <c r="BA122" s="5">
        <f t="shared" si="73"/>
        <v>2.9</v>
      </c>
      <c r="BB122" s="5">
        <f t="shared" si="74"/>
        <v>0.57222000000000006</v>
      </c>
      <c r="BC122" s="24">
        <f t="shared" si="75"/>
        <v>510.36818435430587</v>
      </c>
      <c r="BD122" s="24">
        <f t="shared" si="76"/>
        <v>0</v>
      </c>
      <c r="BE122" s="24">
        <f t="shared" si="77"/>
        <v>153207.92976864261</v>
      </c>
      <c r="BF122" s="24">
        <f t="shared" si="78"/>
        <v>0</v>
      </c>
      <c r="BI122" t="str">
        <f>RegionWideSubstations!C122</f>
        <v>PUD No 1 Wahkiakum County</v>
      </c>
      <c r="BJ122" s="417">
        <f>RegionWideSubstations!AE122/8760</f>
        <v>2.2880039383016401E-2</v>
      </c>
      <c r="BK122" s="416">
        <f>RegionWideSubstations!AF122/8760</f>
        <v>0</v>
      </c>
      <c r="BL122" s="70">
        <f>(RegionWideSubstations!AK122/8760)-BJ122</f>
        <v>2.0517898757960444E-2</v>
      </c>
      <c r="BM122" s="415">
        <f>(RegionWideSubstations!AL122/8760)-BK122</f>
        <v>0</v>
      </c>
      <c r="BN122" s="70">
        <f>(RegionWideSubstations!AQ122/8760)-BJ122-BL122</f>
        <v>1.4863270118647111E-2</v>
      </c>
      <c r="BO122" s="415">
        <f>(RegionWideSubstations!AR122/8760)-BK122-BM122</f>
        <v>0</v>
      </c>
      <c r="BP122" s="70">
        <f t="shared" si="69"/>
        <v>-5.8261208259623956E-2</v>
      </c>
      <c r="BQ122" s="24">
        <f t="shared" si="70"/>
        <v>0</v>
      </c>
    </row>
    <row r="123" spans="1:69">
      <c r="A123">
        <f t="shared" si="90"/>
        <v>111</v>
      </c>
      <c r="B123">
        <v>4008</v>
      </c>
      <c r="C123" t="s">
        <v>141</v>
      </c>
      <c r="D123" t="s">
        <v>1</v>
      </c>
      <c r="E123" t="s">
        <v>91</v>
      </c>
      <c r="F123" s="3">
        <v>2470</v>
      </c>
      <c r="G123" s="9">
        <f>+I123</f>
        <v>30797</v>
      </c>
      <c r="H123" s="122">
        <f>VLOOKUP($C123&amp;$D123,Sales!$A$21:$W$209,23,FALSE)</f>
        <v>54241</v>
      </c>
      <c r="I123" s="3">
        <v>30797</v>
      </c>
      <c r="J123" s="122">
        <f>VLOOKUP($C123&amp;$D123,Sales!$A$21:$W$209,11,FALSE)</f>
        <v>37438</v>
      </c>
      <c r="K123" s="3">
        <v>2832</v>
      </c>
      <c r="L123" s="122">
        <f>VLOOKUP($C123&amp;$D123,Sales!$A$21:$W$209,12,FALSE)</f>
        <v>3212</v>
      </c>
      <c r="M123" s="3">
        <f t="shared" si="82"/>
        <v>10874.646892655366</v>
      </c>
      <c r="N123">
        <v>2</v>
      </c>
      <c r="O123">
        <v>2</v>
      </c>
      <c r="P123">
        <v>3</v>
      </c>
      <c r="Q123" s="3">
        <f t="shared" si="92"/>
        <v>0</v>
      </c>
      <c r="R123" s="122">
        <f>VLOOKUP($C123&amp;$D123,Sales!$A$21:$W$209,14,FALSE)</f>
        <v>16803</v>
      </c>
      <c r="S123" s="3">
        <v>228</v>
      </c>
      <c r="T123" s="3">
        <f t="shared" si="93"/>
        <v>0</v>
      </c>
      <c r="U123" s="122">
        <f>VLOOKUP($C123&amp;$D123,Sales!$A$21:$W$209,17,FALSE)</f>
        <v>0</v>
      </c>
      <c r="V123" s="3">
        <v>135</v>
      </c>
      <c r="X123" s="27">
        <f t="shared" si="88"/>
        <v>1</v>
      </c>
      <c r="Y123" s="28">
        <v>0.9</v>
      </c>
      <c r="Z123" s="27">
        <f t="shared" si="56"/>
        <v>1</v>
      </c>
      <c r="AA123" s="132">
        <f t="shared" si="57"/>
        <v>1</v>
      </c>
      <c r="AB123" s="27">
        <f t="shared" si="89"/>
        <v>0</v>
      </c>
      <c r="AC123" s="5">
        <f>1.5*$AC$9</f>
        <v>1.5</v>
      </c>
      <c r="AD123">
        <f t="shared" ref="AD123:AD142" si="94">0.5*$AD$9</f>
        <v>0.55000000000000004</v>
      </c>
      <c r="AE123" s="24">
        <f t="shared" si="72"/>
        <v>276.24320889349758</v>
      </c>
      <c r="AF123" s="24">
        <f t="shared" si="58"/>
        <v>429.711658278774</v>
      </c>
      <c r="AG123" s="24">
        <f t="shared" si="59"/>
        <v>25000</v>
      </c>
      <c r="AH123" s="24">
        <f t="shared" si="60"/>
        <v>150000</v>
      </c>
      <c r="AI123" s="5">
        <f t="shared" si="83"/>
        <v>2.4</v>
      </c>
      <c r="AJ123" s="5">
        <f t="shared" si="84"/>
        <v>0.56100000000000005</v>
      </c>
      <c r="AK123" s="24">
        <f t="shared" si="61"/>
        <v>525.42156710037023</v>
      </c>
      <c r="AL123" s="24">
        <f t="shared" si="62"/>
        <v>616.6405891664067</v>
      </c>
      <c r="AM123" s="24">
        <f t="shared" si="63"/>
        <v>60000</v>
      </c>
      <c r="AN123" s="24">
        <f t="shared" si="64"/>
        <v>167500</v>
      </c>
      <c r="AO123" s="5">
        <f t="shared" si="85"/>
        <v>2.9</v>
      </c>
      <c r="AP123" s="5">
        <f t="shared" si="86"/>
        <v>0.57222000000000006</v>
      </c>
      <c r="AQ123" s="24">
        <f t="shared" si="65"/>
        <v>708.20004369253274</v>
      </c>
      <c r="AR123" s="24">
        <f t="shared" si="66"/>
        <v>809.95292353341381</v>
      </c>
      <c r="AS123" s="24">
        <f t="shared" si="67"/>
        <v>255600</v>
      </c>
      <c r="AT123" s="24">
        <f t="shared" si="68"/>
        <v>360600</v>
      </c>
      <c r="BA123" s="5">
        <f t="shared" si="73"/>
        <v>2.9</v>
      </c>
      <c r="BB123" s="5">
        <f t="shared" si="74"/>
        <v>0.57222000000000006</v>
      </c>
      <c r="BC123" s="24">
        <f t="shared" si="75"/>
        <v>708.20004369253274</v>
      </c>
      <c r="BD123" s="24">
        <f t="shared" si="76"/>
        <v>809.95292353341381</v>
      </c>
      <c r="BE123" s="24">
        <f t="shared" si="77"/>
        <v>255600</v>
      </c>
      <c r="BF123" s="24">
        <f t="shared" si="78"/>
        <v>360600</v>
      </c>
      <c r="BI123" t="str">
        <f>RegionWideSubstations!C123</f>
        <v>Okanogan County Elec Coop, Inc</v>
      </c>
      <c r="BJ123" s="417">
        <f>RegionWideSubstations!AE123/8760</f>
        <v>3.1534612887385571E-2</v>
      </c>
      <c r="BK123" s="416">
        <f>RegionWideSubstations!AF123/8760</f>
        <v>4.9053842269266436E-2</v>
      </c>
      <c r="BL123" s="70">
        <f>(RegionWideSubstations!AK123/8760)-BJ123</f>
        <v>2.8445018060145273E-2</v>
      </c>
      <c r="BM123" s="415">
        <f>(RegionWideSubstations!AL123/8760)-BK123</f>
        <v>2.1338919051099629E-2</v>
      </c>
      <c r="BN123" s="70">
        <f>(RegionWideSubstations!AQ123/8760)-BJ123-BL123</f>
        <v>2.086512289864869E-2</v>
      </c>
      <c r="BO123" s="415">
        <f>(RegionWideSubstations!AR123/8760)-BK123-BM123</f>
        <v>2.2067618078425472E-2</v>
      </c>
      <c r="BP123" s="70">
        <f t="shared" si="69"/>
        <v>1.1615625552612002E-2</v>
      </c>
      <c r="BQ123" s="24">
        <f t="shared" si="70"/>
        <v>9.2460379398791537E-2</v>
      </c>
    </row>
    <row r="124" spans="1:69">
      <c r="A124">
        <f t="shared" si="90"/>
        <v>112</v>
      </c>
      <c r="B124">
        <v>8532</v>
      </c>
      <c r="C124" t="s">
        <v>53</v>
      </c>
      <c r="D124" t="s">
        <v>3</v>
      </c>
      <c r="E124" t="s">
        <v>29</v>
      </c>
      <c r="F124" s="3">
        <v>608</v>
      </c>
      <c r="G124" s="3">
        <v>30296</v>
      </c>
      <c r="H124" s="122">
        <f>VLOOKUP($C124&amp;$D124,Sales!$A$21:$W$209,23,FALSE)</f>
        <v>32436</v>
      </c>
      <c r="I124" s="3">
        <v>9016</v>
      </c>
      <c r="J124" s="122">
        <f>VLOOKUP($C124&amp;$D124,Sales!$A$21:$W$209,11,FALSE)</f>
        <v>9994.5608240986421</v>
      </c>
      <c r="K124" s="3">
        <v>644</v>
      </c>
      <c r="L124" s="122">
        <f>VLOOKUP($C124&amp;$D124,Sales!$A$21:$W$209,12,FALSE)</f>
        <v>826.23309053069715</v>
      </c>
      <c r="M124" s="3">
        <f t="shared" si="82"/>
        <v>14000</v>
      </c>
      <c r="N124">
        <v>2</v>
      </c>
      <c r="O124">
        <v>2</v>
      </c>
      <c r="P124">
        <v>3</v>
      </c>
      <c r="Q124" s="3">
        <f t="shared" si="92"/>
        <v>14488.510638297872</v>
      </c>
      <c r="R124" s="122">
        <f>VLOOKUP($C124&amp;$D124,Sales!$A$21:$W$209,14,FALSE)</f>
        <v>8646.8999531762129</v>
      </c>
      <c r="S124" s="3">
        <v>128</v>
      </c>
      <c r="T124" s="3">
        <f>($G124-$I124)/($S124+$V124*20)*V124*20</f>
        <v>6791.489361702128</v>
      </c>
      <c r="U124" s="122">
        <f>VLOOKUP($C124&amp;$D124,Sales!$A$21:$W$209,17,FALSE)</f>
        <v>13794.539222725145</v>
      </c>
      <c r="V124" s="3">
        <v>3</v>
      </c>
      <c r="X124" s="27">
        <f t="shared" si="88"/>
        <v>1</v>
      </c>
      <c r="Y124" s="28">
        <v>0.9</v>
      </c>
      <c r="Z124" s="27">
        <f t="shared" si="56"/>
        <v>1</v>
      </c>
      <c r="AA124" s="132">
        <f t="shared" si="57"/>
        <v>1</v>
      </c>
      <c r="AB124" s="27">
        <f t="shared" si="89"/>
        <v>0</v>
      </c>
      <c r="AC124" s="5">
        <f>2*$AC$9</f>
        <v>2</v>
      </c>
      <c r="AD124">
        <f t="shared" si="94"/>
        <v>0.55000000000000004</v>
      </c>
      <c r="AE124" s="24">
        <f t="shared" si="72"/>
        <v>127.37388108161771</v>
      </c>
      <c r="AF124" s="24">
        <f t="shared" si="58"/>
        <v>0</v>
      </c>
      <c r="AG124" s="24">
        <f t="shared" si="59"/>
        <v>15000</v>
      </c>
      <c r="AH124" s="24">
        <f t="shared" si="60"/>
        <v>0</v>
      </c>
      <c r="AI124" s="5">
        <f t="shared" si="83"/>
        <v>2.9</v>
      </c>
      <c r="AJ124" s="5">
        <f t="shared" si="84"/>
        <v>0.56100000000000005</v>
      </c>
      <c r="AK124" s="24">
        <f t="shared" si="61"/>
        <v>234.06431018752588</v>
      </c>
      <c r="AL124" s="24">
        <f t="shared" si="62"/>
        <v>0</v>
      </c>
      <c r="AM124" s="24">
        <f t="shared" si="63"/>
        <v>32500</v>
      </c>
      <c r="AN124" s="24">
        <f t="shared" si="64"/>
        <v>0</v>
      </c>
      <c r="AO124" s="5">
        <f t="shared" si="85"/>
        <v>3.4</v>
      </c>
      <c r="AP124" s="5">
        <f t="shared" si="86"/>
        <v>0.57222000000000006</v>
      </c>
      <c r="AQ124" s="24">
        <f t="shared" si="65"/>
        <v>324.73153213788703</v>
      </c>
      <c r="AR124" s="24">
        <f t="shared" si="66"/>
        <v>0</v>
      </c>
      <c r="AS124" s="24">
        <f t="shared" si="67"/>
        <v>91311.654526534854</v>
      </c>
      <c r="AT124" s="24">
        <f t="shared" si="68"/>
        <v>0</v>
      </c>
      <c r="BA124" s="5">
        <f t="shared" si="73"/>
        <v>3.4</v>
      </c>
      <c r="BB124" s="5">
        <f t="shared" si="74"/>
        <v>0.57222000000000006</v>
      </c>
      <c r="BC124" s="24">
        <f t="shared" si="75"/>
        <v>324.73153213788703</v>
      </c>
      <c r="BD124" s="24">
        <f t="shared" si="76"/>
        <v>0</v>
      </c>
      <c r="BE124" s="24">
        <f t="shared" si="77"/>
        <v>91311.654526534854</v>
      </c>
      <c r="BF124" s="24">
        <f t="shared" si="78"/>
        <v>0</v>
      </c>
      <c r="BI124" t="str">
        <f>RegionWideSubstations!C124</f>
        <v>City of Plummer</v>
      </c>
      <c r="BJ124" s="417">
        <f>RegionWideSubstations!AE124/8760</f>
        <v>1.4540397383746314E-2</v>
      </c>
      <c r="BK124" s="416">
        <f>RegionWideSubstations!AF124/8760</f>
        <v>0</v>
      </c>
      <c r="BL124" s="70">
        <f>(RegionWideSubstations!AK124/8760)-BJ124</f>
        <v>1.2179272728984948E-2</v>
      </c>
      <c r="BM124" s="415">
        <f>(RegionWideSubstations!AL124/8760)-BK124</f>
        <v>0</v>
      </c>
      <c r="BN124" s="70">
        <f>(RegionWideSubstations!AQ124/8760)-BJ124-BL124</f>
        <v>1.0350139492050358E-2</v>
      </c>
      <c r="BO124" s="415">
        <f>(RegionWideSubstations!AR124/8760)-BK124-BM124</f>
        <v>0</v>
      </c>
      <c r="BP124" s="70">
        <f t="shared" si="69"/>
        <v>-3.7069809604781623E-2</v>
      </c>
      <c r="BQ124" s="24">
        <f t="shared" si="70"/>
        <v>0</v>
      </c>
    </row>
    <row r="125" spans="1:69">
      <c r="A125">
        <f t="shared" si="90"/>
        <v>113</v>
      </c>
      <c r="B125">
        <v>3459</v>
      </c>
      <c r="C125" s="67" t="s">
        <v>331</v>
      </c>
      <c r="D125" t="s">
        <v>3</v>
      </c>
      <c r="E125" t="s">
        <v>29</v>
      </c>
      <c r="F125" s="3">
        <v>967</v>
      </c>
      <c r="G125" s="3">
        <v>28891</v>
      </c>
      <c r="H125" s="122">
        <f>VLOOKUP($C125&amp;$D125,Sales!$A$21:$W$209,23,FALSE)</f>
        <v>39871</v>
      </c>
      <c r="I125" s="3">
        <v>16393</v>
      </c>
      <c r="J125" s="122">
        <f>VLOOKUP($C125&amp;$D125,Sales!$A$21:$W$209,11,FALSE)</f>
        <v>19715.931969939633</v>
      </c>
      <c r="K125" s="3">
        <v>1089</v>
      </c>
      <c r="L125" s="122">
        <f>VLOOKUP($C125&amp;$D125,Sales!$A$21:$W$209,12,FALSE)</f>
        <v>1376.3623978201636</v>
      </c>
      <c r="M125" s="3">
        <f t="shared" si="82"/>
        <v>15053.259871441689</v>
      </c>
      <c r="N125">
        <v>2</v>
      </c>
      <c r="O125">
        <v>3</v>
      </c>
      <c r="P125">
        <v>4</v>
      </c>
      <c r="Q125" s="3">
        <f t="shared" si="92"/>
        <v>10266.214285714284</v>
      </c>
      <c r="R125" s="122">
        <f>VLOOKUP($C125&amp;$D125,Sales!$A$21:$W$209,14,FALSE)</f>
        <v>6790.399211531354</v>
      </c>
      <c r="S125" s="3">
        <v>92</v>
      </c>
      <c r="T125" s="3">
        <f>($G125-$I125)/($S125+$V125*20)*V125*10</f>
        <v>1115.8928571428571</v>
      </c>
      <c r="U125" s="122">
        <f>VLOOKUP($C125&amp;$D125,Sales!$A$21:$W$209,17,FALSE)</f>
        <v>13364.668818529013</v>
      </c>
      <c r="V125" s="3">
        <v>1</v>
      </c>
      <c r="X125" s="27">
        <f t="shared" si="88"/>
        <v>1</v>
      </c>
      <c r="Y125" s="28">
        <v>0.9</v>
      </c>
      <c r="Z125" s="27">
        <f t="shared" si="56"/>
        <v>1</v>
      </c>
      <c r="AA125" s="132">
        <f t="shared" si="57"/>
        <v>1</v>
      </c>
      <c r="AB125" s="27">
        <f t="shared" si="89"/>
        <v>0</v>
      </c>
      <c r="AC125" s="5">
        <f>2*$AC$9</f>
        <v>2</v>
      </c>
      <c r="AD125">
        <f t="shared" si="94"/>
        <v>0.55000000000000004</v>
      </c>
      <c r="AE125" s="24">
        <f t="shared" si="72"/>
        <v>193.95235613672881</v>
      </c>
      <c r="AF125" s="24">
        <f t="shared" si="58"/>
        <v>0</v>
      </c>
      <c r="AG125" s="24">
        <f t="shared" si="59"/>
        <v>15000</v>
      </c>
      <c r="AH125" s="24">
        <f t="shared" si="60"/>
        <v>0</v>
      </c>
      <c r="AI125" s="5">
        <f t="shared" si="83"/>
        <v>2.9</v>
      </c>
      <c r="AJ125" s="5">
        <f t="shared" si="84"/>
        <v>0.56100000000000005</v>
      </c>
      <c r="AK125" s="24">
        <f t="shared" si="61"/>
        <v>344.85337509766936</v>
      </c>
      <c r="AL125" s="24">
        <f t="shared" si="62"/>
        <v>0</v>
      </c>
      <c r="AM125" s="24">
        <f t="shared" si="63"/>
        <v>32500</v>
      </c>
      <c r="AN125" s="24">
        <f t="shared" si="64"/>
        <v>0</v>
      </c>
      <c r="AO125" s="5">
        <f t="shared" si="85"/>
        <v>3.4</v>
      </c>
      <c r="AP125" s="5">
        <f t="shared" si="86"/>
        <v>0.57222000000000006</v>
      </c>
      <c r="AQ125" s="24">
        <f t="shared" si="65"/>
        <v>462.41823204482642</v>
      </c>
      <c r="AR125" s="24">
        <f t="shared" si="66"/>
        <v>0</v>
      </c>
      <c r="AS125" s="24">
        <f t="shared" si="67"/>
        <v>118818.11989100817</v>
      </c>
      <c r="AT125" s="24">
        <f t="shared" si="68"/>
        <v>0</v>
      </c>
      <c r="BA125" s="5">
        <f t="shared" si="73"/>
        <v>3.4</v>
      </c>
      <c r="BB125" s="5">
        <f t="shared" si="74"/>
        <v>0.57222000000000006</v>
      </c>
      <c r="BC125" s="24">
        <f t="shared" si="75"/>
        <v>462.41823204482642</v>
      </c>
      <c r="BD125" s="24">
        <f t="shared" si="76"/>
        <v>0</v>
      </c>
      <c r="BE125" s="24">
        <f t="shared" si="77"/>
        <v>118818.11989100817</v>
      </c>
      <c r="BF125" s="24">
        <f t="shared" si="78"/>
        <v>0</v>
      </c>
      <c r="BI125" t="str">
        <f>RegionWideSubstations!C125</f>
        <v>Heyburn City of</v>
      </c>
      <c r="BJ125" s="417">
        <f>RegionWideSubstations!AE125/8760</f>
        <v>2.2140679924284111E-2</v>
      </c>
      <c r="BK125" s="416">
        <f>RegionWideSubstations!AF125/8760</f>
        <v>0</v>
      </c>
      <c r="BL125" s="70">
        <f>(RegionWideSubstations!AK125/8760)-BJ125</f>
        <v>1.7226143717002346E-2</v>
      </c>
      <c r="BM125" s="415">
        <f>(RegionWideSubstations!AL125/8760)-BK125</f>
        <v>0</v>
      </c>
      <c r="BN125" s="70">
        <f>(RegionWideSubstations!AQ125/8760)-BJ125-BL125</f>
        <v>1.3420645770223408E-2</v>
      </c>
      <c r="BO125" s="415">
        <f>(RegionWideSubstations!AR125/8760)-BK125-BM125</f>
        <v>0</v>
      </c>
      <c r="BP125" s="70">
        <f t="shared" si="69"/>
        <v>-5.2787469411509864E-2</v>
      </c>
      <c r="BQ125" s="24">
        <f t="shared" si="70"/>
        <v>0</v>
      </c>
    </row>
    <row r="126" spans="1:69">
      <c r="A126">
        <f t="shared" si="90"/>
        <v>114</v>
      </c>
      <c r="B126">
        <v>11965</v>
      </c>
      <c r="C126" t="s">
        <v>57</v>
      </c>
      <c r="D126" t="s">
        <v>1</v>
      </c>
      <c r="E126" t="s">
        <v>29</v>
      </c>
      <c r="F126" s="3">
        <v>285</v>
      </c>
      <c r="G126" s="3">
        <v>27930</v>
      </c>
      <c r="H126" s="122">
        <f>VLOOKUP($C126&amp;$D126,Sales!$A$21:$W$209,23,FALSE)</f>
        <v>29499</v>
      </c>
      <c r="I126" s="3">
        <v>4002</v>
      </c>
      <c r="J126" s="122">
        <f>VLOOKUP($C126&amp;$D126,Sales!$A$21:$W$209,11,FALSE)</f>
        <v>5513.8690363562646</v>
      </c>
      <c r="K126" s="3">
        <v>454</v>
      </c>
      <c r="L126" s="122">
        <f>VLOOKUP($C126&amp;$D126,Sales!$A$21:$W$209,12,FALSE)</f>
        <v>545.62770562770561</v>
      </c>
      <c r="M126" s="3">
        <f t="shared" si="82"/>
        <v>8814.9779735682823</v>
      </c>
      <c r="N126">
        <v>1</v>
      </c>
      <c r="O126">
        <v>1</v>
      </c>
      <c r="P126">
        <v>2</v>
      </c>
      <c r="Q126" s="3">
        <f t="shared" si="92"/>
        <v>7077.2957746478869</v>
      </c>
      <c r="R126" s="122">
        <f>VLOOKUP($C126&amp;$D126,Sales!$A$21:$W$209,14,FALSE)</f>
        <v>4826.130490606839</v>
      </c>
      <c r="S126" s="3">
        <v>126</v>
      </c>
      <c r="T126" s="3">
        <f>($G126-$I126)/($S126+$V126*20)*V126*20</f>
        <v>16850.704225352114</v>
      </c>
      <c r="U126" s="122">
        <f>VLOOKUP($C126&amp;$D126,Sales!$A$21:$W$209,17,FALSE)</f>
        <v>19159.000473036896</v>
      </c>
      <c r="V126" s="3">
        <v>15</v>
      </c>
      <c r="X126" s="27">
        <f t="shared" si="88"/>
        <v>1</v>
      </c>
      <c r="Y126" s="28">
        <v>0.9</v>
      </c>
      <c r="Z126" s="27">
        <f t="shared" si="56"/>
        <v>1</v>
      </c>
      <c r="AA126" s="132">
        <f t="shared" si="57"/>
        <v>1</v>
      </c>
      <c r="AB126" s="27">
        <f t="shared" si="89"/>
        <v>0</v>
      </c>
      <c r="AC126" s="5">
        <f>2*$AC$9</f>
        <v>2</v>
      </c>
      <c r="AD126">
        <f t="shared" si="94"/>
        <v>0.55000000000000004</v>
      </c>
      <c r="AE126" s="24">
        <f t="shared" si="72"/>
        <v>78.737476480179822</v>
      </c>
      <c r="AF126" s="24">
        <f t="shared" si="58"/>
        <v>0</v>
      </c>
      <c r="AG126" s="24">
        <f t="shared" si="59"/>
        <v>15000</v>
      </c>
      <c r="AH126" s="24">
        <f t="shared" si="60"/>
        <v>0</v>
      </c>
      <c r="AI126" s="5">
        <f t="shared" si="83"/>
        <v>2.9</v>
      </c>
      <c r="AJ126" s="5">
        <f t="shared" si="84"/>
        <v>0.56100000000000005</v>
      </c>
      <c r="AK126" s="24">
        <f t="shared" si="61"/>
        <v>153.88959658011245</v>
      </c>
      <c r="AL126" s="24">
        <f t="shared" si="62"/>
        <v>0</v>
      </c>
      <c r="AM126" s="24">
        <f t="shared" si="63"/>
        <v>32500</v>
      </c>
      <c r="AN126" s="24">
        <f t="shared" si="64"/>
        <v>0</v>
      </c>
      <c r="AO126" s="5">
        <f t="shared" si="85"/>
        <v>3.4</v>
      </c>
      <c r="AP126" s="5">
        <f t="shared" si="86"/>
        <v>0.57222000000000006</v>
      </c>
      <c r="AQ126" s="24">
        <f t="shared" si="65"/>
        <v>223.39237611679317</v>
      </c>
      <c r="AR126" s="24">
        <f t="shared" si="66"/>
        <v>0</v>
      </c>
      <c r="AS126" s="24">
        <f t="shared" si="67"/>
        <v>77281.385281385272</v>
      </c>
      <c r="AT126" s="24">
        <f t="shared" si="68"/>
        <v>0</v>
      </c>
      <c r="BA126" s="5">
        <f t="shared" si="73"/>
        <v>3.4</v>
      </c>
      <c r="BB126" s="5">
        <f t="shared" si="74"/>
        <v>0.57222000000000006</v>
      </c>
      <c r="BC126" s="24">
        <f t="shared" si="75"/>
        <v>223.39237611679317</v>
      </c>
      <c r="BD126" s="24">
        <f t="shared" si="76"/>
        <v>0</v>
      </c>
      <c r="BE126" s="24">
        <f t="shared" si="77"/>
        <v>77281.385281385272</v>
      </c>
      <c r="BF126" s="24">
        <f t="shared" si="78"/>
        <v>0</v>
      </c>
      <c r="BI126" t="str">
        <f>RegionWideSubstations!C126</f>
        <v>City of Sumas</v>
      </c>
      <c r="BJ126" s="417">
        <f>RegionWideSubstations!AE126/8760</f>
        <v>8.988296401847012E-3</v>
      </c>
      <c r="BK126" s="416">
        <f>RegionWideSubstations!AF126/8760</f>
        <v>0</v>
      </c>
      <c r="BL126" s="70">
        <f>(RegionWideSubstations!AK126/8760)-BJ126</f>
        <v>8.5790091438279256E-3</v>
      </c>
      <c r="BM126" s="415">
        <f>(RegionWideSubstations!AL126/8760)-BK126</f>
        <v>0</v>
      </c>
      <c r="BN126" s="70">
        <f>(RegionWideSubstations!AQ126/8760)-BJ126-BL126</f>
        <v>7.9341072530457416E-3</v>
      </c>
      <c r="BO126" s="415">
        <f>(RegionWideSubstations!AR126/8760)-BK126-BM126</f>
        <v>0</v>
      </c>
      <c r="BP126" s="70">
        <f t="shared" si="69"/>
        <v>-2.5501412798720681E-2</v>
      </c>
      <c r="BQ126" s="24">
        <f t="shared" si="70"/>
        <v>0</v>
      </c>
    </row>
    <row r="127" spans="1:69">
      <c r="A127">
        <f t="shared" si="90"/>
        <v>115</v>
      </c>
      <c r="B127">
        <v>3155</v>
      </c>
      <c r="C127" t="s">
        <v>150</v>
      </c>
      <c r="D127" t="s">
        <v>3</v>
      </c>
      <c r="E127" t="s">
        <v>91</v>
      </c>
      <c r="F127" s="3">
        <v>1178</v>
      </c>
      <c r="G127" s="9">
        <f>+I127</f>
        <v>24662</v>
      </c>
      <c r="H127" s="122">
        <f>VLOOKUP($C127&amp;$D127,Sales!$A$21:$W$209,23,FALSE)</f>
        <v>57506</v>
      </c>
      <c r="I127" s="3">
        <v>24662</v>
      </c>
      <c r="J127" s="122">
        <f>VLOOKUP($C127&amp;$D127,Sales!$A$21:$W$209,11,FALSE)</f>
        <v>27737.647961668063</v>
      </c>
      <c r="K127" s="3">
        <v>703</v>
      </c>
      <c r="L127" s="122">
        <f>VLOOKUP($C127&amp;$D127,Sales!$A$21:$W$209,12,FALSE)</f>
        <v>917.72756933115818</v>
      </c>
      <c r="M127" s="3">
        <f t="shared" si="82"/>
        <v>35081.08108108108</v>
      </c>
      <c r="N127">
        <v>2</v>
      </c>
      <c r="O127">
        <v>2</v>
      </c>
      <c r="P127">
        <v>4</v>
      </c>
      <c r="Q127" s="3">
        <f t="shared" si="92"/>
        <v>0</v>
      </c>
      <c r="R127" s="122">
        <f>VLOOKUP($C127&amp;$D127,Sales!$A$21:$W$209,14,FALSE)</f>
        <v>0</v>
      </c>
      <c r="S127" s="3">
        <v>177</v>
      </c>
      <c r="T127" s="3">
        <f>($G127-$I127)/($S127+$V127*20)*V127*20</f>
        <v>0</v>
      </c>
      <c r="U127" s="122">
        <f>VLOOKUP($C127&amp;$D127,Sales!$A$21:$W$209,17,FALSE)</f>
        <v>29768.352038331941</v>
      </c>
      <c r="V127" s="3"/>
      <c r="X127" s="27">
        <f t="shared" si="88"/>
        <v>1</v>
      </c>
      <c r="Y127" s="28">
        <v>0.9</v>
      </c>
      <c r="Z127" s="27">
        <f t="shared" si="56"/>
        <v>1</v>
      </c>
      <c r="AA127" s="132">
        <f t="shared" si="57"/>
        <v>1</v>
      </c>
      <c r="AB127" s="27">
        <f t="shared" si="89"/>
        <v>0</v>
      </c>
      <c r="AC127" s="5">
        <f>1.5*$AC$9</f>
        <v>1.5</v>
      </c>
      <c r="AD127">
        <f t="shared" si="94"/>
        <v>0.55000000000000004</v>
      </c>
      <c r="AE127" s="24">
        <f t="shared" si="72"/>
        <v>177.36732491160953</v>
      </c>
      <c r="AF127" s="24">
        <f t="shared" si="58"/>
        <v>0</v>
      </c>
      <c r="AG127" s="24">
        <f t="shared" si="59"/>
        <v>15000</v>
      </c>
      <c r="AH127" s="24">
        <f t="shared" si="60"/>
        <v>0</v>
      </c>
      <c r="AI127" s="5">
        <f t="shared" si="83"/>
        <v>2.4</v>
      </c>
      <c r="AJ127" s="5">
        <f t="shared" si="84"/>
        <v>0.56100000000000005</v>
      </c>
      <c r="AK127" s="24">
        <f t="shared" si="61"/>
        <v>353.01556955229978</v>
      </c>
      <c r="AL127" s="24">
        <f t="shared" si="62"/>
        <v>0</v>
      </c>
      <c r="AM127" s="24">
        <f t="shared" si="63"/>
        <v>32500</v>
      </c>
      <c r="AN127" s="24">
        <f t="shared" si="64"/>
        <v>0</v>
      </c>
      <c r="AO127" s="5">
        <f t="shared" si="85"/>
        <v>2.9</v>
      </c>
      <c r="AP127" s="5">
        <f t="shared" si="86"/>
        <v>0.57222000000000006</v>
      </c>
      <c r="AQ127" s="24">
        <f t="shared" si="65"/>
        <v>490.21666571227712</v>
      </c>
      <c r="AR127" s="24">
        <f t="shared" si="66"/>
        <v>0</v>
      </c>
      <c r="AS127" s="24">
        <f t="shared" si="67"/>
        <v>95886.378466557915</v>
      </c>
      <c r="AT127" s="24">
        <f t="shared" si="68"/>
        <v>0</v>
      </c>
      <c r="BA127" s="5">
        <f t="shared" si="73"/>
        <v>2.9</v>
      </c>
      <c r="BB127" s="5">
        <f t="shared" si="74"/>
        <v>0.57222000000000006</v>
      </c>
      <c r="BC127" s="24">
        <f t="shared" si="75"/>
        <v>490.21666571227712</v>
      </c>
      <c r="BD127" s="24">
        <f t="shared" si="76"/>
        <v>0</v>
      </c>
      <c r="BE127" s="24">
        <f t="shared" si="77"/>
        <v>95886.378466557915</v>
      </c>
      <c r="BF127" s="24">
        <f t="shared" si="78"/>
        <v>0</v>
      </c>
      <c r="BI127" t="str">
        <f>RegionWideSubstations!C127</f>
        <v>South Side Electric, Inc</v>
      </c>
      <c r="BJ127" s="417">
        <f>RegionWideSubstations!AE127/8760</f>
        <v>2.0247411519590128E-2</v>
      </c>
      <c r="BK127" s="416">
        <f>RegionWideSubstations!AF127/8760</f>
        <v>0</v>
      </c>
      <c r="BL127" s="70">
        <f>(RegionWideSubstations!AK127/8760)-BJ127</f>
        <v>2.0051169479530853E-2</v>
      </c>
      <c r="BM127" s="415">
        <f>(RegionWideSubstations!AL127/8760)-BK127</f>
        <v>0</v>
      </c>
      <c r="BN127" s="70">
        <f>(RegionWideSubstations!AQ127/8760)-BJ127-BL127</f>
        <v>1.5662225589038507E-2</v>
      </c>
      <c r="BO127" s="415">
        <f>(RegionWideSubstations!AR127/8760)-BK127-BM127</f>
        <v>0</v>
      </c>
      <c r="BP127" s="70">
        <f t="shared" si="69"/>
        <v>-5.5960806588159488E-2</v>
      </c>
      <c r="BQ127" s="24">
        <f t="shared" si="70"/>
        <v>0</v>
      </c>
    </row>
    <row r="128" spans="1:69">
      <c r="A128">
        <f t="shared" si="90"/>
        <v>116</v>
      </c>
      <c r="B128">
        <v>19236</v>
      </c>
      <c r="C128" t="s">
        <v>47</v>
      </c>
      <c r="D128" t="s">
        <v>1</v>
      </c>
      <c r="E128" t="s">
        <v>29</v>
      </c>
      <c r="F128" s="3">
        <v>920</v>
      </c>
      <c r="G128" s="3">
        <v>24292</v>
      </c>
      <c r="H128" s="122">
        <f>VLOOKUP($C128&amp;$D128,Sales!$A$21:$W$209,23,FALSE)</f>
        <v>27745</v>
      </c>
      <c r="I128" s="3">
        <v>14697</v>
      </c>
      <c r="J128" s="122">
        <f>VLOOKUP($C128&amp;$D128,Sales!$A$21:$W$209,11,FALSE)</f>
        <v>15557.961500660858</v>
      </c>
      <c r="K128" s="3">
        <v>1475</v>
      </c>
      <c r="L128" s="122">
        <f>VLOOKUP($C128&amp;$D128,Sales!$A$21:$W$209,12,FALSE)</f>
        <v>973.15879828326183</v>
      </c>
      <c r="M128" s="3">
        <f t="shared" si="82"/>
        <v>9964.0677966101703</v>
      </c>
      <c r="N128">
        <v>1</v>
      </c>
      <c r="O128">
        <v>1</v>
      </c>
      <c r="P128">
        <v>1</v>
      </c>
      <c r="Q128" s="3">
        <f t="shared" si="92"/>
        <v>9595</v>
      </c>
      <c r="R128" s="122">
        <f>VLOOKUP($C128&amp;$D128,Sales!$A$21:$W$209,14,FALSE)</f>
        <v>12187.03849933914</v>
      </c>
      <c r="S128" s="3">
        <v>107</v>
      </c>
      <c r="T128" s="3">
        <f>($G128-$I128)/($S128+$V128*20)*V128*10</f>
        <v>0</v>
      </c>
      <c r="U128" s="122">
        <f>VLOOKUP($C128&amp;$D128,Sales!$A$21:$W$209,17,FALSE)</f>
        <v>0</v>
      </c>
      <c r="V128" s="3"/>
      <c r="X128" s="27">
        <f t="shared" si="88"/>
        <v>1</v>
      </c>
      <c r="Y128" s="28">
        <v>0.9</v>
      </c>
      <c r="Z128" s="27">
        <f t="shared" si="56"/>
        <v>1</v>
      </c>
      <c r="AA128" s="132">
        <f t="shared" si="57"/>
        <v>1</v>
      </c>
      <c r="AB128" s="27">
        <f t="shared" si="89"/>
        <v>0</v>
      </c>
      <c r="AC128" s="5">
        <f>2*$AC$9</f>
        <v>2</v>
      </c>
      <c r="AD128">
        <f t="shared" si="94"/>
        <v>0.55000000000000004</v>
      </c>
      <c r="AE128" s="24">
        <f t="shared" si="72"/>
        <v>177.12554605993512</v>
      </c>
      <c r="AF128" s="24">
        <f t="shared" si="58"/>
        <v>0</v>
      </c>
      <c r="AG128" s="24">
        <f t="shared" si="59"/>
        <v>15000</v>
      </c>
      <c r="AH128" s="24">
        <f t="shared" si="60"/>
        <v>0</v>
      </c>
      <c r="AI128" s="5">
        <f t="shared" si="83"/>
        <v>2.9</v>
      </c>
      <c r="AJ128" s="5">
        <f t="shared" si="84"/>
        <v>0.56100000000000005</v>
      </c>
      <c r="AK128" s="24">
        <f t="shared" si="61"/>
        <v>308.321910840925</v>
      </c>
      <c r="AL128" s="24">
        <f t="shared" si="62"/>
        <v>0</v>
      </c>
      <c r="AM128" s="24">
        <f t="shared" si="63"/>
        <v>32500</v>
      </c>
      <c r="AN128" s="24">
        <f t="shared" si="64"/>
        <v>0</v>
      </c>
      <c r="AO128" s="5">
        <f t="shared" si="85"/>
        <v>3.4</v>
      </c>
      <c r="AP128" s="5">
        <f t="shared" si="86"/>
        <v>0.57222000000000006</v>
      </c>
      <c r="AQ128" s="24">
        <f t="shared" si="65"/>
        <v>408.88418873865646</v>
      </c>
      <c r="AR128" s="24">
        <f t="shared" si="66"/>
        <v>0</v>
      </c>
      <c r="AS128" s="24">
        <f t="shared" si="67"/>
        <v>98657.939914163086</v>
      </c>
      <c r="AT128" s="24">
        <f t="shared" si="68"/>
        <v>0</v>
      </c>
      <c r="BA128" s="5">
        <f t="shared" si="73"/>
        <v>3.4</v>
      </c>
      <c r="BB128" s="5">
        <f t="shared" si="74"/>
        <v>0.57222000000000006</v>
      </c>
      <c r="BC128" s="24">
        <f t="shared" si="75"/>
        <v>408.88418873865646</v>
      </c>
      <c r="BD128" s="24">
        <f t="shared" si="76"/>
        <v>0</v>
      </c>
      <c r="BE128" s="24">
        <f t="shared" si="77"/>
        <v>98657.939914163086</v>
      </c>
      <c r="BF128" s="24">
        <f t="shared" si="78"/>
        <v>0</v>
      </c>
      <c r="BI128" t="str">
        <f>RegionWideSubstations!C128</f>
        <v>Town of Eatonville</v>
      </c>
      <c r="BJ128" s="417">
        <f>RegionWideSubstations!AE128/8760</f>
        <v>2.0219811194056522E-2</v>
      </c>
      <c r="BK128" s="416">
        <f>RegionWideSubstations!AF128/8760</f>
        <v>0</v>
      </c>
      <c r="BL128" s="70">
        <f>(RegionWideSubstations!AK128/8760)-BJ128</f>
        <v>1.4976753970432636E-2</v>
      </c>
      <c r="BM128" s="415">
        <f>(RegionWideSubstations!AL128/8760)-BK128</f>
        <v>0</v>
      </c>
      <c r="BN128" s="70">
        <f>(RegionWideSubstations!AQ128/8760)-BJ128-BL128</f>
        <v>1.1479712088782131E-2</v>
      </c>
      <c r="BO128" s="415">
        <f>(RegionWideSubstations!AR128/8760)-BK128-BM128</f>
        <v>0</v>
      </c>
      <c r="BP128" s="70">
        <f t="shared" si="69"/>
        <v>-4.6676277253271288E-2</v>
      </c>
      <c r="BQ128" s="24">
        <f t="shared" si="70"/>
        <v>0</v>
      </c>
    </row>
    <row r="129" spans="1:69">
      <c r="A129">
        <f t="shared" si="90"/>
        <v>117</v>
      </c>
      <c r="B129">
        <v>17576</v>
      </c>
      <c r="C129" t="s">
        <v>149</v>
      </c>
      <c r="D129" t="s">
        <v>5</v>
      </c>
      <c r="E129" t="s">
        <v>91</v>
      </c>
      <c r="F129" s="3">
        <v>1028</v>
      </c>
      <c r="G129" s="10">
        <v>23706</v>
      </c>
      <c r="H129" s="122">
        <f>VLOOKUP($C129&amp;$D129,Sales!$A$21:$W$209,23,FALSE)</f>
        <v>24084</v>
      </c>
      <c r="I129" s="3">
        <v>13655</v>
      </c>
      <c r="J129" s="122">
        <f>VLOOKUP($C129&amp;$D129,Sales!$A$21:$W$209,11,FALSE)</f>
        <v>13912</v>
      </c>
      <c r="K129" s="3">
        <v>1276</v>
      </c>
      <c r="L129" s="122">
        <f>VLOOKUP($C129&amp;$D129,Sales!$A$21:$W$209,12,FALSE)</f>
        <v>1329</v>
      </c>
      <c r="M129" s="3">
        <f t="shared" si="82"/>
        <v>10701.41065830721</v>
      </c>
      <c r="N129">
        <v>2</v>
      </c>
      <c r="O129">
        <v>1</v>
      </c>
      <c r="P129">
        <v>4</v>
      </c>
      <c r="Q129" s="3">
        <f t="shared" si="92"/>
        <v>359.75091307523741</v>
      </c>
      <c r="R129" s="122">
        <f>VLOOKUP($C129&amp;$D129,Sales!$A$21:$W$209,14,FALSE)</f>
        <v>5034</v>
      </c>
      <c r="S129" s="3">
        <v>196</v>
      </c>
      <c r="T129" s="3">
        <f>($G129-$I129)/($S129+$V129*20)*V129*10</f>
        <v>4845.6245434623806</v>
      </c>
      <c r="U129" s="122">
        <f>VLOOKUP($C129&amp;$D129,Sales!$A$21:$W$209,17,FALSE)</f>
        <v>5138</v>
      </c>
      <c r="V129" s="3">
        <v>264</v>
      </c>
      <c r="X129" s="27">
        <f t="shared" si="88"/>
        <v>1</v>
      </c>
      <c r="Y129" s="28">
        <v>0.9</v>
      </c>
      <c r="Z129" s="27">
        <f t="shared" si="56"/>
        <v>1</v>
      </c>
      <c r="AA129" s="132">
        <f t="shared" si="57"/>
        <v>1</v>
      </c>
      <c r="AB129" s="27">
        <f t="shared" si="89"/>
        <v>0</v>
      </c>
      <c r="AC129" s="5">
        <f>1.5*$AC$9</f>
        <v>1.5</v>
      </c>
      <c r="AD129">
        <f t="shared" si="94"/>
        <v>0.55000000000000004</v>
      </c>
      <c r="AE129" s="24">
        <f t="shared" si="72"/>
        <v>101.19550260866414</v>
      </c>
      <c r="AF129" s="24">
        <f t="shared" si="58"/>
        <v>0</v>
      </c>
      <c r="AG129" s="24">
        <f t="shared" si="59"/>
        <v>15000</v>
      </c>
      <c r="AH129" s="24">
        <f t="shared" si="60"/>
        <v>0</v>
      </c>
      <c r="AI129" s="5">
        <f t="shared" si="83"/>
        <v>2.4</v>
      </c>
      <c r="AJ129" s="5">
        <f t="shared" si="84"/>
        <v>0.56100000000000005</v>
      </c>
      <c r="AK129" s="24">
        <f t="shared" si="61"/>
        <v>195.62817711635282</v>
      </c>
      <c r="AL129" s="24">
        <f t="shared" si="62"/>
        <v>0</v>
      </c>
      <c r="AM129" s="24">
        <f t="shared" si="63"/>
        <v>32500</v>
      </c>
      <c r="AN129" s="24">
        <f t="shared" si="64"/>
        <v>0</v>
      </c>
      <c r="AO129" s="5">
        <f t="shared" si="85"/>
        <v>2.9</v>
      </c>
      <c r="AP129" s="5">
        <f t="shared" si="86"/>
        <v>0.57222000000000006</v>
      </c>
      <c r="AQ129" s="24">
        <f t="shared" si="65"/>
        <v>267.03716679477424</v>
      </c>
      <c r="AR129" s="24">
        <f t="shared" si="66"/>
        <v>0</v>
      </c>
      <c r="AS129" s="24">
        <f t="shared" si="67"/>
        <v>116450</v>
      </c>
      <c r="AT129" s="24">
        <f t="shared" si="68"/>
        <v>0</v>
      </c>
      <c r="BA129" s="5">
        <f t="shared" si="73"/>
        <v>2.9</v>
      </c>
      <c r="BB129" s="5">
        <f t="shared" si="74"/>
        <v>0.57222000000000006</v>
      </c>
      <c r="BC129" s="24">
        <f t="shared" si="75"/>
        <v>267.03716679477424</v>
      </c>
      <c r="BD129" s="24">
        <f t="shared" si="76"/>
        <v>0</v>
      </c>
      <c r="BE129" s="24">
        <f t="shared" si="77"/>
        <v>116450</v>
      </c>
      <c r="BF129" s="24">
        <f t="shared" si="78"/>
        <v>0</v>
      </c>
      <c r="BI129" t="str">
        <f>RegionWideSubstations!C129</f>
        <v>Columbia Power Coop Assn Inc</v>
      </c>
      <c r="BJ129" s="417">
        <f>RegionWideSubstations!AE129/8760</f>
        <v>1.1551998014687688E-2</v>
      </c>
      <c r="BK129" s="416">
        <f>RegionWideSubstations!AF129/8760</f>
        <v>0</v>
      </c>
      <c r="BL129" s="70">
        <f>(RegionWideSubstations!AK129/8760)-BJ129</f>
        <v>1.0779985674393684E-2</v>
      </c>
      <c r="BM129" s="415">
        <f>(RegionWideSubstations!AL129/8760)-BK129</f>
        <v>0</v>
      </c>
      <c r="BN129" s="70">
        <f>(RegionWideSubstations!AQ129/8760)-BJ129-BL129</f>
        <v>8.1517111505047275E-3</v>
      </c>
      <c r="BO129" s="415">
        <f>(RegionWideSubstations!AR129/8760)-BK129-BM129</f>
        <v>0</v>
      </c>
      <c r="BP129" s="70">
        <f t="shared" si="69"/>
        <v>-3.0483694839586101E-2</v>
      </c>
      <c r="BQ129" s="24">
        <f t="shared" si="70"/>
        <v>0</v>
      </c>
    </row>
    <row r="130" spans="1:69">
      <c r="A130">
        <f t="shared" si="90"/>
        <v>118</v>
      </c>
      <c r="B130">
        <v>15297</v>
      </c>
      <c r="C130" t="s">
        <v>48</v>
      </c>
      <c r="D130" t="s">
        <v>3</v>
      </c>
      <c r="E130" t="s">
        <v>29</v>
      </c>
      <c r="F130" s="3">
        <v>719</v>
      </c>
      <c r="G130" s="3">
        <v>23209</v>
      </c>
      <c r="H130" s="122">
        <f>VLOOKUP($C130&amp;$D130,Sales!$A$21:$W$209,23,FALSE)</f>
        <v>27168</v>
      </c>
      <c r="I130" s="3">
        <v>12349</v>
      </c>
      <c r="J130" s="122">
        <f>VLOOKUP($C130&amp;$D130,Sales!$A$21:$W$209,11,FALSE)</f>
        <v>13569.954664757814</v>
      </c>
      <c r="K130" s="3">
        <v>1446</v>
      </c>
      <c r="L130" s="122">
        <f>VLOOKUP($C130&amp;$D130,Sales!$A$21:$W$209,12,FALSE)</f>
        <v>1449.815506508206</v>
      </c>
      <c r="M130" s="3">
        <f t="shared" si="82"/>
        <v>8540.1106500691567</v>
      </c>
      <c r="N130">
        <v>3</v>
      </c>
      <c r="O130">
        <v>1</v>
      </c>
      <c r="P130">
        <v>4</v>
      </c>
      <c r="Q130" s="3">
        <f t="shared" si="92"/>
        <v>9570.9792284866471</v>
      </c>
      <c r="R130" s="122">
        <f>VLOOKUP($C130&amp;$D130,Sales!$A$21:$W$209,14,FALSE)</f>
        <v>13229.625387735623</v>
      </c>
      <c r="S130" s="3">
        <v>297</v>
      </c>
      <c r="T130" s="3">
        <f>($G130-$I130)/($S130+$V130*20)*V130*10</f>
        <v>644.51038575667656</v>
      </c>
      <c r="U130" s="122">
        <f>VLOOKUP($C130&amp;$D130,Sales!$A$21:$W$209,17,FALSE)</f>
        <v>368.41994750656164</v>
      </c>
      <c r="V130" s="3">
        <v>2</v>
      </c>
      <c r="X130" s="27">
        <f t="shared" si="88"/>
        <v>1</v>
      </c>
      <c r="Y130" s="28">
        <v>0.9</v>
      </c>
      <c r="Z130" s="27">
        <f t="shared" si="56"/>
        <v>1</v>
      </c>
      <c r="AA130" s="132">
        <f t="shared" si="57"/>
        <v>1</v>
      </c>
      <c r="AB130" s="27">
        <f t="shared" si="89"/>
        <v>0</v>
      </c>
      <c r="AC130" s="5">
        <f>2*$AC$9</f>
        <v>2</v>
      </c>
      <c r="AD130">
        <f t="shared" si="94"/>
        <v>0.55000000000000004</v>
      </c>
      <c r="AE130" s="24">
        <f t="shared" si="72"/>
        <v>166.77487970088055</v>
      </c>
      <c r="AF130" s="24">
        <f t="shared" si="58"/>
        <v>0</v>
      </c>
      <c r="AG130" s="24">
        <f t="shared" si="59"/>
        <v>15000</v>
      </c>
      <c r="AH130" s="24">
        <f t="shared" si="60"/>
        <v>0</v>
      </c>
      <c r="AI130" s="5">
        <f t="shared" si="83"/>
        <v>2.9</v>
      </c>
      <c r="AJ130" s="5">
        <f t="shared" si="84"/>
        <v>0.56100000000000005</v>
      </c>
      <c r="AK130" s="24">
        <f t="shared" si="61"/>
        <v>291.92219894428655</v>
      </c>
      <c r="AL130" s="24">
        <f t="shared" si="62"/>
        <v>0</v>
      </c>
      <c r="AM130" s="24">
        <f t="shared" si="63"/>
        <v>32500</v>
      </c>
      <c r="AN130" s="24">
        <f t="shared" si="64"/>
        <v>0</v>
      </c>
      <c r="AO130" s="5">
        <f t="shared" si="85"/>
        <v>3.4</v>
      </c>
      <c r="AP130" s="5">
        <f t="shared" si="86"/>
        <v>0.57222000000000006</v>
      </c>
      <c r="AQ130" s="24">
        <f t="shared" si="65"/>
        <v>389.91734166964125</v>
      </c>
      <c r="AR130" s="24">
        <f t="shared" si="66"/>
        <v>0</v>
      </c>
      <c r="AS130" s="24">
        <f t="shared" si="67"/>
        <v>122490.7753254103</v>
      </c>
      <c r="AT130" s="24">
        <f t="shared" si="68"/>
        <v>0</v>
      </c>
      <c r="BA130" s="5">
        <f t="shared" si="73"/>
        <v>3.4</v>
      </c>
      <c r="BB130" s="5">
        <f t="shared" si="74"/>
        <v>0.57222000000000006</v>
      </c>
      <c r="BC130" s="24">
        <f t="shared" si="75"/>
        <v>389.91734166964125</v>
      </c>
      <c r="BD130" s="24">
        <f t="shared" si="76"/>
        <v>0</v>
      </c>
      <c r="BE130" s="24">
        <f t="shared" si="77"/>
        <v>122490.7753254103</v>
      </c>
      <c r="BF130" s="24">
        <f t="shared" si="78"/>
        <v>0</v>
      </c>
      <c r="BI130" t="str">
        <f>RegionWideSubstations!C130</f>
        <v>City of Soda Springs</v>
      </c>
      <c r="BJ130" s="417">
        <f>RegionWideSubstations!AE130/8760</f>
        <v>1.9038228276356227E-2</v>
      </c>
      <c r="BK130" s="416">
        <f>RegionWideSubstations!AF130/8760</f>
        <v>0</v>
      </c>
      <c r="BL130" s="70">
        <f>(RegionWideSubstations!AK130/8760)-BJ130</f>
        <v>1.4286223657923057E-2</v>
      </c>
      <c r="BM130" s="415">
        <f>(RegionWideSubstations!AL130/8760)-BK130</f>
        <v>0</v>
      </c>
      <c r="BN130" s="70">
        <f>(RegionWideSubstations!AQ130/8760)-BJ130-BL130</f>
        <v>1.1186660128465149E-2</v>
      </c>
      <c r="BO130" s="415">
        <f>(RegionWideSubstations!AR130/8760)-BK130-BM130</f>
        <v>0</v>
      </c>
      <c r="BP130" s="70">
        <f t="shared" si="69"/>
        <v>-4.4511112062744433E-2</v>
      </c>
      <c r="BQ130" s="24">
        <f t="shared" si="70"/>
        <v>0</v>
      </c>
    </row>
    <row r="131" spans="1:69">
      <c r="A131">
        <f t="shared" si="90"/>
        <v>119</v>
      </c>
      <c r="B131">
        <v>5584</v>
      </c>
      <c r="C131" t="s">
        <v>49</v>
      </c>
      <c r="D131" t="s">
        <v>1</v>
      </c>
      <c r="E131" t="s">
        <v>29</v>
      </c>
      <c r="F131" s="3">
        <v>711</v>
      </c>
      <c r="G131" s="3">
        <v>21093</v>
      </c>
      <c r="H131" s="122">
        <f>VLOOKUP($C131&amp;$D131,Sales!$A$21:$W$209,23,FALSE)</f>
        <v>22800</v>
      </c>
      <c r="I131" s="3">
        <v>11017</v>
      </c>
      <c r="J131" s="122">
        <f>VLOOKUP($C131&amp;$D131,Sales!$A$21:$W$209,11,FALSE)</f>
        <v>12568.357165846704</v>
      </c>
      <c r="K131" s="3">
        <v>1080</v>
      </c>
      <c r="L131" s="122">
        <f>VLOOKUP($C131&amp;$D131,Sales!$A$21:$W$209,12,FALSE)</f>
        <v>1085.2696456086287</v>
      </c>
      <c r="M131" s="3">
        <f t="shared" si="82"/>
        <v>10200.925925925925</v>
      </c>
      <c r="N131">
        <v>2</v>
      </c>
      <c r="O131">
        <v>2</v>
      </c>
      <c r="P131">
        <v>3</v>
      </c>
      <c r="Q131" s="3">
        <f t="shared" si="92"/>
        <v>10076</v>
      </c>
      <c r="R131" s="122">
        <f>VLOOKUP($C131&amp;$D131,Sales!$A$21:$W$209,14,FALSE)</f>
        <v>10231.642834153294</v>
      </c>
      <c r="S131" s="3">
        <v>185</v>
      </c>
      <c r="T131" s="3">
        <f>($G131-$I131)/($S131+$V131*20)*V131*10</f>
        <v>0</v>
      </c>
      <c r="U131" s="122">
        <f>VLOOKUP($C131&amp;$D131,Sales!$A$21:$W$209,17,FALSE)</f>
        <v>0</v>
      </c>
      <c r="V131" s="3"/>
      <c r="X131" s="27">
        <f t="shared" si="88"/>
        <v>1</v>
      </c>
      <c r="Y131" s="28">
        <v>0.9</v>
      </c>
      <c r="Z131" s="27">
        <f t="shared" si="56"/>
        <v>1</v>
      </c>
      <c r="AA131" s="132">
        <f t="shared" si="57"/>
        <v>1</v>
      </c>
      <c r="AB131" s="27">
        <f t="shared" si="89"/>
        <v>0</v>
      </c>
      <c r="AC131" s="5">
        <f>2*$AC$9</f>
        <v>2</v>
      </c>
      <c r="AD131">
        <f t="shared" si="94"/>
        <v>0.55000000000000004</v>
      </c>
      <c r="AE131" s="24">
        <f t="shared" si="72"/>
        <v>144.87606619216876</v>
      </c>
      <c r="AF131" s="24">
        <f t="shared" si="58"/>
        <v>0</v>
      </c>
      <c r="AG131" s="24">
        <f t="shared" si="59"/>
        <v>15000</v>
      </c>
      <c r="AH131" s="24">
        <f t="shared" si="60"/>
        <v>0</v>
      </c>
      <c r="AI131" s="5">
        <f t="shared" si="83"/>
        <v>2.9</v>
      </c>
      <c r="AJ131" s="5">
        <f t="shared" si="84"/>
        <v>0.56100000000000005</v>
      </c>
      <c r="AK131" s="24">
        <f t="shared" si="61"/>
        <v>252.37840744885358</v>
      </c>
      <c r="AL131" s="24">
        <f t="shared" si="62"/>
        <v>0</v>
      </c>
      <c r="AM131" s="24">
        <f t="shared" si="63"/>
        <v>32500</v>
      </c>
      <c r="AN131" s="24">
        <f t="shared" si="64"/>
        <v>0</v>
      </c>
      <c r="AO131" s="5">
        <f t="shared" si="85"/>
        <v>3.4</v>
      </c>
      <c r="AP131" s="5">
        <f t="shared" si="86"/>
        <v>0.57222000000000006</v>
      </c>
      <c r="AQ131" s="24">
        <f t="shared" si="65"/>
        <v>335.05380393728638</v>
      </c>
      <c r="AR131" s="24">
        <f t="shared" si="66"/>
        <v>0</v>
      </c>
      <c r="AS131" s="24">
        <f t="shared" si="67"/>
        <v>104263.48228043143</v>
      </c>
      <c r="AT131" s="24">
        <f t="shared" si="68"/>
        <v>0</v>
      </c>
      <c r="BA131" s="5">
        <f t="shared" si="73"/>
        <v>3.4</v>
      </c>
      <c r="BB131" s="5">
        <f t="shared" si="74"/>
        <v>0.57222000000000006</v>
      </c>
      <c r="BC131" s="24">
        <f t="shared" si="75"/>
        <v>335.05380393728638</v>
      </c>
      <c r="BD131" s="24">
        <f t="shared" si="76"/>
        <v>0</v>
      </c>
      <c r="BE131" s="24">
        <f t="shared" si="77"/>
        <v>104263.48228043143</v>
      </c>
      <c r="BF131" s="24">
        <f t="shared" si="78"/>
        <v>0</v>
      </c>
      <c r="BI131" t="str">
        <f>RegionWideSubstations!C131</f>
        <v>City of Chewelah</v>
      </c>
      <c r="BJ131" s="417">
        <f>RegionWideSubstations!AE131/8760</f>
        <v>1.653836372056721E-2</v>
      </c>
      <c r="BK131" s="416">
        <f>RegionWideSubstations!AF131/8760</f>
        <v>0</v>
      </c>
      <c r="BL131" s="70">
        <f>(RegionWideSubstations!AK131/8760)-BJ131</f>
        <v>1.2271956764461737E-2</v>
      </c>
      <c r="BM131" s="415">
        <f>(RegionWideSubstations!AL131/8760)-BK131</f>
        <v>0</v>
      </c>
      <c r="BN131" s="70">
        <f>(RegionWideSubstations!AQ131/8760)-BJ131-BL131</f>
        <v>9.4378306493644731E-3</v>
      </c>
      <c r="BO131" s="415">
        <f>(RegionWideSubstations!AR131/8760)-BK131-BM131</f>
        <v>0</v>
      </c>
      <c r="BP131" s="70">
        <f t="shared" si="69"/>
        <v>-3.8248151134393421E-2</v>
      </c>
      <c r="BQ131" s="24">
        <f t="shared" si="70"/>
        <v>0</v>
      </c>
    </row>
    <row r="132" spans="1:69">
      <c r="A132">
        <f t="shared" si="90"/>
        <v>120</v>
      </c>
      <c r="B132">
        <v>4414</v>
      </c>
      <c r="C132" t="s">
        <v>55</v>
      </c>
      <c r="D132" t="s">
        <v>5</v>
      </c>
      <c r="E132" t="s">
        <v>29</v>
      </c>
      <c r="F132" s="3">
        <v>490</v>
      </c>
      <c r="G132" s="3">
        <v>20469</v>
      </c>
      <c r="H132" s="122">
        <f>VLOOKUP($C132&amp;$D132,Sales!$A$21:$W$209,23,FALSE)</f>
        <v>15758</v>
      </c>
      <c r="I132" s="3">
        <v>7502</v>
      </c>
      <c r="J132" s="122">
        <f>VLOOKUP($C132&amp;$D132,Sales!$A$21:$W$209,11,FALSE)</f>
        <v>7479.5778226285165</v>
      </c>
      <c r="K132" s="3">
        <v>512</v>
      </c>
      <c r="L132" s="122">
        <f>VLOOKUP($C132&amp;$D132,Sales!$A$21:$W$209,12,FALSE)</f>
        <v>513.89114658925973</v>
      </c>
      <c r="M132" s="3">
        <f t="shared" si="82"/>
        <v>14652.34375</v>
      </c>
      <c r="N132">
        <v>1</v>
      </c>
      <c r="O132">
        <v>2</v>
      </c>
      <c r="P132">
        <v>3</v>
      </c>
      <c r="Q132" s="3">
        <f t="shared" si="92"/>
        <v>6208.9543973941363</v>
      </c>
      <c r="R132" s="122">
        <f>VLOOKUP($C132&amp;$D132,Sales!$A$21:$W$209,14,FALSE)</f>
        <v>3461.0352605959874</v>
      </c>
      <c r="S132" s="3">
        <v>147</v>
      </c>
      <c r="T132" s="3">
        <f>($G132-$I132)/($S132+$V132*20)*V132*20</f>
        <v>6758.0456026058628</v>
      </c>
      <c r="U132" s="122">
        <f>VLOOKUP($C132&amp;$D132,Sales!$A$21:$W$209,17,FALSE)</f>
        <v>4817.3869167754956</v>
      </c>
      <c r="V132" s="3">
        <v>8</v>
      </c>
      <c r="X132" s="27">
        <f t="shared" si="88"/>
        <v>1</v>
      </c>
      <c r="Y132" s="28">
        <v>0.9</v>
      </c>
      <c r="Z132" s="27">
        <f t="shared" si="56"/>
        <v>1</v>
      </c>
      <c r="AA132" s="132">
        <f t="shared" si="57"/>
        <v>1</v>
      </c>
      <c r="AB132" s="27">
        <f t="shared" si="89"/>
        <v>0</v>
      </c>
      <c r="AC132" s="5">
        <f>2*$AC$9</f>
        <v>2</v>
      </c>
      <c r="AD132">
        <f t="shared" si="94"/>
        <v>0.55000000000000004</v>
      </c>
      <c r="AE132" s="24">
        <f t="shared" si="72"/>
        <v>77.491302818280914</v>
      </c>
      <c r="AF132" s="24">
        <f t="shared" si="58"/>
        <v>0</v>
      </c>
      <c r="AG132" s="24">
        <f t="shared" si="59"/>
        <v>15000</v>
      </c>
      <c r="AH132" s="24">
        <f t="shared" si="60"/>
        <v>0</v>
      </c>
      <c r="AI132" s="5">
        <f t="shared" si="83"/>
        <v>2.9</v>
      </c>
      <c r="AJ132" s="5">
        <f t="shared" si="84"/>
        <v>0.56100000000000005</v>
      </c>
      <c r="AK132" s="24">
        <f t="shared" si="61"/>
        <v>137.85935404720271</v>
      </c>
      <c r="AL132" s="24">
        <f t="shared" si="62"/>
        <v>0</v>
      </c>
      <c r="AM132" s="24">
        <f t="shared" si="63"/>
        <v>32500</v>
      </c>
      <c r="AN132" s="24">
        <f t="shared" si="64"/>
        <v>0</v>
      </c>
      <c r="AO132" s="5">
        <f t="shared" si="85"/>
        <v>3.4</v>
      </c>
      <c r="AP132" s="5">
        <f t="shared" si="86"/>
        <v>0.57222000000000006</v>
      </c>
      <c r="AQ132" s="24">
        <f t="shared" si="65"/>
        <v>185.32868604188224</v>
      </c>
      <c r="AR132" s="24">
        <f t="shared" si="66"/>
        <v>0</v>
      </c>
      <c r="AS132" s="24">
        <f t="shared" si="67"/>
        <v>75694.557329462987</v>
      </c>
      <c r="AT132" s="24">
        <f t="shared" si="68"/>
        <v>0</v>
      </c>
      <c r="BA132" s="5">
        <f t="shared" si="73"/>
        <v>3.4</v>
      </c>
      <c r="BB132" s="5">
        <f t="shared" si="74"/>
        <v>0.57222000000000006</v>
      </c>
      <c r="BC132" s="24">
        <f t="shared" si="75"/>
        <v>185.32868604188224</v>
      </c>
      <c r="BD132" s="24">
        <f t="shared" si="76"/>
        <v>0</v>
      </c>
      <c r="BE132" s="24">
        <f t="shared" si="77"/>
        <v>75694.557329462987</v>
      </c>
      <c r="BF132" s="24">
        <f t="shared" si="78"/>
        <v>0</v>
      </c>
      <c r="BI132" t="str">
        <f>RegionWideSubstations!C132</f>
        <v>City of Drain</v>
      </c>
      <c r="BJ132" s="417">
        <f>RegionWideSubstations!AE132/8760</f>
        <v>8.8460391345069542E-3</v>
      </c>
      <c r="BK132" s="416">
        <f>RegionWideSubstations!AF132/8760</f>
        <v>0</v>
      </c>
      <c r="BL132" s="70">
        <f>(RegionWideSubstations!AK132/8760)-BJ132</f>
        <v>6.8913300489636745E-3</v>
      </c>
      <c r="BM132" s="415">
        <f>(RegionWideSubstations!AL132/8760)-BK132</f>
        <v>0</v>
      </c>
      <c r="BN132" s="70">
        <f>(RegionWideSubstations!AQ132/8760)-BJ132-BL132</f>
        <v>5.4188735153743763E-3</v>
      </c>
      <c r="BO132" s="415">
        <f>(RegionWideSubstations!AR132/8760)-BK132-BM132</f>
        <v>0</v>
      </c>
      <c r="BP132" s="70">
        <f t="shared" si="69"/>
        <v>-2.1156242698845005E-2</v>
      </c>
      <c r="BQ132" s="24">
        <f t="shared" si="70"/>
        <v>0</v>
      </c>
    </row>
    <row r="133" spans="1:69">
      <c r="A133">
        <f t="shared" si="90"/>
        <v>121</v>
      </c>
      <c r="B133">
        <v>5354</v>
      </c>
      <c r="C133" t="s">
        <v>56</v>
      </c>
      <c r="D133" t="s">
        <v>5</v>
      </c>
      <c r="E133" t="s">
        <v>29</v>
      </c>
      <c r="F133" s="3">
        <v>633</v>
      </c>
      <c r="G133" s="3">
        <v>20339</v>
      </c>
      <c r="H133" s="122">
        <f>VLOOKUP($C133&amp;$D133,Sales!$A$21:$W$209,23,FALSE)</f>
        <v>17739</v>
      </c>
      <c r="I133" s="3">
        <v>8334</v>
      </c>
      <c r="J133" s="122">
        <f>VLOOKUP($C133&amp;$D133,Sales!$A$21:$W$209,11,FALSE)</f>
        <v>8082.520174987133</v>
      </c>
      <c r="K133" s="3">
        <v>501</v>
      </c>
      <c r="L133" s="122">
        <f>VLOOKUP($C133&amp;$D133,Sales!$A$21:$W$209,12,FALSE)</f>
        <v>734.7790143084261</v>
      </c>
      <c r="M133" s="3">
        <f t="shared" ref="M133:M142" si="95">I133/K133*1000</f>
        <v>16634.730538922155</v>
      </c>
      <c r="N133">
        <v>1</v>
      </c>
      <c r="O133">
        <v>1</v>
      </c>
      <c r="P133">
        <v>2</v>
      </c>
      <c r="Q133" s="3">
        <f t="shared" si="92"/>
        <v>12005</v>
      </c>
      <c r="R133" s="122">
        <f>VLOOKUP($C133&amp;$D133,Sales!$A$21:$W$209,14,FALSE)</f>
        <v>9656.4798250128661</v>
      </c>
      <c r="S133" s="3">
        <v>68</v>
      </c>
      <c r="T133" s="3">
        <f>($G133-$I133)/($S133+$V133*20)*V133*10</f>
        <v>0</v>
      </c>
      <c r="U133" s="122">
        <f>VLOOKUP($C133&amp;$D133,Sales!$A$21:$W$209,17,FALSE)</f>
        <v>0</v>
      </c>
      <c r="V133" s="3"/>
      <c r="X133" s="27">
        <f t="shared" si="88"/>
        <v>1</v>
      </c>
      <c r="Y133" s="28">
        <v>0.9</v>
      </c>
      <c r="Z133" s="27">
        <f t="shared" si="56"/>
        <v>1</v>
      </c>
      <c r="AA133" s="132">
        <f t="shared" si="57"/>
        <v>1</v>
      </c>
      <c r="AB133" s="27">
        <f t="shared" si="89"/>
        <v>0</v>
      </c>
      <c r="AC133" s="5">
        <f>2*$AC$9</f>
        <v>2</v>
      </c>
      <c r="AD133">
        <f t="shared" si="94"/>
        <v>0.55000000000000004</v>
      </c>
      <c r="AE133" s="24">
        <f t="shared" si="72"/>
        <v>107.3928523506014</v>
      </c>
      <c r="AF133" s="24">
        <f t="shared" si="58"/>
        <v>0</v>
      </c>
      <c r="AG133" s="24">
        <f t="shared" si="59"/>
        <v>15000</v>
      </c>
      <c r="AH133" s="24">
        <f t="shared" si="60"/>
        <v>0</v>
      </c>
      <c r="AI133" s="5">
        <f t="shared" ref="AI133:AI142" si="96">+AC133+0.9</f>
        <v>2.9</v>
      </c>
      <c r="AJ133" s="5">
        <f t="shared" ref="AJ133:AJ142" si="97">+AD133*$AJ$9</f>
        <v>0.56100000000000005</v>
      </c>
      <c r="AK133" s="24">
        <f t="shared" si="61"/>
        <v>188.5996593741107</v>
      </c>
      <c r="AL133" s="24">
        <f t="shared" si="62"/>
        <v>0</v>
      </c>
      <c r="AM133" s="24">
        <f t="shared" si="63"/>
        <v>32500</v>
      </c>
      <c r="AN133" s="24">
        <f t="shared" si="64"/>
        <v>0</v>
      </c>
      <c r="AO133" s="5">
        <f t="shared" ref="AO133:AO142" si="98">AI133+$AO$9</f>
        <v>3.4</v>
      </c>
      <c r="AP133" s="5">
        <f t="shared" ref="AP133:AP142" si="99">+AJ133*$AP$9</f>
        <v>0.57222000000000006</v>
      </c>
      <c r="AQ133" s="24">
        <f t="shared" si="65"/>
        <v>253.20789513249574</v>
      </c>
      <c r="AR133" s="24">
        <f t="shared" si="66"/>
        <v>0</v>
      </c>
      <c r="AS133" s="24">
        <f t="shared" si="67"/>
        <v>86738.950715421306</v>
      </c>
      <c r="AT133" s="24">
        <f t="shared" si="68"/>
        <v>0</v>
      </c>
      <c r="BA133" s="5">
        <f t="shared" si="73"/>
        <v>3.4</v>
      </c>
      <c r="BB133" s="5">
        <f t="shared" si="74"/>
        <v>0.57222000000000006</v>
      </c>
      <c r="BC133" s="24">
        <f t="shared" si="75"/>
        <v>253.20789513249574</v>
      </c>
      <c r="BD133" s="24">
        <f t="shared" si="76"/>
        <v>0</v>
      </c>
      <c r="BE133" s="24">
        <f t="shared" si="77"/>
        <v>86738.950715421306</v>
      </c>
      <c r="BF133" s="24">
        <f t="shared" si="78"/>
        <v>0</v>
      </c>
      <c r="BI133" t="str">
        <f>RegionWideSubstations!C133</f>
        <v>City of Cascade Locks</v>
      </c>
      <c r="BJ133" s="417">
        <f>RegionWideSubstations!AE133/8760</f>
        <v>1.225945803089057E-2</v>
      </c>
      <c r="BK133" s="416">
        <f>RegionWideSubstations!AF133/8760</f>
        <v>0</v>
      </c>
      <c r="BL133" s="70">
        <f>(RegionWideSubstations!AK133/8760)-BJ133</f>
        <v>9.2701834501722948E-3</v>
      </c>
      <c r="BM133" s="415">
        <f>(RegionWideSubstations!AL133/8760)-BK133</f>
        <v>0</v>
      </c>
      <c r="BN133" s="70">
        <f>(RegionWideSubstations!AQ133/8760)-BJ133-BL133</f>
        <v>7.3753693788110742E-3</v>
      </c>
      <c r="BO133" s="415">
        <f>(RegionWideSubstations!AR133/8760)-BK133-BM133</f>
        <v>0</v>
      </c>
      <c r="BP133" s="70">
        <f t="shared" si="69"/>
        <v>-2.8905010859873938E-2</v>
      </c>
      <c r="BQ133" s="24">
        <f t="shared" si="70"/>
        <v>0</v>
      </c>
    </row>
    <row r="134" spans="1:69">
      <c r="A134">
        <f t="shared" si="90"/>
        <v>122</v>
      </c>
      <c r="B134">
        <v>3136</v>
      </c>
      <c r="C134" t="s">
        <v>54</v>
      </c>
      <c r="D134" t="s">
        <v>1</v>
      </c>
      <c r="E134" t="s">
        <v>29</v>
      </c>
      <c r="F134" s="3">
        <v>464</v>
      </c>
      <c r="G134" s="3">
        <v>18044</v>
      </c>
      <c r="H134" s="122">
        <f>VLOOKUP($C134&amp;$D134,Sales!$A$21:$W$209,23,FALSE)</f>
        <v>16634</v>
      </c>
      <c r="I134" s="3">
        <v>9810</v>
      </c>
      <c r="J134" s="122">
        <f>VLOOKUP($C134&amp;$D134,Sales!$A$21:$W$209,11,FALSE)</f>
        <v>9446.4928204832486</v>
      </c>
      <c r="K134" s="3">
        <v>517</v>
      </c>
      <c r="L134" s="122">
        <f>VLOOKUP($C134&amp;$D134,Sales!$A$21:$W$209,12,FALSE)</f>
        <v>515.13712374581939</v>
      </c>
      <c r="M134" s="3">
        <f t="shared" si="95"/>
        <v>18974.854932301743</v>
      </c>
      <c r="N134">
        <v>2</v>
      </c>
      <c r="O134">
        <v>3</v>
      </c>
      <c r="P134">
        <v>3</v>
      </c>
      <c r="Q134" s="3">
        <f t="shared" si="92"/>
        <v>8234</v>
      </c>
      <c r="R134" s="122">
        <f>VLOOKUP($C134&amp;$D134,Sales!$A$21:$W$209,14,FALSE)</f>
        <v>7187.5071795167523</v>
      </c>
      <c r="S134" s="3">
        <v>86</v>
      </c>
      <c r="T134" s="3">
        <f>($G134-$I134)/($S134+$V134*20)*V134*20</f>
        <v>0</v>
      </c>
      <c r="U134" s="122">
        <f>VLOOKUP($C134&amp;$D134,Sales!$A$21:$W$209,17,FALSE)</f>
        <v>0</v>
      </c>
      <c r="V134" s="3"/>
      <c r="X134" s="27">
        <f t="shared" si="88"/>
        <v>1</v>
      </c>
      <c r="Y134" s="28">
        <v>0.9</v>
      </c>
      <c r="Z134" s="27">
        <f t="shared" si="56"/>
        <v>1</v>
      </c>
      <c r="AA134" s="132">
        <f t="shared" si="57"/>
        <v>1</v>
      </c>
      <c r="AB134" s="27">
        <f t="shared" si="89"/>
        <v>0</v>
      </c>
      <c r="AC134" s="5">
        <f>2*$AC$9</f>
        <v>2</v>
      </c>
      <c r="AD134">
        <f t="shared" si="94"/>
        <v>0.55000000000000004</v>
      </c>
      <c r="AE134" s="24">
        <f t="shared" si="72"/>
        <v>106.56595117322946</v>
      </c>
      <c r="AF134" s="24">
        <f t="shared" si="58"/>
        <v>0</v>
      </c>
      <c r="AG134" s="24">
        <f t="shared" si="59"/>
        <v>15000</v>
      </c>
      <c r="AH134" s="24">
        <f t="shared" si="60"/>
        <v>0</v>
      </c>
      <c r="AI134" s="5">
        <f t="shared" si="96"/>
        <v>2.9</v>
      </c>
      <c r="AJ134" s="5">
        <f t="shared" si="97"/>
        <v>0.56100000000000005</v>
      </c>
      <c r="AK134" s="24">
        <f t="shared" si="61"/>
        <v>185.3930071602081</v>
      </c>
      <c r="AL134" s="24">
        <f t="shared" si="62"/>
        <v>0</v>
      </c>
      <c r="AM134" s="24">
        <f t="shared" si="63"/>
        <v>32500</v>
      </c>
      <c r="AN134" s="24">
        <f t="shared" si="64"/>
        <v>0</v>
      </c>
      <c r="AO134" s="5">
        <f t="shared" si="98"/>
        <v>3.4</v>
      </c>
      <c r="AP134" s="5">
        <f t="shared" si="99"/>
        <v>0.57222000000000006</v>
      </c>
      <c r="AQ134" s="24">
        <f t="shared" si="65"/>
        <v>245.66328501629741</v>
      </c>
      <c r="AR134" s="24">
        <f t="shared" si="66"/>
        <v>0</v>
      </c>
      <c r="AS134" s="24">
        <f t="shared" si="67"/>
        <v>75756.856187290978</v>
      </c>
      <c r="AT134" s="24">
        <f t="shared" si="68"/>
        <v>0</v>
      </c>
      <c r="BA134" s="5">
        <f t="shared" si="73"/>
        <v>3.4</v>
      </c>
      <c r="BB134" s="5">
        <f t="shared" si="74"/>
        <v>0.57222000000000006</v>
      </c>
      <c r="BC134" s="24">
        <f t="shared" si="75"/>
        <v>245.66328501629741</v>
      </c>
      <c r="BD134" s="24">
        <f t="shared" si="76"/>
        <v>0</v>
      </c>
      <c r="BE134" s="24">
        <f t="shared" si="77"/>
        <v>75756.856187290978</v>
      </c>
      <c r="BF134" s="24">
        <f t="shared" si="78"/>
        <v>0</v>
      </c>
      <c r="BI134" t="str">
        <f>RegionWideSubstations!C134</f>
        <v>City of Coulee Dam</v>
      </c>
      <c r="BJ134" s="417">
        <f>RegionWideSubstations!AE134/8760</f>
        <v>1.2165062919318431E-2</v>
      </c>
      <c r="BK134" s="416">
        <f>RegionWideSubstations!AF134/8760</f>
        <v>0</v>
      </c>
      <c r="BL134" s="70">
        <f>(RegionWideSubstations!AK134/8760)-BJ134</f>
        <v>8.9985223729427688E-3</v>
      </c>
      <c r="BM134" s="415">
        <f>(RegionWideSubstations!AL134/8760)-BK134</f>
        <v>0</v>
      </c>
      <c r="BN134" s="70">
        <f>(RegionWideSubstations!AQ134/8760)-BJ134-BL134</f>
        <v>6.880168705033024E-3</v>
      </c>
      <c r="BO134" s="415">
        <f>(RegionWideSubstations!AR134/8760)-BK134-BM134</f>
        <v>0</v>
      </c>
      <c r="BP134" s="70">
        <f t="shared" si="69"/>
        <v>-2.8043753997294224E-2</v>
      </c>
      <c r="BQ134" s="24">
        <f t="shared" si="70"/>
        <v>0</v>
      </c>
    </row>
    <row r="135" spans="1:69">
      <c r="A135">
        <f t="shared" si="90"/>
        <v>123</v>
      </c>
      <c r="B135">
        <v>18282</v>
      </c>
      <c r="C135" t="s">
        <v>151</v>
      </c>
      <c r="D135" t="s">
        <v>3</v>
      </c>
      <c r="E135" t="s">
        <v>91</v>
      </c>
      <c r="F135" s="3">
        <v>557</v>
      </c>
      <c r="G135" s="9">
        <f>+I135</f>
        <v>13016</v>
      </c>
      <c r="H135" s="122">
        <f>VLOOKUP($C135&amp;$D135,Sales!$A$21:$W$209,23,FALSE)</f>
        <v>23000</v>
      </c>
      <c r="I135" s="3">
        <v>13016</v>
      </c>
      <c r="J135" s="122">
        <f>VLOOKUP($C135&amp;$D135,Sales!$A$21:$W$209,11,FALSE)</f>
        <v>15333.333333333332</v>
      </c>
      <c r="K135" s="3">
        <v>559</v>
      </c>
      <c r="L135" s="122">
        <f>VLOOKUP($C135&amp;$D135,Sales!$A$21:$W$209,12,FALSE)</f>
        <v>487.77350427350422</v>
      </c>
      <c r="M135" s="3">
        <f t="shared" si="95"/>
        <v>23284.43649373882</v>
      </c>
      <c r="N135">
        <v>2</v>
      </c>
      <c r="O135">
        <v>2</v>
      </c>
      <c r="P135">
        <v>4</v>
      </c>
      <c r="Q135" s="3"/>
      <c r="R135" s="122">
        <f>VLOOKUP($C135&amp;$D135,Sales!$A$21:$W$209,14,FALSE)</f>
        <v>7666.6666666666661</v>
      </c>
      <c r="T135" s="3"/>
      <c r="U135" s="122">
        <f>VLOOKUP($C135&amp;$D135,Sales!$A$21:$W$209,17,FALSE)</f>
        <v>0</v>
      </c>
      <c r="X135" s="27">
        <f t="shared" si="88"/>
        <v>1</v>
      </c>
      <c r="Y135" s="28">
        <v>0.9</v>
      </c>
      <c r="Z135" s="27">
        <f t="shared" si="56"/>
        <v>1</v>
      </c>
      <c r="AA135" s="132">
        <f t="shared" si="57"/>
        <v>1</v>
      </c>
      <c r="AB135" s="27">
        <f t="shared" si="89"/>
        <v>0</v>
      </c>
      <c r="AC135" s="5">
        <f>1.5*$AC$9</f>
        <v>1.5</v>
      </c>
      <c r="AD135">
        <f t="shared" si="94"/>
        <v>0.55000000000000004</v>
      </c>
      <c r="AE135" s="24">
        <f t="shared" si="72"/>
        <v>115.86103562338025</v>
      </c>
      <c r="AF135" s="24">
        <f t="shared" si="58"/>
        <v>0</v>
      </c>
      <c r="AG135" s="24">
        <f t="shared" si="59"/>
        <v>15000</v>
      </c>
      <c r="AH135" s="24">
        <f t="shared" si="60"/>
        <v>0</v>
      </c>
      <c r="AI135" s="5">
        <f t="shared" si="96"/>
        <v>2.4</v>
      </c>
      <c r="AJ135" s="5">
        <f t="shared" si="97"/>
        <v>0.56100000000000005</v>
      </c>
      <c r="AK135" s="24">
        <f t="shared" si="61"/>
        <v>220.74607554053856</v>
      </c>
      <c r="AL135" s="24">
        <f t="shared" si="62"/>
        <v>0</v>
      </c>
      <c r="AM135" s="24">
        <f t="shared" si="63"/>
        <v>32500</v>
      </c>
      <c r="AN135" s="24">
        <f t="shared" si="64"/>
        <v>0</v>
      </c>
      <c r="AO135" s="5">
        <f t="shared" si="98"/>
        <v>2.9</v>
      </c>
      <c r="AP135" s="5">
        <f t="shared" si="99"/>
        <v>0.57222000000000006</v>
      </c>
      <c r="AQ135" s="24">
        <f t="shared" si="65"/>
        <v>298.26497887036817</v>
      </c>
      <c r="AR135" s="24">
        <f t="shared" si="66"/>
        <v>0</v>
      </c>
      <c r="AS135" s="24">
        <f t="shared" si="67"/>
        <v>74388.675213675218</v>
      </c>
      <c r="AT135" s="24">
        <f t="shared" si="68"/>
        <v>0</v>
      </c>
      <c r="BA135" s="5">
        <f t="shared" si="73"/>
        <v>2.9</v>
      </c>
      <c r="BB135" s="5">
        <f t="shared" si="74"/>
        <v>0.57222000000000006</v>
      </c>
      <c r="BC135" s="24">
        <f t="shared" si="75"/>
        <v>298.26497887036817</v>
      </c>
      <c r="BD135" s="24">
        <f t="shared" si="76"/>
        <v>0</v>
      </c>
      <c r="BE135" s="24">
        <f t="shared" si="77"/>
        <v>74388.675213675218</v>
      </c>
      <c r="BF135" s="24">
        <f t="shared" si="78"/>
        <v>0</v>
      </c>
      <c r="BI135" t="str">
        <f>RegionWideSubstations!C135</f>
        <v>East End Mutual Elec Co Ltd</v>
      </c>
      <c r="BJ135" s="417">
        <f>RegionWideSubstations!AE135/8760</f>
        <v>1.3226145619107335E-2</v>
      </c>
      <c r="BK135" s="416">
        <f>RegionWideSubstations!AF135/8760</f>
        <v>0</v>
      </c>
      <c r="BL135" s="70">
        <f>(RegionWideSubstations!AK135/8760)-BJ135</f>
        <v>1.1973178072734967E-2</v>
      </c>
      <c r="BM135" s="415">
        <f>(RegionWideSubstations!AL135/8760)-BK135</f>
        <v>0</v>
      </c>
      <c r="BN135" s="70">
        <f>(RegionWideSubstations!AQ135/8760)-BJ135-BL135</f>
        <v>8.8491898778344288E-3</v>
      </c>
      <c r="BO135" s="415">
        <f>(RegionWideSubstations!AR135/8760)-BK135-BM135</f>
        <v>0</v>
      </c>
      <c r="BP135" s="70">
        <f t="shared" si="69"/>
        <v>-3.4048513569676732E-2</v>
      </c>
      <c r="BQ135" s="24">
        <f t="shared" si="70"/>
        <v>0</v>
      </c>
    </row>
    <row r="136" spans="1:69">
      <c r="A136">
        <f t="shared" si="90"/>
        <v>124</v>
      </c>
      <c r="B136">
        <v>16462</v>
      </c>
      <c r="C136" t="s">
        <v>52</v>
      </c>
      <c r="D136" t="s">
        <v>4</v>
      </c>
      <c r="E136" t="s">
        <v>29</v>
      </c>
      <c r="F136" s="3">
        <v>538</v>
      </c>
      <c r="G136" s="9">
        <f>+I136</f>
        <v>9724</v>
      </c>
      <c r="H136" s="122">
        <f>VLOOKUP($C136&amp;$D136,Sales!$A$21:$W$209,23,FALSE)</f>
        <v>18538</v>
      </c>
      <c r="I136" s="3">
        <v>9724</v>
      </c>
      <c r="J136" s="122">
        <f>VLOOKUP($C136&amp;$D136,Sales!$A$21:$W$209,11,FALSE)</f>
        <v>12816.645864574923</v>
      </c>
      <c r="K136" s="3">
        <v>786</v>
      </c>
      <c r="L136" s="122">
        <f>VLOOKUP($C136&amp;$D136,Sales!$A$21:$W$209,12,FALSE)</f>
        <v>846.94214876033061</v>
      </c>
      <c r="M136" s="3">
        <f t="shared" si="95"/>
        <v>12371.501272264632</v>
      </c>
      <c r="N136">
        <v>2</v>
      </c>
      <c r="O136">
        <v>1</v>
      </c>
      <c r="P136">
        <v>3</v>
      </c>
      <c r="Q136" s="3"/>
      <c r="R136" s="122">
        <f>VLOOKUP($C136&amp;$D136,Sales!$A$21:$W$209,14,FALSE)</f>
        <v>5649.7169223670544</v>
      </c>
      <c r="T136" s="3"/>
      <c r="U136" s="122">
        <f>VLOOKUP($C136&amp;$D136,Sales!$A$21:$W$209,17,FALSE)</f>
        <v>71.637213058022837</v>
      </c>
      <c r="X136" s="27">
        <f t="shared" si="88"/>
        <v>1</v>
      </c>
      <c r="Y136" s="28">
        <v>0.9</v>
      </c>
      <c r="Z136" s="27">
        <f t="shared" si="56"/>
        <v>1</v>
      </c>
      <c r="AA136" s="132">
        <f t="shared" si="57"/>
        <v>1</v>
      </c>
      <c r="AB136" s="27">
        <f t="shared" si="89"/>
        <v>0</v>
      </c>
      <c r="AC136" s="5">
        <f>2*$AC$9</f>
        <v>2</v>
      </c>
      <c r="AD136">
        <f t="shared" si="94"/>
        <v>0.55000000000000004</v>
      </c>
      <c r="AE136" s="24">
        <f t="shared" si="72"/>
        <v>125.66951161124035</v>
      </c>
      <c r="AF136" s="24">
        <f t="shared" si="58"/>
        <v>0</v>
      </c>
      <c r="AG136" s="24">
        <f t="shared" si="59"/>
        <v>15000</v>
      </c>
      <c r="AH136" s="24">
        <f t="shared" si="60"/>
        <v>0</v>
      </c>
      <c r="AI136" s="5">
        <f t="shared" si="96"/>
        <v>2.9</v>
      </c>
      <c r="AJ136" s="5">
        <f t="shared" si="97"/>
        <v>0.56100000000000005</v>
      </c>
      <c r="AK136" s="24">
        <f t="shared" si="61"/>
        <v>216.62133752365236</v>
      </c>
      <c r="AL136" s="24">
        <f t="shared" si="62"/>
        <v>0</v>
      </c>
      <c r="AM136" s="24">
        <f t="shared" si="63"/>
        <v>32500</v>
      </c>
      <c r="AN136" s="24">
        <f t="shared" si="64"/>
        <v>0</v>
      </c>
      <c r="AO136" s="5">
        <f t="shared" si="98"/>
        <v>3.4</v>
      </c>
      <c r="AP136" s="5">
        <f t="shared" si="99"/>
        <v>0.57222000000000006</v>
      </c>
      <c r="AQ136" s="24">
        <f t="shared" si="65"/>
        <v>283.25949832772994</v>
      </c>
      <c r="AR136" s="24">
        <f t="shared" si="66"/>
        <v>0</v>
      </c>
      <c r="AS136" s="24">
        <f t="shared" si="67"/>
        <v>92347.107438016537</v>
      </c>
      <c r="AT136" s="24">
        <f t="shared" si="68"/>
        <v>0</v>
      </c>
      <c r="BA136" s="5">
        <f t="shared" si="73"/>
        <v>3.4</v>
      </c>
      <c r="BB136" s="5">
        <f t="shared" si="74"/>
        <v>0.57222000000000006</v>
      </c>
      <c r="BC136" s="24">
        <f t="shared" si="75"/>
        <v>283.25949832772994</v>
      </c>
      <c r="BD136" s="24">
        <f t="shared" si="76"/>
        <v>0</v>
      </c>
      <c r="BE136" s="24">
        <f t="shared" si="77"/>
        <v>92347.107438016537</v>
      </c>
      <c r="BF136" s="24">
        <f t="shared" si="78"/>
        <v>0</v>
      </c>
      <c r="BI136" t="str">
        <f>RegionWideSubstations!C136</f>
        <v>City of Troy</v>
      </c>
      <c r="BJ136" s="417">
        <f>RegionWideSubstations!AE136/8760</f>
        <v>1.4345834658817391E-2</v>
      </c>
      <c r="BK136" s="416">
        <f>RegionWideSubstations!AF136/8760</f>
        <v>0</v>
      </c>
      <c r="BL136" s="70">
        <f>(RegionWideSubstations!AK136/8760)-BJ136</f>
        <v>1.0382628528814157E-2</v>
      </c>
      <c r="BM136" s="415">
        <f>(RegionWideSubstations!AL136/8760)-BK136</f>
        <v>0</v>
      </c>
      <c r="BN136" s="70">
        <f>(RegionWideSubstations!AQ136/8760)-BJ136-BL136</f>
        <v>7.6070959822006345E-3</v>
      </c>
      <c r="BO136" s="415">
        <f>(RegionWideSubstations!AR136/8760)-BK136-BM136</f>
        <v>0</v>
      </c>
      <c r="BP136" s="70">
        <f t="shared" si="69"/>
        <v>-3.2335559169832183E-2</v>
      </c>
      <c r="BQ136" s="24">
        <f t="shared" si="70"/>
        <v>0</v>
      </c>
    </row>
    <row r="137" spans="1:69">
      <c r="A137">
        <f t="shared" si="90"/>
        <v>125</v>
      </c>
      <c r="B137">
        <v>287</v>
      </c>
      <c r="C137" t="s">
        <v>58</v>
      </c>
      <c r="D137" t="s">
        <v>1</v>
      </c>
      <c r="E137" t="s">
        <v>29</v>
      </c>
      <c r="F137" s="3">
        <v>366</v>
      </c>
      <c r="G137" s="3">
        <v>5187</v>
      </c>
      <c r="H137" s="122">
        <f>VLOOKUP($C137&amp;$D137,Sales!$A$21:$W$209,23,FALSE)</f>
        <v>6216</v>
      </c>
      <c r="I137" s="3">
        <v>5058</v>
      </c>
      <c r="J137" s="122">
        <f>VLOOKUP($C137&amp;$D137,Sales!$A$21:$W$209,11,FALSE)</f>
        <v>6216</v>
      </c>
      <c r="K137" s="3">
        <v>417</v>
      </c>
      <c r="L137" s="122">
        <f>VLOOKUP($C137&amp;$D137,Sales!$A$21:$W$209,12,FALSE)</f>
        <v>489</v>
      </c>
      <c r="M137" s="3">
        <f t="shared" si="95"/>
        <v>12129.496402877698</v>
      </c>
      <c r="N137">
        <v>1</v>
      </c>
      <c r="O137">
        <v>1</v>
      </c>
      <c r="P137">
        <v>1</v>
      </c>
      <c r="Q137" s="3">
        <f>($G137-$I137)/($S137+$V137*20)*S137</f>
        <v>129</v>
      </c>
      <c r="R137" s="122">
        <f>VLOOKUP($C137&amp;$D137,Sales!$A$21:$W$209,14,FALSE)</f>
        <v>0</v>
      </c>
      <c r="S137" s="3">
        <v>1</v>
      </c>
      <c r="T137" s="3">
        <f>($G137-$I137)/($S137+$V137*20)*V137*20</f>
        <v>0</v>
      </c>
      <c r="U137" s="122">
        <f>VLOOKUP($C137&amp;$D137,Sales!$A$21:$W$209,17,FALSE)</f>
        <v>0</v>
      </c>
      <c r="V137" s="3"/>
      <c r="X137" s="27">
        <f t="shared" si="88"/>
        <v>1</v>
      </c>
      <c r="Y137" s="28">
        <v>0.9</v>
      </c>
      <c r="Z137" s="27">
        <f t="shared" si="56"/>
        <v>1</v>
      </c>
      <c r="AA137" s="132">
        <f t="shared" si="57"/>
        <v>1</v>
      </c>
      <c r="AB137" s="27">
        <f t="shared" si="89"/>
        <v>0</v>
      </c>
      <c r="AC137" s="5">
        <f>2*$AC$9</f>
        <v>2</v>
      </c>
      <c r="AD137">
        <f t="shared" si="94"/>
        <v>0.55000000000000004</v>
      </c>
      <c r="AE137" s="24">
        <f t="shared" si="72"/>
        <v>48.255281361957167</v>
      </c>
      <c r="AF137" s="24">
        <f t="shared" si="58"/>
        <v>0</v>
      </c>
      <c r="AG137" s="24">
        <f t="shared" si="59"/>
        <v>15000</v>
      </c>
      <c r="AH137" s="24">
        <f t="shared" si="60"/>
        <v>0</v>
      </c>
      <c r="AI137" s="5">
        <f t="shared" si="96"/>
        <v>2.9</v>
      </c>
      <c r="AJ137" s="5">
        <f t="shared" si="97"/>
        <v>0.56100000000000005</v>
      </c>
      <c r="AK137" s="24">
        <f t="shared" si="61"/>
        <v>81.565212724953895</v>
      </c>
      <c r="AL137" s="24">
        <f t="shared" si="62"/>
        <v>0</v>
      </c>
      <c r="AM137" s="24">
        <f t="shared" si="63"/>
        <v>32500</v>
      </c>
      <c r="AN137" s="24">
        <f t="shared" si="64"/>
        <v>0</v>
      </c>
      <c r="AO137" s="5">
        <f t="shared" si="98"/>
        <v>3.4</v>
      </c>
      <c r="AP137" s="5">
        <f t="shared" si="99"/>
        <v>0.57222000000000006</v>
      </c>
      <c r="AQ137" s="24">
        <f t="shared" si="65"/>
        <v>103.63704054768064</v>
      </c>
      <c r="AR137" s="24">
        <f t="shared" si="66"/>
        <v>0</v>
      </c>
      <c r="AS137" s="24">
        <f t="shared" si="67"/>
        <v>74450</v>
      </c>
      <c r="AT137" s="24">
        <f t="shared" si="68"/>
        <v>0</v>
      </c>
      <c r="BA137" s="5">
        <f t="shared" si="73"/>
        <v>3.4</v>
      </c>
      <c r="BB137" s="5">
        <f t="shared" si="74"/>
        <v>0.57222000000000006</v>
      </c>
      <c r="BC137" s="24">
        <f t="shared" si="75"/>
        <v>103.63704054768064</v>
      </c>
      <c r="BD137" s="24">
        <f t="shared" si="76"/>
        <v>0</v>
      </c>
      <c r="BE137" s="24">
        <f t="shared" si="77"/>
        <v>74450</v>
      </c>
      <c r="BF137" s="24">
        <f t="shared" si="78"/>
        <v>0</v>
      </c>
      <c r="BI137" t="str">
        <f>RegionWideSubstations!C137</f>
        <v>Town of Ruston</v>
      </c>
      <c r="BJ137" s="417">
        <f>RegionWideSubstations!AE137/8760</f>
        <v>5.5085937627804985E-3</v>
      </c>
      <c r="BK137" s="416">
        <f>RegionWideSubstations!AF137/8760</f>
        <v>0</v>
      </c>
      <c r="BL137" s="70">
        <f>(RegionWideSubstations!AK137/8760)-BJ137</f>
        <v>3.8025035802507689E-3</v>
      </c>
      <c r="BM137" s="415">
        <f>(RegionWideSubstations!AL137/8760)-BK137</f>
        <v>0</v>
      </c>
      <c r="BN137" s="70">
        <f>(RegionWideSubstations!AQ137/8760)-BJ137-BL137</f>
        <v>2.5196150482564763E-3</v>
      </c>
      <c r="BO137" s="415">
        <f>(RegionWideSubstations!AR137/8760)-BK137-BM137</f>
        <v>0</v>
      </c>
      <c r="BP137" s="70">
        <f t="shared" si="69"/>
        <v>-1.1830712391287744E-2</v>
      </c>
      <c r="BQ137" s="24">
        <f t="shared" si="70"/>
        <v>0</v>
      </c>
    </row>
    <row r="138" spans="1:69">
      <c r="A138">
        <f t="shared" si="90"/>
        <v>126</v>
      </c>
      <c r="B138">
        <v>244</v>
      </c>
      <c r="C138" t="s">
        <v>152</v>
      </c>
      <c r="D138" t="s">
        <v>1</v>
      </c>
      <c r="E138" t="s">
        <v>91</v>
      </c>
      <c r="F138" s="3">
        <v>213</v>
      </c>
      <c r="G138" s="9">
        <f>+I138</f>
        <v>3285</v>
      </c>
      <c r="H138" s="122">
        <f>VLOOKUP($C138&amp;$D138,Sales!$A$21:$W$209,23,FALSE)</f>
        <v>4621</v>
      </c>
      <c r="I138" s="3">
        <v>3285</v>
      </c>
      <c r="J138" s="122">
        <f>VLOOKUP($C138&amp;$D138,Sales!$A$21:$W$209,11,FALSE)</f>
        <v>4192.5981136415921</v>
      </c>
      <c r="K138" s="3">
        <v>246</v>
      </c>
      <c r="L138" s="122">
        <f>VLOOKUP($C138&amp;$D138,Sales!$A$21:$W$209,12,FALSE)</f>
        <v>250.78321678321677</v>
      </c>
      <c r="M138" s="3">
        <f t="shared" si="95"/>
        <v>13353.658536585366</v>
      </c>
      <c r="N138">
        <v>1</v>
      </c>
      <c r="O138">
        <v>1</v>
      </c>
      <c r="P138">
        <v>1</v>
      </c>
      <c r="Q138" s="3"/>
      <c r="R138" s="122">
        <f>VLOOKUP($C138&amp;$D138,Sales!$A$21:$W$209,14,FALSE)</f>
        <v>428.40188635840809</v>
      </c>
      <c r="T138" s="3"/>
      <c r="U138" s="122">
        <f>VLOOKUP($C138&amp;$D138,Sales!$A$21:$W$209,17,FALSE)</f>
        <v>0</v>
      </c>
      <c r="X138" s="27">
        <f t="shared" si="88"/>
        <v>1</v>
      </c>
      <c r="Y138" s="28">
        <v>0.9</v>
      </c>
      <c r="Z138" s="27">
        <f t="shared" si="56"/>
        <v>1</v>
      </c>
      <c r="AA138" s="132">
        <f t="shared" si="57"/>
        <v>1</v>
      </c>
      <c r="AB138" s="27">
        <f t="shared" si="89"/>
        <v>0</v>
      </c>
      <c r="AC138" s="5">
        <f>1.5*$AC$9</f>
        <v>1.5</v>
      </c>
      <c r="AD138">
        <f t="shared" si="94"/>
        <v>0.55000000000000004</v>
      </c>
      <c r="AE138" s="24">
        <f t="shared" si="72"/>
        <v>25.89616080287249</v>
      </c>
      <c r="AF138" s="24">
        <f t="shared" si="58"/>
        <v>0</v>
      </c>
      <c r="AG138" s="24">
        <f t="shared" si="59"/>
        <v>15000</v>
      </c>
      <c r="AH138" s="24">
        <f t="shared" si="60"/>
        <v>0</v>
      </c>
      <c r="AI138" s="5">
        <f t="shared" si="96"/>
        <v>2.4</v>
      </c>
      <c r="AJ138" s="5">
        <f t="shared" si="97"/>
        <v>0.56100000000000005</v>
      </c>
      <c r="AK138" s="24">
        <f t="shared" si="61"/>
        <v>48.559801346389676</v>
      </c>
      <c r="AL138" s="24">
        <f t="shared" si="62"/>
        <v>0</v>
      </c>
      <c r="AM138" s="24">
        <f t="shared" si="63"/>
        <v>32500</v>
      </c>
      <c r="AN138" s="24">
        <f t="shared" si="64"/>
        <v>0</v>
      </c>
      <c r="AO138" s="5">
        <f t="shared" si="98"/>
        <v>2.9</v>
      </c>
      <c r="AP138" s="5">
        <f t="shared" si="99"/>
        <v>0.57222000000000006</v>
      </c>
      <c r="AQ138" s="24">
        <f t="shared" si="65"/>
        <v>64.104162002029327</v>
      </c>
      <c r="AR138" s="24">
        <f t="shared" si="66"/>
        <v>0</v>
      </c>
      <c r="AS138" s="24">
        <f t="shared" si="67"/>
        <v>62539.160839160839</v>
      </c>
      <c r="AT138" s="24">
        <f t="shared" si="68"/>
        <v>0</v>
      </c>
      <c r="BA138" s="5">
        <f t="shared" si="73"/>
        <v>2.9</v>
      </c>
      <c r="BB138" s="5">
        <f t="shared" si="74"/>
        <v>0.57222000000000006</v>
      </c>
      <c r="BC138" s="24">
        <f t="shared" si="75"/>
        <v>64.104162002029327</v>
      </c>
      <c r="BD138" s="24">
        <f t="shared" si="76"/>
        <v>0</v>
      </c>
      <c r="BE138" s="24">
        <f t="shared" si="77"/>
        <v>62539.160839160839</v>
      </c>
      <c r="BF138" s="24">
        <f t="shared" si="78"/>
        <v>0</v>
      </c>
      <c r="BI138" t="str">
        <f>RegionWideSubstations!C138</f>
        <v>Alder Mutual Light Co, Inc</v>
      </c>
      <c r="BJ138" s="417">
        <f>RegionWideSubstations!AE138/8760</f>
        <v>2.9561827400539373E-3</v>
      </c>
      <c r="BK138" s="416">
        <f>RegionWideSubstations!AF138/8760</f>
        <v>0</v>
      </c>
      <c r="BL138" s="70">
        <f>(RegionWideSubstations!AK138/8760)-BJ138</f>
        <v>2.5871735780270758E-3</v>
      </c>
      <c r="BM138" s="415">
        <f>(RegionWideSubstations!AL138/8760)-BK138</f>
        <v>0</v>
      </c>
      <c r="BN138" s="70">
        <f>(RegionWideSubstations!AQ138/8760)-BJ138-BL138</f>
        <v>1.774470394479412E-3</v>
      </c>
      <c r="BO138" s="415">
        <f>(RegionWideSubstations!AR138/8760)-BK138-BM138</f>
        <v>0</v>
      </c>
      <c r="BP138" s="70">
        <f t="shared" si="69"/>
        <v>-7.3178267125604251E-3</v>
      </c>
      <c r="BQ138" s="24">
        <f t="shared" si="70"/>
        <v>0</v>
      </c>
    </row>
    <row r="139" spans="1:69">
      <c r="A139">
        <f t="shared" si="90"/>
        <v>127</v>
      </c>
      <c r="B139">
        <v>7084</v>
      </c>
      <c r="C139" t="s">
        <v>59</v>
      </c>
      <c r="D139" t="s">
        <v>3</v>
      </c>
      <c r="E139" t="s">
        <v>29</v>
      </c>
      <c r="F139" s="3">
        <v>118</v>
      </c>
      <c r="G139" s="3">
        <v>2962</v>
      </c>
      <c r="H139" s="122">
        <f>VLOOKUP($C139&amp;$D139,Sales!$A$21:$W$209,23,FALSE)</f>
        <v>2749</v>
      </c>
      <c r="I139" s="3">
        <v>1908</v>
      </c>
      <c r="J139" s="122">
        <f>VLOOKUP($C139&amp;$D139,Sales!$A$21:$W$209,11,FALSE)</f>
        <v>1903.3495834618946</v>
      </c>
      <c r="K139" s="3">
        <v>120</v>
      </c>
      <c r="L139" s="122">
        <f>VLOOKUP($C139&amp;$D139,Sales!$A$21:$W$209,12,FALSE)</f>
        <v>180.51063829787233</v>
      </c>
      <c r="M139" s="3">
        <f t="shared" si="95"/>
        <v>15900</v>
      </c>
      <c r="N139">
        <v>2</v>
      </c>
      <c r="O139">
        <v>3</v>
      </c>
      <c r="P139">
        <v>4</v>
      </c>
      <c r="Q139" s="3">
        <f>($G139-$I139)/($S139+$V139*20)*S139</f>
        <v>1054</v>
      </c>
      <c r="R139" s="122">
        <f>VLOOKUP($C139&amp;$D139,Sales!$A$21:$W$209,14,FALSE)</f>
        <v>845.65041653810545</v>
      </c>
      <c r="S139" s="3">
        <v>19</v>
      </c>
      <c r="T139" s="3">
        <f>($G139-$I139)/($S139+$V139*20)*V139*10</f>
        <v>0</v>
      </c>
      <c r="U139" s="122">
        <f>VLOOKUP($C139&amp;$D139,Sales!$A$21:$W$209,17,FALSE)</f>
        <v>0</v>
      </c>
      <c r="V139" s="3"/>
      <c r="X139" s="27">
        <f t="shared" si="88"/>
        <v>1</v>
      </c>
      <c r="Y139" s="28">
        <v>0.9</v>
      </c>
      <c r="Z139" s="27">
        <f t="shared" si="56"/>
        <v>1</v>
      </c>
      <c r="AA139" s="132">
        <f t="shared" si="57"/>
        <v>1</v>
      </c>
      <c r="AB139" s="27">
        <f t="shared" si="89"/>
        <v>0</v>
      </c>
      <c r="AC139" s="5">
        <f>2*$AC$9</f>
        <v>2</v>
      </c>
      <c r="AD139">
        <f t="shared" si="94"/>
        <v>0.55000000000000004</v>
      </c>
      <c r="AE139" s="24">
        <f t="shared" si="72"/>
        <v>18.685791125122847</v>
      </c>
      <c r="AF139" s="24">
        <f t="shared" si="58"/>
        <v>0</v>
      </c>
      <c r="AG139" s="24">
        <f t="shared" si="59"/>
        <v>15000</v>
      </c>
      <c r="AH139" s="24">
        <f t="shared" si="60"/>
        <v>0</v>
      </c>
      <c r="AI139" s="5">
        <f t="shared" si="96"/>
        <v>2.9</v>
      </c>
      <c r="AJ139" s="5">
        <f t="shared" si="97"/>
        <v>0.56100000000000005</v>
      </c>
      <c r="AK139" s="24">
        <f t="shared" si="61"/>
        <v>32.20391218135854</v>
      </c>
      <c r="AL139" s="24">
        <f t="shared" si="62"/>
        <v>0</v>
      </c>
      <c r="AM139" s="24">
        <f t="shared" si="63"/>
        <v>32500</v>
      </c>
      <c r="AN139" s="24">
        <f t="shared" si="64"/>
        <v>0</v>
      </c>
      <c r="AO139" s="5">
        <f t="shared" si="98"/>
        <v>3.4</v>
      </c>
      <c r="AP139" s="5">
        <f t="shared" si="99"/>
        <v>0.57222000000000006</v>
      </c>
      <c r="AQ139" s="24">
        <f t="shared" si="65"/>
        <v>42.106992880121162</v>
      </c>
      <c r="AR139" s="24">
        <f t="shared" si="66"/>
        <v>0</v>
      </c>
      <c r="AS139" s="24">
        <f t="shared" si="67"/>
        <v>59025.531914893618</v>
      </c>
      <c r="AT139" s="24">
        <f t="shared" si="68"/>
        <v>0</v>
      </c>
      <c r="BA139" s="5">
        <f t="shared" si="73"/>
        <v>3.4</v>
      </c>
      <c r="BB139" s="5">
        <f t="shared" si="74"/>
        <v>0.57222000000000006</v>
      </c>
      <c r="BC139" s="24">
        <f t="shared" si="75"/>
        <v>42.106992880121162</v>
      </c>
      <c r="BD139" s="24">
        <f t="shared" si="76"/>
        <v>0</v>
      </c>
      <c r="BE139" s="24">
        <f t="shared" si="77"/>
        <v>59025.531914893618</v>
      </c>
      <c r="BF139" s="24">
        <f t="shared" si="78"/>
        <v>0</v>
      </c>
      <c r="BI139" t="str">
        <f>RegionWideSubstations!C139</f>
        <v>City of Albion</v>
      </c>
      <c r="BJ139" s="417">
        <f>RegionWideSubstations!AE139/8760</f>
        <v>2.1330811786669916E-3</v>
      </c>
      <c r="BK139" s="416">
        <f>RegionWideSubstations!AF139/8760</f>
        <v>0</v>
      </c>
      <c r="BL139" s="70">
        <f>(RegionWideSubstations!AK139/8760)-BJ139</f>
        <v>1.5431645041364948E-3</v>
      </c>
      <c r="BM139" s="415">
        <f>(RegionWideSubstations!AL139/8760)-BK139</f>
        <v>0</v>
      </c>
      <c r="BN139" s="70">
        <f>(RegionWideSubstations!AQ139/8760)-BJ139-BL139</f>
        <v>1.1304886642423085E-3</v>
      </c>
      <c r="BO139" s="415">
        <f>(RegionWideSubstations!AR139/8760)-BK139-BM139</f>
        <v>0</v>
      </c>
      <c r="BP139" s="70">
        <f t="shared" si="69"/>
        <v>-4.8067343470457949E-3</v>
      </c>
      <c r="BQ139" s="24">
        <f t="shared" si="70"/>
        <v>0</v>
      </c>
    </row>
    <row r="140" spans="1:69">
      <c r="A140">
        <f t="shared" si="90"/>
        <v>128</v>
      </c>
      <c r="B140">
        <v>6155</v>
      </c>
      <c r="C140" t="s">
        <v>60</v>
      </c>
      <c r="D140" t="s">
        <v>3</v>
      </c>
      <c r="E140" t="s">
        <v>29</v>
      </c>
      <c r="F140" s="3">
        <v>83</v>
      </c>
      <c r="G140" s="3">
        <v>2119</v>
      </c>
      <c r="H140" s="122">
        <f>VLOOKUP($C140&amp;$D140,Sales!$A$21:$W$209,23,FALSE)</f>
        <v>3002</v>
      </c>
      <c r="I140" s="3">
        <v>1257</v>
      </c>
      <c r="J140" s="122">
        <f>VLOOKUP($C140&amp;$D140,Sales!$A$21:$W$209,11,FALSE)</f>
        <v>1641.4378742514969</v>
      </c>
      <c r="K140" s="3">
        <v>101</v>
      </c>
      <c r="L140" s="122">
        <f>VLOOKUP($C140&amp;$D140,Sales!$A$21:$W$209,12,FALSE)</f>
        <v>109</v>
      </c>
      <c r="M140" s="3">
        <f t="shared" si="95"/>
        <v>12445.544554455446</v>
      </c>
      <c r="N140">
        <v>2</v>
      </c>
      <c r="O140">
        <v>3</v>
      </c>
      <c r="P140">
        <v>4</v>
      </c>
      <c r="Q140" s="3">
        <f>($G140-$I140)/($S140+$V140*20)*S140</f>
        <v>78.36363636363636</v>
      </c>
      <c r="R140" s="122">
        <f>VLOOKUP($C140&amp;$D140,Sales!$A$21:$W$209,14,FALSE)</f>
        <v>994.30014970059892</v>
      </c>
      <c r="S140" s="3">
        <v>20</v>
      </c>
      <c r="T140" s="3">
        <f>($G140-$I140)/($S140+$V140*20)*V140*20</f>
        <v>783.63636363636363</v>
      </c>
      <c r="U140" s="122">
        <f>VLOOKUP($C140&amp;$D140,Sales!$A$21:$W$209,17,FALSE)</f>
        <v>366.26197604790423</v>
      </c>
      <c r="V140" s="3">
        <v>10</v>
      </c>
      <c r="X140" s="27">
        <f t="shared" si="88"/>
        <v>1</v>
      </c>
      <c r="Y140" s="28">
        <v>0.9</v>
      </c>
      <c r="Z140" s="27">
        <f t="shared" si="56"/>
        <v>1</v>
      </c>
      <c r="AA140" s="132">
        <f t="shared" si="57"/>
        <v>1</v>
      </c>
      <c r="AB140" s="27">
        <f t="shared" si="89"/>
        <v>0</v>
      </c>
      <c r="AC140" s="5">
        <f>2*$AC$9</f>
        <v>2</v>
      </c>
      <c r="AD140">
        <f t="shared" si="94"/>
        <v>0.55000000000000004</v>
      </c>
      <c r="AE140" s="24">
        <f t="shared" si="72"/>
        <v>17.600197133070765</v>
      </c>
      <c r="AF140" s="24">
        <f t="shared" si="58"/>
        <v>0</v>
      </c>
      <c r="AG140" s="24">
        <f t="shared" si="59"/>
        <v>15000</v>
      </c>
      <c r="AH140" s="24">
        <f t="shared" si="60"/>
        <v>0</v>
      </c>
      <c r="AI140" s="5">
        <f t="shared" si="96"/>
        <v>2.9</v>
      </c>
      <c r="AJ140" s="5">
        <f t="shared" si="97"/>
        <v>0.56100000000000005</v>
      </c>
      <c r="AK140" s="24">
        <f t="shared" si="61"/>
        <v>30.807910293905881</v>
      </c>
      <c r="AL140" s="24">
        <f t="shared" si="62"/>
        <v>0</v>
      </c>
      <c r="AM140" s="24">
        <f t="shared" si="63"/>
        <v>32500</v>
      </c>
      <c r="AN140" s="24">
        <f t="shared" si="64"/>
        <v>0</v>
      </c>
      <c r="AO140" s="5">
        <f t="shared" si="98"/>
        <v>3.4</v>
      </c>
      <c r="AP140" s="5">
        <f t="shared" si="99"/>
        <v>0.57222000000000006</v>
      </c>
      <c r="AQ140" s="24">
        <f t="shared" si="65"/>
        <v>40.945077842945778</v>
      </c>
      <c r="AR140" s="24">
        <f t="shared" si="66"/>
        <v>0</v>
      </c>
      <c r="AS140" s="24">
        <f t="shared" si="67"/>
        <v>55450</v>
      </c>
      <c r="AT140" s="24">
        <f t="shared" si="68"/>
        <v>0</v>
      </c>
      <c r="BA140" s="5">
        <f t="shared" si="73"/>
        <v>3.4</v>
      </c>
      <c r="BB140" s="5">
        <f t="shared" si="74"/>
        <v>0.57222000000000006</v>
      </c>
      <c r="BC140" s="24">
        <f t="shared" si="75"/>
        <v>40.945077842945778</v>
      </c>
      <c r="BD140" s="24">
        <f t="shared" si="76"/>
        <v>0</v>
      </c>
      <c r="BE140" s="24">
        <f t="shared" si="77"/>
        <v>55450</v>
      </c>
      <c r="BF140" s="24">
        <f t="shared" si="78"/>
        <v>0</v>
      </c>
      <c r="BI140" t="str">
        <f>RegionWideSubstations!C140</f>
        <v>City of Declo</v>
      </c>
      <c r="BJ140" s="417">
        <f>RegionWideSubstations!AE140/8760</f>
        <v>2.0091549238665258E-3</v>
      </c>
      <c r="BK140" s="416">
        <f>RegionWideSubstations!AF140/8760</f>
        <v>0</v>
      </c>
      <c r="BL140" s="70">
        <f>(RegionWideSubstations!AK140/8760)-BJ140</f>
        <v>1.5077298128807208E-3</v>
      </c>
      <c r="BM140" s="415">
        <f>(RegionWideSubstations!AL140/8760)-BK140</f>
        <v>0</v>
      </c>
      <c r="BN140" s="70">
        <f>(RegionWideSubstations!AQ140/8760)-BJ140-BL140</f>
        <v>1.1572109074246459E-3</v>
      </c>
      <c r="BO140" s="415">
        <f>(RegionWideSubstations!AR140/8760)-BK140-BM140</f>
        <v>0</v>
      </c>
      <c r="BP140" s="70">
        <f t="shared" si="69"/>
        <v>-4.6740956441718925E-3</v>
      </c>
      <c r="BQ140" s="24">
        <f t="shared" si="70"/>
        <v>0</v>
      </c>
    </row>
    <row r="141" spans="1:69">
      <c r="A141">
        <f t="shared" si="90"/>
        <v>129</v>
      </c>
      <c r="B141">
        <v>12609</v>
      </c>
      <c r="C141" t="s">
        <v>153</v>
      </c>
      <c r="D141" t="s">
        <v>3</v>
      </c>
      <c r="E141" t="s">
        <v>91</v>
      </c>
      <c r="F141" s="3">
        <v>81</v>
      </c>
      <c r="G141" s="9">
        <f>+I141</f>
        <v>1892</v>
      </c>
      <c r="H141" s="122">
        <f>VLOOKUP($C141&amp;$D141,Sales!$A$21:$W$209,23,FALSE)</f>
        <v>4034</v>
      </c>
      <c r="I141" s="3">
        <v>1892</v>
      </c>
      <c r="J141" s="122">
        <f>VLOOKUP($C141&amp;$D141,Sales!$A$21:$W$209,11,FALSE)</f>
        <v>1875.4394724446538</v>
      </c>
      <c r="K141" s="3">
        <v>99</v>
      </c>
      <c r="L141" s="122">
        <f>VLOOKUP($C141&amp;$D141,Sales!$A$21:$W$209,12,FALSE)</f>
        <v>99.173553719008268</v>
      </c>
      <c r="M141" s="3">
        <f t="shared" si="95"/>
        <v>19111.111111111109</v>
      </c>
      <c r="N141">
        <v>2</v>
      </c>
      <c r="O141">
        <v>3</v>
      </c>
      <c r="P141">
        <v>4</v>
      </c>
      <c r="Q141" s="3"/>
      <c r="R141" s="122">
        <f>VLOOKUP($C141&amp;$D141,Sales!$A$21:$W$209,14,FALSE)</f>
        <v>1975.1968911917099</v>
      </c>
      <c r="T141" s="3"/>
      <c r="U141" s="122">
        <f>VLOOKUP($C141&amp;$D141,Sales!$A$21:$W$209,17,FALSE)</f>
        <v>183.36363636363637</v>
      </c>
      <c r="X141" s="27">
        <f t="shared" si="88"/>
        <v>1</v>
      </c>
      <c r="Y141" s="28">
        <v>0.9</v>
      </c>
      <c r="Z141" s="27">
        <f t="shared" si="56"/>
        <v>1</v>
      </c>
      <c r="AA141" s="132">
        <f t="shared" si="57"/>
        <v>1</v>
      </c>
      <c r="AB141" s="27">
        <f>+X141-Z141</f>
        <v>0</v>
      </c>
      <c r="AC141" s="5">
        <f>1.5*$AC$9</f>
        <v>1.5</v>
      </c>
      <c r="AD141">
        <f t="shared" si="94"/>
        <v>0.55000000000000004</v>
      </c>
      <c r="AE141" s="24">
        <f t="shared" si="72"/>
        <v>17.866520040555333</v>
      </c>
      <c r="AF141" s="24">
        <f t="shared" si="58"/>
        <v>0</v>
      </c>
      <c r="AG141" s="24">
        <f t="shared" si="59"/>
        <v>15000</v>
      </c>
      <c r="AH141" s="24">
        <f t="shared" si="60"/>
        <v>0</v>
      </c>
      <c r="AI141" s="5">
        <f t="shared" si="96"/>
        <v>2.4</v>
      </c>
      <c r="AJ141" s="5">
        <f t="shared" si="97"/>
        <v>0.56100000000000005</v>
      </c>
      <c r="AK141" s="24">
        <f t="shared" si="61"/>
        <v>34.658021269475682</v>
      </c>
      <c r="AL141" s="24">
        <f t="shared" si="62"/>
        <v>0</v>
      </c>
      <c r="AM141" s="24">
        <f t="shared" si="63"/>
        <v>32500</v>
      </c>
      <c r="AN141" s="24">
        <f t="shared" si="64"/>
        <v>0</v>
      </c>
      <c r="AO141" s="5">
        <f t="shared" si="98"/>
        <v>2.9</v>
      </c>
      <c r="AP141" s="5">
        <f t="shared" si="99"/>
        <v>0.57222000000000006</v>
      </c>
      <c r="AQ141" s="24">
        <f t="shared" si="65"/>
        <v>47.925754578546133</v>
      </c>
      <c r="AR141" s="24">
        <f t="shared" si="66"/>
        <v>0</v>
      </c>
      <c r="AS141" s="24">
        <f t="shared" si="67"/>
        <v>54958.677685950417</v>
      </c>
      <c r="AT141" s="24">
        <f t="shared" si="68"/>
        <v>0</v>
      </c>
      <c r="BA141" s="5">
        <f t="shared" si="73"/>
        <v>2.9</v>
      </c>
      <c r="BB141" s="5">
        <f t="shared" si="74"/>
        <v>0.57222000000000006</v>
      </c>
      <c r="BC141" s="24">
        <f t="shared" si="75"/>
        <v>47.925754578546133</v>
      </c>
      <c r="BD141" s="24">
        <f t="shared" si="76"/>
        <v>0</v>
      </c>
      <c r="BE141" s="24">
        <f t="shared" si="77"/>
        <v>54958.677685950417</v>
      </c>
      <c r="BF141" s="24">
        <f t="shared" si="78"/>
        <v>0</v>
      </c>
      <c r="BI141" t="str">
        <f>RegionWideSubstations!C141</f>
        <v>Farmers Electric Company, Ltd</v>
      </c>
      <c r="BJ141" s="417">
        <f>RegionWideSubstations!AE141/8760</f>
        <v>2.0395570822551749E-3</v>
      </c>
      <c r="BK141" s="416">
        <f>RegionWideSubstations!AF141/8760</f>
        <v>0</v>
      </c>
      <c r="BL141" s="70">
        <f>(RegionWideSubstations!AK141/8760)-BJ141</f>
        <v>1.9168380398310904E-3</v>
      </c>
      <c r="BM141" s="415">
        <f>(RegionWideSubstations!AL141/8760)-BK141</f>
        <v>0</v>
      </c>
      <c r="BN141" s="70">
        <f>(RegionWideSubstations!AQ141/8760)-BJ141-BL141</f>
        <v>1.5145814279760783E-3</v>
      </c>
      <c r="BO141" s="415">
        <f>(RegionWideSubstations!AR141/8760)-BK141-BM141</f>
        <v>0</v>
      </c>
      <c r="BP141" s="70">
        <f t="shared" si="69"/>
        <v>-5.4709765500623436E-3</v>
      </c>
      <c r="BQ141" s="24">
        <f t="shared" si="70"/>
        <v>0</v>
      </c>
    </row>
    <row r="142" spans="1:69">
      <c r="A142">
        <f t="shared" si="90"/>
        <v>130</v>
      </c>
      <c r="B142">
        <v>40456</v>
      </c>
      <c r="C142" t="s">
        <v>61</v>
      </c>
      <c r="D142" t="s">
        <v>3</v>
      </c>
      <c r="E142" t="s">
        <v>29</v>
      </c>
      <c r="F142" s="3">
        <v>32</v>
      </c>
      <c r="G142" s="3">
        <v>566</v>
      </c>
      <c r="H142" s="122">
        <f>VLOOKUP($C142&amp;$D142,Sales!$A$21:$W$209,23,FALSE)</f>
        <v>868</v>
      </c>
      <c r="I142" s="3">
        <v>473</v>
      </c>
      <c r="J142" s="122">
        <f>VLOOKUP($C142&amp;$D142,Sales!$A$21:$W$209,11,FALSE)</f>
        <v>827.8354755784062</v>
      </c>
      <c r="K142" s="3">
        <v>41</v>
      </c>
      <c r="L142" s="122">
        <f>VLOOKUP($C142&amp;$D142,Sales!$A$21:$W$209,12,FALSE)</f>
        <v>45.957446808510639</v>
      </c>
      <c r="M142" s="3">
        <f t="shared" si="95"/>
        <v>11536.58536585366</v>
      </c>
      <c r="N142">
        <v>2</v>
      </c>
      <c r="O142">
        <v>2</v>
      </c>
      <c r="P142">
        <v>4</v>
      </c>
      <c r="Q142" s="3">
        <f>($G142-$I142)/($S142+$V142*20)*S142</f>
        <v>93</v>
      </c>
      <c r="R142" s="122">
        <f>VLOOKUP($C142&amp;$D142,Sales!$A$21:$W$209,14,FALSE)</f>
        <v>40.164524421593832</v>
      </c>
      <c r="S142" s="3">
        <v>2</v>
      </c>
      <c r="T142" s="3">
        <f>($G142-$I142)/($S142+$V142*20)*V142*10</f>
        <v>0</v>
      </c>
      <c r="U142" s="122">
        <f>VLOOKUP($C142&amp;$D142,Sales!$A$21:$W$209,17,FALSE)</f>
        <v>0</v>
      </c>
      <c r="V142" s="3"/>
      <c r="X142" s="27">
        <f t="shared" si="88"/>
        <v>1</v>
      </c>
      <c r="Y142" s="28">
        <v>0.9</v>
      </c>
      <c r="Z142" s="27">
        <f>ROUND(Y142*X142,0)</f>
        <v>1</v>
      </c>
      <c r="AA142" s="132">
        <f t="shared" ref="AA142" si="100">IF(J142+R142&gt;$X$11,IF(ROUND(Z142*(1+((J142+R142)/(I142+Q142)-1)/2),0)&gt;Z142,ROUND(Z142*(1+((J142+R142)/(I142+Q142)-1)/2),0),Z142),1)</f>
        <v>1</v>
      </c>
      <c r="AB142" s="27">
        <f>+X142-Z142</f>
        <v>0</v>
      </c>
      <c r="AC142" s="5">
        <f>2*$AC$9</f>
        <v>2</v>
      </c>
      <c r="AD142">
        <f t="shared" si="94"/>
        <v>0.55000000000000004</v>
      </c>
      <c r="AE142" s="24">
        <f t="shared" si="72"/>
        <v>6.6122542532174187</v>
      </c>
      <c r="AF142" s="24">
        <f t="shared" ref="AF142" si="101">IF(AH142=0,0,($J142*AE$6*$I$150+AE$7*$R142*$Q$150+AE$8*$U142*$T$150)*AD142*(AC142/100+1/120))</f>
        <v>0</v>
      </c>
      <c r="AG142" s="24">
        <f t="shared" ref="AG142" si="102">IF(($J142+$R142)/$AA142&gt;AG$6,AG$7,AG$8)*$AA142</f>
        <v>15000</v>
      </c>
      <c r="AH142" s="24">
        <f t="shared" ref="AH142" si="103">IF(($J142+$R142)/$AA142&gt;AH$6,AH$7,IF(($J142+$R142)/$AA142&lt;AH$9,0,AH$8))*$AA142</f>
        <v>0</v>
      </c>
      <c r="AI142" s="5">
        <f t="shared" si="96"/>
        <v>2.9</v>
      </c>
      <c r="AJ142" s="5">
        <f t="shared" si="97"/>
        <v>0.56100000000000005</v>
      </c>
      <c r="AK142" s="24">
        <f t="shared" ref="AK142" si="104">($J142*AK$6*$I$150+AK$7*$R142*$Q$150+AK$8*$U142*$T$150)*AJ142*AI142/100</f>
        <v>11.206026420887634</v>
      </c>
      <c r="AL142" s="24">
        <f t="shared" ref="AL142" si="105">IF(AN142=0,0,($J142*AK$6*$I$150+AK$7*$R142*$Q$150+AK$8*$U142*$T$150)*AJ142*(AI142/100+0.5/120))</f>
        <v>0</v>
      </c>
      <c r="AM142" s="24">
        <f t="shared" ref="AM142" si="106">IF(($J142+$R142)/$AA142&gt;AM$6,AM$7,AM$8)*$AA142</f>
        <v>32500</v>
      </c>
      <c r="AN142" s="24">
        <f t="shared" ref="AN142" si="107">IF(($J142+$R142)/$AA142&gt;AN$6,AN$7,IF(($J142+$R142)/$AA142&lt;AN$9,0,AN$8))*$AA142</f>
        <v>0</v>
      </c>
      <c r="AO142" s="5">
        <f t="shared" si="98"/>
        <v>3.4</v>
      </c>
      <c r="AP142" s="5">
        <f t="shared" si="99"/>
        <v>0.57222000000000006</v>
      </c>
      <c r="AQ142" s="24">
        <f t="shared" ref="AQ142" si="108">($J142*AQ$6*$I$150+AQ$7*$R142*$Q$150+AQ$8*$U142*$T$150)*AP142*AO142/100</f>
        <v>14.294868445108756</v>
      </c>
      <c r="AR142" s="24">
        <f t="shared" ref="AR142" si="109">IF(AT142=0,0,($J142*AQ$6*$I$150+AQ$7*$R142*$Q$150+AQ$8*$U142*$T$150)*AP142*(AO142/100+0.5/120))</f>
        <v>0</v>
      </c>
      <c r="AS142" s="24">
        <f t="shared" ref="AS142" si="110">IF(($J142+$R142)/$AA142&gt;AS$6,AS$7,AS$8)*$AA142+$AS$10*$AS$11*$L142</f>
        <v>52297.872340425529</v>
      </c>
      <c r="AT142" s="24">
        <f t="shared" ref="AT142" si="111">IF(AN142=0,0,IF(($J142+$R142)/$AA142&gt;AT$6,AT$7,IF(($J142+$R142)/$AA142&lt;AT$9,0,AT$8))*$AA142+$AS$10*$AS$11*$L142)</f>
        <v>0</v>
      </c>
      <c r="BA142" s="5">
        <f t="shared" si="73"/>
        <v>3.4</v>
      </c>
      <c r="BB142" s="5">
        <f t="shared" si="74"/>
        <v>0.57222000000000006</v>
      </c>
      <c r="BC142" s="24">
        <f t="shared" si="75"/>
        <v>14.294868445108756</v>
      </c>
      <c r="BD142" s="24">
        <f t="shared" si="76"/>
        <v>0</v>
      </c>
      <c r="BE142" s="24">
        <f t="shared" si="77"/>
        <v>52297.872340425529</v>
      </c>
      <c r="BF142" s="24">
        <f t="shared" si="78"/>
        <v>0</v>
      </c>
      <c r="BI142" t="str">
        <f>RegionWideSubstations!C142</f>
        <v>City of Minidoka</v>
      </c>
      <c r="BJ142" s="417">
        <f>RegionWideSubstations!AE142/8760</f>
        <v>7.5482354488783316E-4</v>
      </c>
      <c r="BK142" s="416">
        <f>RegionWideSubstations!AF142/8760</f>
        <v>0</v>
      </c>
      <c r="BL142" s="70">
        <f>(RegionWideSubstations!AK142/8760)-BJ142</f>
        <v>5.2440321548746739E-4</v>
      </c>
      <c r="BM142" s="415">
        <f>(RegionWideSubstations!AL142/8760)-BK142</f>
        <v>0</v>
      </c>
      <c r="BN142" s="70">
        <f>(RegionWideSubstations!AQ142/8760)-BJ142-BL142</f>
        <v>3.5260753701154375E-4</v>
      </c>
      <c r="BO142" s="415">
        <f>(RegionWideSubstations!AR142/8760)-BK142-BM142</f>
        <v>0</v>
      </c>
      <c r="BP142" s="70">
        <f t="shared" ref="BP142" si="112">SUM(BK142,BM142,BO142)-SUM(BJ142,BL142,BN142)</f>
        <v>-1.6318342973868443E-3</v>
      </c>
      <c r="BQ142" s="24">
        <f t="shared" ref="BQ142" si="113">SUM(BJ142,BL142,BN142,BP142)</f>
        <v>0</v>
      </c>
    </row>
    <row r="143" spans="1:69">
      <c r="AF143" s="37"/>
    </row>
    <row r="144" spans="1:69">
      <c r="G144" s="24"/>
      <c r="H144" s="24"/>
      <c r="I144" s="36"/>
      <c r="J144" s="36"/>
      <c r="K144" s="18"/>
      <c r="L144" s="18"/>
      <c r="M144" s="17" t="s">
        <v>165</v>
      </c>
      <c r="BJ144" s="24">
        <f t="shared" ref="BJ144:BQ144" si="114">SUM(BJ13:BJ142)</f>
        <v>88.495611891102357</v>
      </c>
      <c r="BK144" s="419">
        <f t="shared" si="114"/>
        <v>129.66014581411412</v>
      </c>
      <c r="BL144" s="24">
        <f t="shared" si="114"/>
        <v>53.009617598874705</v>
      </c>
      <c r="BM144" s="419">
        <f t="shared" si="114"/>
        <v>36.333832039586468</v>
      </c>
      <c r="BN144" s="24">
        <f t="shared" si="114"/>
        <v>58.227107994196551</v>
      </c>
      <c r="BO144" s="419">
        <f t="shared" si="114"/>
        <v>61.70725282215858</v>
      </c>
      <c r="BP144" s="24">
        <f t="shared" si="114"/>
        <v>27.968893191685563</v>
      </c>
      <c r="BQ144" s="420">
        <f t="shared" si="114"/>
        <v>227.70123067585911</v>
      </c>
    </row>
    <row r="145" spans="2:63">
      <c r="E145" t="s">
        <v>166</v>
      </c>
      <c r="F145" t="s">
        <v>161</v>
      </c>
      <c r="G145" s="9">
        <f>SUM(G13:G142)</f>
        <v>155212720.71764752</v>
      </c>
      <c r="H145" s="9">
        <f>SUM(H13:H142)</f>
        <v>166355322.39143899</v>
      </c>
      <c r="I145" s="9">
        <f>SUM(I13:I142)</f>
        <v>62209185.859999999</v>
      </c>
      <c r="J145" s="9">
        <f>SUM(J13:J142)</f>
        <v>66765371.067017309</v>
      </c>
      <c r="K145" s="9">
        <f>SUM(K13:K142)</f>
        <v>5192614.88</v>
      </c>
      <c r="L145" s="9"/>
      <c r="Q145" s="9">
        <f>SUM(Q13:Q142)</f>
        <v>59114338.027559832</v>
      </c>
      <c r="R145" s="9">
        <f>SUM(R13:R142)</f>
        <v>54234352.520924889</v>
      </c>
      <c r="T145" s="9">
        <f>SUM(T13:T142)</f>
        <v>32033898.74762347</v>
      </c>
      <c r="U145" s="9">
        <f>SUM(U13:U142)</f>
        <v>45253302.951563969</v>
      </c>
      <c r="X145" s="9">
        <f>SUM(X13:X142)</f>
        <v>1362.0778279245444</v>
      </c>
      <c r="Z145" s="9">
        <f>SUM(Z13:Z142)-Z18</f>
        <v>1183</v>
      </c>
      <c r="AA145" s="9">
        <f>SUM(AA13:AA142)-AA18</f>
        <v>1219</v>
      </c>
      <c r="AB145" s="9">
        <f>SUM(AB13:AB142)-AB18</f>
        <v>165.07782792454429</v>
      </c>
      <c r="AD145" s="5"/>
      <c r="AE145" s="364">
        <f>SUM(AE13:AE142)</f>
        <v>775221.56016605732</v>
      </c>
      <c r="AF145" s="364">
        <f>SUM(AF13:AF143)</f>
        <v>1135822.8773316389</v>
      </c>
      <c r="AJ145" s="5"/>
      <c r="AK145" s="364">
        <f>SUM(AK13:AK142)</f>
        <v>1239585.8103321982</v>
      </c>
      <c r="AL145" s="364">
        <f>SUM(AL13:AL142)</f>
        <v>1454107.2459984166</v>
      </c>
      <c r="AP145" s="5"/>
      <c r="AQ145" s="364">
        <f>SUM(AQ13:AQ142)</f>
        <v>1749655.2763613607</v>
      </c>
      <c r="AR145" s="364">
        <f>SUM(AR13:AR142)</f>
        <v>1994662.7807205264</v>
      </c>
      <c r="AS145" s="9"/>
      <c r="AV145" s="5"/>
      <c r="AW145" s="364">
        <f>SUM(AW13:AW142)</f>
        <v>0</v>
      </c>
      <c r="AX145" s="364">
        <f>SUM(AX13:AX142)</f>
        <v>19713.855339031739</v>
      </c>
      <c r="BB145" s="5"/>
      <c r="BC145" s="9">
        <f>SUM(BC13:BC142)</f>
        <v>1749655.2763613607</v>
      </c>
      <c r="BD145" s="9">
        <f>SUM(BD13:BD142)</f>
        <v>2014376.636059558</v>
      </c>
    </row>
    <row r="146" spans="2:63">
      <c r="E146" t="s">
        <v>167</v>
      </c>
      <c r="F146" t="s">
        <v>162</v>
      </c>
      <c r="G146" s="9">
        <f>+G145/8760</f>
        <v>17718.347113886703</v>
      </c>
      <c r="H146" s="9"/>
      <c r="I146" s="9">
        <f>+I145/8760</f>
        <v>7101.5052351598169</v>
      </c>
      <c r="J146" s="9"/>
      <c r="Q146" s="9">
        <f>+Q145/8760</f>
        <v>6748.2121036027202</v>
      </c>
      <c r="R146" s="9"/>
      <c r="T146" s="9">
        <f>+T145/8760</f>
        <v>3656.8377565780215</v>
      </c>
      <c r="U146" s="9"/>
      <c r="AE146" s="9">
        <f>+AE145/8760</f>
        <v>88.495611891102428</v>
      </c>
      <c r="AF146" s="9">
        <f>+AF145/8760</f>
        <v>129.66014581411403</v>
      </c>
      <c r="AK146" s="9">
        <f>+AK145/8760</f>
        <v>141.50522948997695</v>
      </c>
      <c r="AL146" s="9">
        <f>+AL145/8760</f>
        <v>165.99397785370053</v>
      </c>
      <c r="AQ146" s="9">
        <f>+AQ145/8760</f>
        <v>199.7323374841736</v>
      </c>
      <c r="AR146" s="9">
        <f>+AR145/8760</f>
        <v>227.70123067585916</v>
      </c>
      <c r="AW146" s="9">
        <f>+AW145/8760</f>
        <v>0</v>
      </c>
      <c r="AX146" s="9">
        <f>+AX145/8760</f>
        <v>2.2504401071954039</v>
      </c>
      <c r="BC146" s="9">
        <f>+BC145/8760</f>
        <v>199.7323374841736</v>
      </c>
      <c r="BD146" s="9">
        <f>+BD145/8760</f>
        <v>229.95167078305457</v>
      </c>
    </row>
    <row r="147" spans="2:63">
      <c r="E147" s="6" t="s">
        <v>237</v>
      </c>
      <c r="F147"/>
      <c r="G147" s="9"/>
      <c r="H147" s="9"/>
      <c r="Q147" s="9"/>
      <c r="R147" s="9"/>
      <c r="T147" s="9"/>
      <c r="U147" s="9"/>
      <c r="AC147" s="30">
        <f>SUMPRODUCT($I$13:$I$142,AC13:AC142)/SUM($I$13:$I$142)</f>
        <v>1.5749294112366317</v>
      </c>
      <c r="AD147" s="30">
        <f>SUMPRODUCT($I$13:$I$142,AD13:AD142)/SUM($I$13:$I$142)</f>
        <v>0.62086936602773923</v>
      </c>
      <c r="AI147" s="30">
        <f>SUMPRODUCT($I$13:$I$142,AI13:AI142)/SUM($I$13:$I$142)</f>
        <v>2.0760533561819541</v>
      </c>
      <c r="AJ147" s="30">
        <f>SUMPRODUCT($I$13:$I$142,AJ13:AJ142)/SUM($I$13:$I$142)</f>
        <v>0.63328675334829365</v>
      </c>
      <c r="AO147" s="30">
        <f>SUMPRODUCT($I$13:$I$142,AO13:AO142)/SUM($I$13:$I$142)</f>
        <v>2.5523528450819062</v>
      </c>
      <c r="AP147" s="30">
        <f>SUMPRODUCT($I$13:$I$142,AP13:AP142)/SUM($I$13:$I$142)</f>
        <v>0.64595248841525998</v>
      </c>
      <c r="AU147" s="30">
        <f>SUMPRODUCT($I$18:$I$18,AU18:AU18)/SUM($I$18:$I$18)</f>
        <v>0</v>
      </c>
      <c r="AV147" s="30">
        <f>SUMPRODUCT($I$18:$I$18,AV18:AV18)/SUM($I$18:$I$18)</f>
        <v>0.7</v>
      </c>
      <c r="BA147" s="30">
        <f>SUMPRODUCT($I$13:$I$142,BA13:BA142)/SUM($I$13:$I$142)</f>
        <v>2.5523528450819062</v>
      </c>
      <c r="BB147" s="30">
        <f>SUMPRODUCT($I$13:$I$142,BB13:BB142)/SUM($I$13:$I$142)</f>
        <v>0.67913320395532994</v>
      </c>
    </row>
    <row r="148" spans="2:63">
      <c r="D148" t="s">
        <v>168</v>
      </c>
      <c r="E148" t="s">
        <v>166</v>
      </c>
      <c r="F148"/>
      <c r="G148" s="85">
        <f>Sales!K17</f>
        <v>182788996</v>
      </c>
      <c r="H148" s="85"/>
      <c r="I148" s="85">
        <f>Sales!K19</f>
        <v>67312293.496347815</v>
      </c>
      <c r="J148" s="85"/>
      <c r="Q148" s="85">
        <f>Sales!N19</f>
        <v>56990357.690509245</v>
      </c>
      <c r="R148" s="85"/>
      <c r="T148" s="85">
        <f>Sales!Q19</f>
        <v>58486344.813142926</v>
      </c>
      <c r="U148" s="85"/>
      <c r="AK148" s="9"/>
      <c r="AL148" s="9"/>
      <c r="AR148" s="134" t="s">
        <v>423</v>
      </c>
    </row>
    <row r="149" spans="2:63">
      <c r="E149" t="s">
        <v>167</v>
      </c>
      <c r="F149"/>
      <c r="G149" s="9">
        <f>G148/8760</f>
        <v>20866.323744292236</v>
      </c>
      <c r="H149" s="9"/>
      <c r="I149" s="9">
        <f>I148/8760</f>
        <v>7684.0517689894768</v>
      </c>
      <c r="J149" s="9"/>
      <c r="Q149" s="9">
        <f>Q148/8760</f>
        <v>6505.7485948069916</v>
      </c>
      <c r="R149" s="9"/>
      <c r="T149" s="9">
        <f>T148/8760</f>
        <v>6676.5233804957679</v>
      </c>
      <c r="U149" s="9"/>
      <c r="AR149" s="123">
        <f>AR145-SUMIFS(AQ13:AQ142,AR13:AR142,"&lt;&gt;0")</f>
        <v>261409.91744441888</v>
      </c>
    </row>
    <row r="150" spans="2:63">
      <c r="E150" s="6" t="s">
        <v>177</v>
      </c>
      <c r="F150"/>
      <c r="G150" s="9"/>
      <c r="H150" s="9"/>
      <c r="I150" s="31">
        <f>+I148/J145</f>
        <v>1.0081917080754561</v>
      </c>
      <c r="J150" s="31"/>
      <c r="Q150" s="31">
        <f>+Q148/R145</f>
        <v>1.0508165957825535</v>
      </c>
      <c r="R150" s="31"/>
      <c r="T150" s="31">
        <f>+T148/U145</f>
        <v>1.2924215692220897</v>
      </c>
      <c r="U150" s="31"/>
    </row>
    <row r="151" spans="2:63">
      <c r="E151" s="6" t="s">
        <v>193</v>
      </c>
      <c r="AG151" s="5">
        <f>NPV($D$156,AE155:AE169)/NPV($D$156,AG155:AG169)</f>
        <v>11.792490899521185</v>
      </c>
      <c r="AH151" s="5">
        <f>NPV($D$156,AF155:AF169)/NPV($D$156,AH155:AH169)</f>
        <v>2.3912619168768154</v>
      </c>
      <c r="AM151" s="5">
        <f>NPV($D$156,AK155:AK169)/NPV($D$156,AM155:AM169)</f>
        <v>8.6655357663199073</v>
      </c>
      <c r="AN151" s="5">
        <f>NPV($D$156,AL155:AL169)/NPV($D$156,AN155:AN169)</f>
        <v>2.6318727280857552</v>
      </c>
      <c r="AS151" s="5">
        <f>NPV($D$156,AQ155:AQ169)/NPV($D$156,AS155:AS169)</f>
        <v>2.7601438985358273</v>
      </c>
      <c r="AT151" s="5">
        <f>NPV($D$156,AR155:AR169)/NPV($D$156,AT155:AT169)</f>
        <v>1.947703660858636</v>
      </c>
      <c r="AY151" s="5">
        <f>NPV($D$156,AW155:AW169)/NPV($D$156,AY155:AY169)</f>
        <v>0</v>
      </c>
      <c r="AZ151" s="5">
        <f>NPV($D$156,AX155:AX169)/NPV($D$156,AZ155:AZ169)</f>
        <v>0.21288618434655354</v>
      </c>
      <c r="BE151" s="5">
        <f>NPV($D$156,BC155:BC169)/NPV($D$156,BE155:BE169)</f>
        <v>2.7584052589949191</v>
      </c>
      <c r="BF151" s="5">
        <f>NPV($D$156,BD155:BD169)/NPV($D$156,BF155:BF169)</f>
        <v>1.9566444562828977</v>
      </c>
    </row>
    <row r="152" spans="2:63">
      <c r="E152" t="s">
        <v>172</v>
      </c>
      <c r="G152" s="32"/>
      <c r="H152" s="32"/>
      <c r="Q152" s="32"/>
      <c r="R152" s="1"/>
      <c r="S152" s="26" t="s">
        <v>159</v>
      </c>
      <c r="T152" s="26"/>
      <c r="U152" s="26"/>
      <c r="AG152" s="5">
        <f>NPV($D$156,AG155:AG169)*1000/(NPV($D$156,AE171:AE185)*1000)</f>
        <v>4.5201659362822957</v>
      </c>
      <c r="AH152" s="5">
        <f>NPV($D$156,AH155:AH169)*1000/(NPV($D$156,AF171:AF185)*1000)</f>
        <v>22.291165719543617</v>
      </c>
      <c r="AM152" s="5">
        <f>NPV($D$156,AM155:AM169)*1000/(NPV($D$156,AK171:AK185)*1000)</f>
        <v>6.1512660157851826</v>
      </c>
      <c r="AN152" s="5">
        <f>NPV($D$156,AN155:AN169)*1000/(NPV($D$156,AL171:AL185)*1000)</f>
        <v>20.253264946707478</v>
      </c>
      <c r="AS152" s="5">
        <f>NPV($D$156,AS155:AS169)*1000/(NPV($D$156,AQ171:AQ185)*1000)</f>
        <v>19.31204228019082</v>
      </c>
      <c r="AT152" s="5">
        <f>NPV($D$156,AT155:AT169)*1000/(NPV($D$156,AR171:AR185)*1000)</f>
        <v>27.367621029389969</v>
      </c>
      <c r="AY152" s="5" t="e">
        <f>NPV($D$156,AY155:AY169)*1000/(NPV($D$156,AW171:AW185)*1000)</f>
        <v>#DIV/0!</v>
      </c>
      <c r="AZ152" s="5">
        <f>NPV($D$156,AZ155:AZ169)*1000/(NPV($D$156,AX171:AX185)*1000)</f>
        <v>250.38738813206396</v>
      </c>
      <c r="BE152" s="5">
        <f>NPV($D$156,BE155:BE169)*1000/(NPV($D$156,BC171:BC185)*1000)</f>
        <v>19.324214777402581</v>
      </c>
      <c r="BF152" s="5">
        <f>NPV($D$156,BF155:BF169)*1000/(NPV($D$156,BD171:BD185)*1000)</f>
        <v>27.24256596377149</v>
      </c>
    </row>
    <row r="153" spans="2:63">
      <c r="B153" s="20">
        <v>12825</v>
      </c>
      <c r="C153" s="21"/>
      <c r="D153" s="21"/>
      <c r="E153" s="20" t="s">
        <v>182</v>
      </c>
      <c r="F153" s="22">
        <v>183532</v>
      </c>
      <c r="I153" s="17"/>
      <c r="J153" s="17"/>
      <c r="K153" s="17"/>
      <c r="L153" s="23"/>
      <c r="M153" s="23"/>
      <c r="BC153" s="9"/>
    </row>
    <row r="154" spans="2:63">
      <c r="AB154" s="9"/>
      <c r="AC154" s="9"/>
      <c r="AE154" s="9">
        <f>SUM(AE13:AE142)</f>
        <v>775221.56016605732</v>
      </c>
      <c r="AF154" s="9">
        <f>SUM(AF13:AF142)</f>
        <v>1135822.8773316389</v>
      </c>
      <c r="AK154" s="9">
        <f>SUM(AK13:AK142)</f>
        <v>1239585.8103321982</v>
      </c>
      <c r="AL154" s="9">
        <f>SUM(AL13:AL142)</f>
        <v>1454107.2459984166</v>
      </c>
      <c r="AQ154" s="9">
        <f>SUM(AQ13:AQ142)</f>
        <v>1749655.2763613607</v>
      </c>
      <c r="AR154" s="9">
        <f>SUM(AR13:AR142)</f>
        <v>1994662.7807205264</v>
      </c>
      <c r="AS154" s="27">
        <f>AS155/AQ154</f>
        <v>213.00735337398157</v>
      </c>
      <c r="AT154" s="27">
        <f>AT155/AR154</f>
        <v>303.97997665524696</v>
      </c>
      <c r="AW154" s="9">
        <f>SUM(AW13:AW142)</f>
        <v>0</v>
      </c>
      <c r="AX154" s="9">
        <f>SUM(AX13:AX142)</f>
        <v>19713.855339031739</v>
      </c>
      <c r="AY154" s="38" t="e">
        <f>AY155/AW154</f>
        <v>#DIV/0!</v>
      </c>
      <c r="AZ154" s="38">
        <f>AZ155/AX154</f>
        <v>2943.3613568785545</v>
      </c>
      <c r="BC154" s="9">
        <f>SUM(BC13:BC142)</f>
        <v>1749655.2763613607</v>
      </c>
      <c r="BD154" s="9">
        <f>SUM(BD13:BD142)</f>
        <v>2014376.636059558</v>
      </c>
      <c r="BE154" s="27">
        <f>BE155/BC154</f>
        <v>213.00735337398157</v>
      </c>
      <c r="BF154" s="27">
        <f>BF155/BD154</f>
        <v>302.50675797676342</v>
      </c>
      <c r="BH154" s="9">
        <f>AQ154+AW154-BC154</f>
        <v>0</v>
      </c>
      <c r="BI154" s="9">
        <f>AR154+AX154-BD154</f>
        <v>0</v>
      </c>
    </row>
    <row r="155" spans="2:63">
      <c r="C155" t="s">
        <v>188</v>
      </c>
      <c r="D155">
        <v>2.5000000000000001E-2</v>
      </c>
      <c r="E155">
        <v>1</v>
      </c>
      <c r="AE155" s="9">
        <f>AE154*$D$159</f>
        <v>38761078.008302867</v>
      </c>
      <c r="AF155" s="9">
        <f>AF154*$D$159</f>
        <v>56791143.866581947</v>
      </c>
      <c r="AG155" s="365">
        <f>SUM(AG13:AG142)</f>
        <v>27910000</v>
      </c>
      <c r="AH155" s="365">
        <f>SUM(AH13:AH142)</f>
        <v>273200000</v>
      </c>
      <c r="AK155" s="9">
        <f>AK154*$D$159</f>
        <v>61979290.516609907</v>
      </c>
      <c r="AL155" s="9">
        <f>AL154*$D$159</f>
        <v>72705362.299920827</v>
      </c>
      <c r="AM155" s="365">
        <f>SUM(AM13:AM142)</f>
        <v>69892500</v>
      </c>
      <c r="AN155" s="365">
        <f>SUM(AN13:AN142)</f>
        <v>315492500</v>
      </c>
      <c r="AQ155" s="9">
        <f>AQ154*$D$159</f>
        <v>87482763.818068027</v>
      </c>
      <c r="AR155" s="9">
        <f>AR154*$D$159</f>
        <v>99733139.036026314</v>
      </c>
      <c r="AS155" s="365">
        <f>SUM(AS13:AS142)</f>
        <v>372689439.73455572</v>
      </c>
      <c r="AT155" s="365">
        <f>SUM(AT13:AT142)</f>
        <v>606337545.51851559</v>
      </c>
      <c r="AW155" s="9">
        <f>AW154*$D$159</f>
        <v>0</v>
      </c>
      <c r="AX155" s="9">
        <f>AX154*$D$159</f>
        <v>985692.76695158693</v>
      </c>
      <c r="AY155" s="365">
        <f>SUM(AY13:AY142)</f>
        <v>55000000</v>
      </c>
      <c r="AZ155" s="365">
        <f>SUM(AZ13:AZ142)</f>
        <v>58025000</v>
      </c>
      <c r="BC155" s="9">
        <f>BC154*$D$159</f>
        <v>87482763.818068027</v>
      </c>
      <c r="BD155" s="9">
        <f>BD154*$D$159</f>
        <v>100718831.8029779</v>
      </c>
      <c r="BE155" s="9">
        <f>SUM(BE13:BE142)</f>
        <v>372689439.73455572</v>
      </c>
      <c r="BF155" s="9">
        <f>SUM(BF13:BF142)</f>
        <v>609362545.51851559</v>
      </c>
      <c r="BH155" s="9">
        <f t="shared" ref="BH155:BH185" si="115">AQ155+AW155-BC155</f>
        <v>0</v>
      </c>
      <c r="BI155" s="9">
        <f t="shared" ref="BI155:BI185" si="116">AR155+AX155-BD155</f>
        <v>0</v>
      </c>
      <c r="BJ155" s="9">
        <f t="shared" ref="BJ155:BJ185" si="117">AS155+AY155-BE155</f>
        <v>55000000</v>
      </c>
      <c r="BK155" s="9">
        <f t="shared" ref="BK155:BK185" si="118">AT155+AZ155-BF155</f>
        <v>55000000</v>
      </c>
    </row>
    <row r="156" spans="2:63">
      <c r="C156" t="s">
        <v>189</v>
      </c>
      <c r="D156">
        <v>0.05</v>
      </c>
      <c r="E156">
        <v>2</v>
      </c>
      <c r="AE156" s="9">
        <f>AE155*(1+$D$157)*(1+$D$158)</f>
        <v>39669366.349271432</v>
      </c>
      <c r="AF156" s="9">
        <f>AF155*(1+$D$157)*(1+$D$158)</f>
        <v>58121930.740807571</v>
      </c>
      <c r="AG156" s="9">
        <f>1000*$Z$145</f>
        <v>1183000</v>
      </c>
      <c r="AH156" s="9">
        <f>2000*($Z$145-32)</f>
        <v>2302000</v>
      </c>
      <c r="AK156" s="9">
        <f>AK155*(1+$D$157)*(1+$D$158)</f>
        <v>63431651.231285632</v>
      </c>
      <c r="AL156" s="9">
        <f>AL155*(1+$D$157)*(1+$D$158)</f>
        <v>74409067.054694876</v>
      </c>
      <c r="AM156" s="9">
        <f>1500*$Z$145</f>
        <v>1774500</v>
      </c>
      <c r="AN156" s="9">
        <f>2500*($Z$145-32)</f>
        <v>2877500</v>
      </c>
      <c r="AQ156" s="9">
        <f>AQ155*(1+$D$157)*(1+$D$158)</f>
        <v>89532747.422616825</v>
      </c>
      <c r="AR156" s="9">
        <f>AR155*(1+$D$157)*(1+$D$158)</f>
        <v>102070185.68305753</v>
      </c>
      <c r="AS156" s="9">
        <f>2000*$Z$145</f>
        <v>2366000</v>
      </c>
      <c r="AT156" s="9">
        <f>3000*($Z$145-32)</f>
        <v>3453000</v>
      </c>
      <c r="AW156" s="9">
        <f>AW155*(1+$D$157)*(1+$D$158)</f>
        <v>0</v>
      </c>
      <c r="AX156" s="9">
        <f>AX155*(1+$D$157)*(1+$D$158)</f>
        <v>1008790.5055595635</v>
      </c>
      <c r="AY156" s="9">
        <f>2000*$Z$18</f>
        <v>22000</v>
      </c>
      <c r="AZ156" s="9">
        <f>3000*($Z$18)</f>
        <v>33000</v>
      </c>
      <c r="BC156" s="9">
        <f>BC155*(1+$D$157)*(1+$D$158)</f>
        <v>89532747.422616825</v>
      </c>
      <c r="BD156" s="9">
        <f>BD155*(1+$D$157)*(1+$D$158)</f>
        <v>103078976.1886171</v>
      </c>
      <c r="BE156" s="9">
        <f>2000*($Z$145+Z$18)</f>
        <v>2388000</v>
      </c>
      <c r="BF156" s="9">
        <f>3000*($Z$145-32+Z$18)</f>
        <v>3486000</v>
      </c>
      <c r="BH156" s="9">
        <f t="shared" si="115"/>
        <v>0</v>
      </c>
      <c r="BI156" s="9">
        <f t="shared" si="116"/>
        <v>0</v>
      </c>
      <c r="BJ156" s="9">
        <f t="shared" si="117"/>
        <v>0</v>
      </c>
      <c r="BK156" s="9">
        <f t="shared" si="118"/>
        <v>0</v>
      </c>
    </row>
    <row r="157" spans="2:63">
      <c r="C157" t="s">
        <v>190</v>
      </c>
      <c r="D157">
        <v>0.01</v>
      </c>
      <c r="E157">
        <v>3</v>
      </c>
      <c r="AE157" s="9">
        <f t="shared" ref="AE157:AE169" si="119">AE156*(1+$D$157)*(1+$D$158)</f>
        <v>40598938.610933915</v>
      </c>
      <c r="AF157" s="9">
        <f t="shared" ref="AF157:AF169" si="120">AF156*(1+$D$157)*(1+$D$158)</f>
        <v>59483901.943856925</v>
      </c>
      <c r="AG157" s="9">
        <f>AG156*(1+$D$155)</f>
        <v>1212575</v>
      </c>
      <c r="AH157" s="9">
        <f>AH156*(1+$D$155)</f>
        <v>2359550</v>
      </c>
      <c r="AK157" s="9">
        <f t="shared" ref="AK157:AK169" si="121">AK156*(1+$D$157)*(1+$D$158)</f>
        <v>64918045.114588358</v>
      </c>
      <c r="AL157" s="9">
        <f t="shared" ref="AL157:AL169" si="122">AL156*(1+$D$157)*(1+$D$158)</f>
        <v>76152694.722987548</v>
      </c>
      <c r="AM157" s="9">
        <f>AM156*(1+$D$155)</f>
        <v>1818862.4999999998</v>
      </c>
      <c r="AN157" s="9">
        <f>AN156*(1+$D$155)</f>
        <v>2949437.4999999995</v>
      </c>
      <c r="AQ157" s="9">
        <f t="shared" ref="AQ157:AQ169" si="123">AQ156*(1+$D$157)*(1+$D$158)</f>
        <v>91630768.292971</v>
      </c>
      <c r="AR157" s="9">
        <f t="shared" ref="AR157:AR169" si="124">AR156*(1+$D$157)*(1+$D$158)</f>
        <v>104461996.34416863</v>
      </c>
      <c r="AS157" s="9">
        <f>AS156*(1+$D$155)</f>
        <v>2425150</v>
      </c>
      <c r="AT157" s="9">
        <f>AT156*(1+$D$155)</f>
        <v>3539324.9999999995</v>
      </c>
      <c r="AW157" s="9">
        <f t="shared" ref="AW157:AW169" si="125">AW156*(1+$D$157)*(1+$D$158)</f>
        <v>0</v>
      </c>
      <c r="AX157" s="9">
        <f t="shared" ref="AX157:AX169" si="126">AX156*(1+$D$157)*(1+$D$158)</f>
        <v>1032429.4934763409</v>
      </c>
      <c r="AY157" s="9">
        <f>AY156*(1+$D$155)</f>
        <v>22549.999999999996</v>
      </c>
      <c r="AZ157" s="9">
        <f>AZ156*(1+$D$155)</f>
        <v>33825</v>
      </c>
      <c r="BC157" s="9">
        <f t="shared" ref="BC157:BC169" si="127">BC156*(1+$D$157)*(1+$D$158)</f>
        <v>91630768.292971</v>
      </c>
      <c r="BD157" s="9">
        <f t="shared" ref="BD157:BD169" si="128">BD156*(1+$D$157)*(1+$D$158)</f>
        <v>105494425.83764496</v>
      </c>
      <c r="BE157" s="9">
        <f>BE156*(1+$D$155)</f>
        <v>2447700</v>
      </c>
      <c r="BF157" s="9">
        <f>BF156*(1+$D$155)</f>
        <v>3573149.9999999995</v>
      </c>
      <c r="BH157" s="9">
        <f t="shared" si="115"/>
        <v>0</v>
      </c>
      <c r="BI157" s="9">
        <f t="shared" si="116"/>
        <v>0</v>
      </c>
      <c r="BJ157" s="9">
        <f t="shared" si="117"/>
        <v>0</v>
      </c>
      <c r="BK157" s="9">
        <f t="shared" si="118"/>
        <v>0</v>
      </c>
    </row>
    <row r="158" spans="2:63">
      <c r="C158" t="s">
        <v>191</v>
      </c>
      <c r="D158">
        <v>1.3299999999999999E-2</v>
      </c>
      <c r="E158">
        <v>4</v>
      </c>
      <c r="AE158" s="9">
        <f t="shared" si="119"/>
        <v>41550293.53940393</v>
      </c>
      <c r="AF158" s="9">
        <f t="shared" si="120"/>
        <v>60877788.218107335</v>
      </c>
      <c r="AG158" s="9">
        <f t="shared" ref="AG158:AG169" si="129">AG157*(1+$D$155)</f>
        <v>1242889.375</v>
      </c>
      <c r="AH158" s="9">
        <f t="shared" ref="AH158:AH169" si="130">AH157*(1+$D$155)</f>
        <v>2418538.75</v>
      </c>
      <c r="AK158" s="9">
        <f t="shared" si="121"/>
        <v>66439269.665758513</v>
      </c>
      <c r="AL158" s="9">
        <f t="shared" si="122"/>
        <v>77937180.818431318</v>
      </c>
      <c r="AM158" s="9">
        <f t="shared" ref="AM158:AM169" si="131">AM157*(1+$D$155)</f>
        <v>1864334.0624999995</v>
      </c>
      <c r="AN158" s="9">
        <f t="shared" ref="AN158:AN169" si="132">AN157*(1+$D$155)</f>
        <v>3023173.4374999991</v>
      </c>
      <c r="AQ158" s="9">
        <f t="shared" si="123"/>
        <v>93777952.086380199</v>
      </c>
      <c r="AR158" s="9">
        <f t="shared" si="124"/>
        <v>106909854.30450155</v>
      </c>
      <c r="AS158" s="9">
        <f t="shared" ref="AS158:AS169" si="133">AS157*(1+$D$155)</f>
        <v>2485778.75</v>
      </c>
      <c r="AT158" s="9">
        <f t="shared" ref="AT158:AT169" si="134">AT157*(1+$D$155)</f>
        <v>3627808.1249999991</v>
      </c>
      <c r="AW158" s="9">
        <f t="shared" si="125"/>
        <v>0</v>
      </c>
      <c r="AX158" s="9">
        <f t="shared" si="126"/>
        <v>1056622.4137969723</v>
      </c>
      <c r="AY158" s="9">
        <f t="shared" ref="AY158:AY169" si="135">AY157*(1+$D$155)</f>
        <v>23113.749999999993</v>
      </c>
      <c r="AZ158" s="9">
        <f t="shared" ref="AZ158:AZ169" si="136">AZ157*(1+$D$155)</f>
        <v>34670.625</v>
      </c>
      <c r="BC158" s="9">
        <f t="shared" si="127"/>
        <v>93777952.086380199</v>
      </c>
      <c r="BD158" s="9">
        <f t="shared" si="128"/>
        <v>107966476.71829851</v>
      </c>
      <c r="BE158" s="9">
        <f t="shared" ref="BE158:BE169" si="137">BE157*(1+$D$155)</f>
        <v>2508892.5</v>
      </c>
      <c r="BF158" s="9">
        <f t="shared" ref="BF158:BF169" si="138">BF157*(1+$D$155)</f>
        <v>3662478.7499999991</v>
      </c>
      <c r="BH158" s="9">
        <f t="shared" si="115"/>
        <v>0</v>
      </c>
      <c r="BI158" s="9">
        <f t="shared" si="116"/>
        <v>0</v>
      </c>
      <c r="BJ158" s="9">
        <f t="shared" si="117"/>
        <v>0</v>
      </c>
      <c r="BK158" s="9">
        <f t="shared" si="118"/>
        <v>0</v>
      </c>
    </row>
    <row r="159" spans="2:63">
      <c r="C159" t="s">
        <v>192</v>
      </c>
      <c r="D159">
        <v>50</v>
      </c>
      <c r="E159">
        <v>5</v>
      </c>
      <c r="AE159" s="9">
        <f t="shared" si="119"/>
        <v>42523941.567912787</v>
      </c>
      <c r="AF159" s="9">
        <f t="shared" si="120"/>
        <v>62304337.429422244</v>
      </c>
      <c r="AG159" s="9">
        <f t="shared" si="129"/>
        <v>1273961.609375</v>
      </c>
      <c r="AH159" s="9">
        <f t="shared" si="130"/>
        <v>2479002.21875</v>
      </c>
      <c r="AK159" s="9">
        <f t="shared" si="121"/>
        <v>67996141.071836233</v>
      </c>
      <c r="AL159" s="9">
        <f t="shared" si="122"/>
        <v>79763482.776549622</v>
      </c>
      <c r="AM159" s="9">
        <f t="shared" si="131"/>
        <v>1910942.4140624993</v>
      </c>
      <c r="AN159" s="9">
        <f t="shared" si="132"/>
        <v>3098752.7734374986</v>
      </c>
      <c r="AQ159" s="9">
        <f t="shared" si="123"/>
        <v>95975450.837620348</v>
      </c>
      <c r="AR159" s="9">
        <f t="shared" si="124"/>
        <v>109415072.92041895</v>
      </c>
      <c r="AS159" s="9">
        <f t="shared" si="133"/>
        <v>2547923.21875</v>
      </c>
      <c r="AT159" s="9">
        <f t="shared" si="134"/>
        <v>3718503.3281249986</v>
      </c>
      <c r="AW159" s="9">
        <f t="shared" si="125"/>
        <v>0</v>
      </c>
      <c r="AX159" s="9">
        <f t="shared" si="126"/>
        <v>1081382.2468194768</v>
      </c>
      <c r="AY159" s="9">
        <f t="shared" si="135"/>
        <v>23691.593749999989</v>
      </c>
      <c r="AZ159" s="9">
        <f t="shared" si="136"/>
        <v>35537.390625</v>
      </c>
      <c r="BC159" s="9">
        <f t="shared" si="127"/>
        <v>95975450.837620348</v>
      </c>
      <c r="BD159" s="9">
        <f t="shared" si="128"/>
        <v>110496455.16723841</v>
      </c>
      <c r="BE159" s="9">
        <f t="shared" si="137"/>
        <v>2571614.8125</v>
      </c>
      <c r="BF159" s="9">
        <f t="shared" si="138"/>
        <v>3754040.7187499986</v>
      </c>
      <c r="BH159" s="9">
        <f t="shared" si="115"/>
        <v>0</v>
      </c>
      <c r="BI159" s="9">
        <f t="shared" si="116"/>
        <v>0</v>
      </c>
      <c r="BJ159" s="9">
        <f t="shared" si="117"/>
        <v>0</v>
      </c>
      <c r="BK159" s="9">
        <f t="shared" si="118"/>
        <v>0</v>
      </c>
    </row>
    <row r="160" spans="2:63">
      <c r="E160">
        <v>6</v>
      </c>
      <c r="AE160" s="9">
        <f t="shared" si="119"/>
        <v>43520405.090673693</v>
      </c>
      <c r="AF160" s="9">
        <f t="shared" si="120"/>
        <v>63764314.968405902</v>
      </c>
      <c r="AG160" s="9">
        <f t="shared" si="129"/>
        <v>1305810.6496093748</v>
      </c>
      <c r="AH160" s="9">
        <f t="shared" si="130"/>
        <v>2540977.2742187497</v>
      </c>
      <c r="AK160" s="9">
        <f t="shared" si="121"/>
        <v>69589494.645572588</v>
      </c>
      <c r="AL160" s="9">
        <f t="shared" si="122"/>
        <v>81632580.468452513</v>
      </c>
      <c r="AM160" s="9">
        <f t="shared" si="131"/>
        <v>1958715.9744140615</v>
      </c>
      <c r="AN160" s="9">
        <f t="shared" si="132"/>
        <v>3176221.5927734356</v>
      </c>
      <c r="AQ160" s="9">
        <f t="shared" si="123"/>
        <v>98224443.577098325</v>
      </c>
      <c r="AR160" s="9">
        <f t="shared" si="124"/>
        <v>111978996.32416314</v>
      </c>
      <c r="AS160" s="9">
        <f t="shared" si="133"/>
        <v>2611621.2992187496</v>
      </c>
      <c r="AT160" s="9">
        <f t="shared" si="134"/>
        <v>3811465.9113281234</v>
      </c>
      <c r="AW160" s="9">
        <f t="shared" si="125"/>
        <v>0</v>
      </c>
      <c r="AX160" s="9">
        <f t="shared" si="126"/>
        <v>1106722.2770091977</v>
      </c>
      <c r="AY160" s="9">
        <f t="shared" si="135"/>
        <v>24283.883593749986</v>
      </c>
      <c r="AZ160" s="9">
        <f t="shared" si="136"/>
        <v>36425.825390624996</v>
      </c>
      <c r="BC160" s="9">
        <f t="shared" si="127"/>
        <v>98224443.577098325</v>
      </c>
      <c r="BD160" s="9">
        <f t="shared" si="128"/>
        <v>113085718.60117233</v>
      </c>
      <c r="BE160" s="9">
        <f t="shared" si="137"/>
        <v>2635905.1828124998</v>
      </c>
      <c r="BF160" s="9">
        <f t="shared" si="138"/>
        <v>3847891.7367187482</v>
      </c>
      <c r="BH160" s="9">
        <f t="shared" si="115"/>
        <v>0</v>
      </c>
      <c r="BI160" s="9">
        <f t="shared" si="116"/>
        <v>0</v>
      </c>
      <c r="BJ160" s="9">
        <f t="shared" si="117"/>
        <v>0</v>
      </c>
      <c r="BK160" s="9">
        <f t="shared" si="118"/>
        <v>0</v>
      </c>
    </row>
    <row r="161" spans="5:63">
      <c r="E161">
        <v>7</v>
      </c>
      <c r="S161" s="3"/>
      <c r="T161" s="3"/>
      <c r="U161" s="3"/>
      <c r="Y161" s="3"/>
      <c r="AE161" s="9">
        <f t="shared" si="119"/>
        <v>44540218.743163459</v>
      </c>
      <c r="AF161" s="9">
        <f t="shared" si="120"/>
        <v>65258504.161060564</v>
      </c>
      <c r="AG161" s="9">
        <f t="shared" si="129"/>
        <v>1338455.9158496091</v>
      </c>
      <c r="AH161" s="9">
        <f t="shared" si="130"/>
        <v>2604501.7060742183</v>
      </c>
      <c r="AK161" s="9">
        <f t="shared" si="121"/>
        <v>71220185.273602307</v>
      </c>
      <c r="AL161" s="9">
        <f t="shared" si="122"/>
        <v>83545476.726569757</v>
      </c>
      <c r="AM161" s="9">
        <f t="shared" si="131"/>
        <v>2007683.8737744128</v>
      </c>
      <c r="AN161" s="9">
        <f t="shared" si="132"/>
        <v>3255627.1325927712</v>
      </c>
      <c r="AQ161" s="9">
        <f t="shared" si="123"/>
        <v>100526136.96344048</v>
      </c>
      <c r="AR161" s="9">
        <f t="shared" si="124"/>
        <v>114603000.14502726</v>
      </c>
      <c r="AS161" s="9">
        <f t="shared" si="133"/>
        <v>2676911.8316992181</v>
      </c>
      <c r="AT161" s="9">
        <f t="shared" si="134"/>
        <v>3906752.559111326</v>
      </c>
      <c r="AW161" s="9">
        <f t="shared" si="125"/>
        <v>0</v>
      </c>
      <c r="AX161" s="9">
        <f t="shared" si="126"/>
        <v>1132656.1001263545</v>
      </c>
      <c r="AY161" s="9">
        <f t="shared" si="135"/>
        <v>24890.980683593734</v>
      </c>
      <c r="AZ161" s="9">
        <f t="shared" si="136"/>
        <v>37336.471025390616</v>
      </c>
      <c r="BC161" s="9">
        <f t="shared" si="127"/>
        <v>100526136.96344048</v>
      </c>
      <c r="BD161" s="9">
        <f t="shared" si="128"/>
        <v>115735656.24515362</v>
      </c>
      <c r="BE161" s="9">
        <f t="shared" si="137"/>
        <v>2701802.8123828121</v>
      </c>
      <c r="BF161" s="9">
        <f t="shared" si="138"/>
        <v>3944089.0301367166</v>
      </c>
      <c r="BH161" s="9">
        <f t="shared" si="115"/>
        <v>0</v>
      </c>
      <c r="BI161" s="9">
        <f t="shared" si="116"/>
        <v>0</v>
      </c>
      <c r="BJ161" s="9">
        <f t="shared" si="117"/>
        <v>0</v>
      </c>
      <c r="BK161" s="9">
        <f t="shared" si="118"/>
        <v>0</v>
      </c>
    </row>
    <row r="162" spans="5:63">
      <c r="E162">
        <v>8</v>
      </c>
      <c r="AE162" s="9">
        <f t="shared" si="119"/>
        <v>45583929.688972011</v>
      </c>
      <c r="AF162" s="9">
        <f t="shared" si="120"/>
        <v>66787706.689066701</v>
      </c>
      <c r="AG162" s="9">
        <f t="shared" si="129"/>
        <v>1371917.3137458491</v>
      </c>
      <c r="AH162" s="9">
        <f t="shared" si="130"/>
        <v>2669614.2487260737</v>
      </c>
      <c r="AK162" s="9">
        <f t="shared" si="121"/>
        <v>72889087.875118643</v>
      </c>
      <c r="AL162" s="9">
        <f t="shared" si="122"/>
        <v>85503197.882703468</v>
      </c>
      <c r="AM162" s="9">
        <f t="shared" si="131"/>
        <v>2057875.970618773</v>
      </c>
      <c r="AN162" s="9">
        <f t="shared" si="132"/>
        <v>3337017.8109075902</v>
      </c>
      <c r="AQ162" s="9">
        <f t="shared" si="123"/>
        <v>102881765.93090479</v>
      </c>
      <c r="AR162" s="9">
        <f t="shared" si="124"/>
        <v>117288492.24742569</v>
      </c>
      <c r="AS162" s="9">
        <f t="shared" si="133"/>
        <v>2743834.6274916981</v>
      </c>
      <c r="AT162" s="9">
        <f t="shared" si="134"/>
        <v>4004421.3730891086</v>
      </c>
      <c r="AW162" s="9">
        <f t="shared" si="125"/>
        <v>0</v>
      </c>
      <c r="AX162" s="9">
        <f t="shared" si="126"/>
        <v>1159197.6305206155</v>
      </c>
      <c r="AY162" s="9">
        <f t="shared" si="135"/>
        <v>25513.255200683576</v>
      </c>
      <c r="AZ162" s="9">
        <f t="shared" si="136"/>
        <v>38269.882801025378</v>
      </c>
      <c r="BC162" s="9">
        <f t="shared" si="127"/>
        <v>102881765.93090479</v>
      </c>
      <c r="BD162" s="9">
        <f t="shared" si="128"/>
        <v>118447689.87794632</v>
      </c>
      <c r="BE162" s="9">
        <f t="shared" si="137"/>
        <v>2769347.8826923822</v>
      </c>
      <c r="BF162" s="9">
        <f t="shared" si="138"/>
        <v>4042691.2558901343</v>
      </c>
      <c r="BH162" s="9">
        <f t="shared" si="115"/>
        <v>0</v>
      </c>
      <c r="BI162" s="9">
        <f t="shared" si="116"/>
        <v>0</v>
      </c>
      <c r="BJ162" s="9">
        <f t="shared" si="117"/>
        <v>0</v>
      </c>
      <c r="BK162" s="9">
        <f t="shared" si="118"/>
        <v>0</v>
      </c>
    </row>
    <row r="163" spans="5:63">
      <c r="E163">
        <v>9</v>
      </c>
      <c r="AE163" s="9">
        <f t="shared" si="119"/>
        <v>46652097.913373701</v>
      </c>
      <c r="AF163" s="9">
        <f t="shared" si="120"/>
        <v>68352743.019911602</v>
      </c>
      <c r="AG163" s="9">
        <f t="shared" si="129"/>
        <v>1406215.2465894951</v>
      </c>
      <c r="AH163" s="9">
        <f t="shared" si="130"/>
        <v>2736354.6049442254</v>
      </c>
      <c r="AK163" s="9">
        <f t="shared" si="121"/>
        <v>74597097.871296301</v>
      </c>
      <c r="AL163" s="9">
        <f t="shared" si="122"/>
        <v>87506794.318688855</v>
      </c>
      <c r="AM163" s="9">
        <f t="shared" si="131"/>
        <v>2109322.8698842423</v>
      </c>
      <c r="AN163" s="9">
        <f t="shared" si="132"/>
        <v>3420443.2561802799</v>
      </c>
      <c r="AQ163" s="9">
        <f t="shared" si="123"/>
        <v>105292594.35196368</v>
      </c>
      <c r="AR163" s="9">
        <f t="shared" si="124"/>
        <v>120036913.48625964</v>
      </c>
      <c r="AS163" s="9">
        <f t="shared" si="133"/>
        <v>2812430.4931789902</v>
      </c>
      <c r="AT163" s="9">
        <f t="shared" si="134"/>
        <v>4104531.9074163358</v>
      </c>
      <c r="AW163" s="9">
        <f t="shared" si="125"/>
        <v>0</v>
      </c>
      <c r="AX163" s="9">
        <f t="shared" si="126"/>
        <v>1186361.108596605</v>
      </c>
      <c r="AY163" s="9">
        <f t="shared" si="135"/>
        <v>26151.086580700663</v>
      </c>
      <c r="AZ163" s="9">
        <f t="shared" si="136"/>
        <v>39226.629871051009</v>
      </c>
      <c r="BC163" s="9">
        <f t="shared" si="127"/>
        <v>105292594.35196368</v>
      </c>
      <c r="BD163" s="9">
        <f t="shared" si="128"/>
        <v>121223274.59485625</v>
      </c>
      <c r="BE163" s="9">
        <f t="shared" si="137"/>
        <v>2838581.5797596914</v>
      </c>
      <c r="BF163" s="9">
        <f t="shared" si="138"/>
        <v>4143758.5372873871</v>
      </c>
      <c r="BH163" s="9">
        <f t="shared" si="115"/>
        <v>0</v>
      </c>
      <c r="BI163" s="9">
        <f t="shared" si="116"/>
        <v>0</v>
      </c>
      <c r="BJ163" s="9">
        <f t="shared" si="117"/>
        <v>0</v>
      </c>
      <c r="BK163" s="9">
        <f t="shared" si="118"/>
        <v>0</v>
      </c>
    </row>
    <row r="164" spans="5:63">
      <c r="E164">
        <v>10</v>
      </c>
      <c r="AE164" s="9">
        <f t="shared" si="119"/>
        <v>47745296.523777798</v>
      </c>
      <c r="AF164" s="9">
        <f t="shared" si="120"/>
        <v>69954452.847097203</v>
      </c>
      <c r="AG164" s="9">
        <f t="shared" si="129"/>
        <v>1441370.6277542324</v>
      </c>
      <c r="AH164" s="9">
        <f t="shared" si="130"/>
        <v>2804763.4700678308</v>
      </c>
      <c r="AK164" s="9">
        <f t="shared" si="121"/>
        <v>76345131.665714398</v>
      </c>
      <c r="AL164" s="9">
        <f t="shared" si="122"/>
        <v>89557341.02995871</v>
      </c>
      <c r="AM164" s="9">
        <f t="shared" si="131"/>
        <v>2162055.9416313483</v>
      </c>
      <c r="AN164" s="9">
        <f t="shared" si="132"/>
        <v>3505954.3375847866</v>
      </c>
      <c r="AQ164" s="9">
        <f t="shared" si="123"/>
        <v>107759915.71541326</v>
      </c>
      <c r="AR164" s="9">
        <f t="shared" si="124"/>
        <v>122849738.47998318</v>
      </c>
      <c r="AS164" s="9">
        <f t="shared" si="133"/>
        <v>2882741.2555084648</v>
      </c>
      <c r="AT164" s="9">
        <f t="shared" si="134"/>
        <v>4207145.2051017433</v>
      </c>
      <c r="AW164" s="9">
        <f t="shared" si="125"/>
        <v>0</v>
      </c>
      <c r="AX164" s="9">
        <f t="shared" si="126"/>
        <v>1214161.1084543492</v>
      </c>
      <c r="AY164" s="9">
        <f t="shared" si="135"/>
        <v>26804.863745218176</v>
      </c>
      <c r="AZ164" s="9">
        <f t="shared" si="136"/>
        <v>40207.29561782728</v>
      </c>
      <c r="BC164" s="9">
        <f t="shared" si="127"/>
        <v>107759915.71541326</v>
      </c>
      <c r="BD164" s="9">
        <f t="shared" si="128"/>
        <v>124063899.58843753</v>
      </c>
      <c r="BE164" s="9">
        <f t="shared" si="137"/>
        <v>2909546.1192536834</v>
      </c>
      <c r="BF164" s="9">
        <f t="shared" si="138"/>
        <v>4247352.5007195715</v>
      </c>
      <c r="BH164" s="9">
        <f t="shared" si="115"/>
        <v>0</v>
      </c>
      <c r="BI164" s="9">
        <f t="shared" si="116"/>
        <v>0</v>
      </c>
      <c r="BJ164" s="9">
        <f t="shared" si="117"/>
        <v>0</v>
      </c>
      <c r="BK164" s="9">
        <f t="shared" si="118"/>
        <v>0</v>
      </c>
    </row>
    <row r="165" spans="5:63">
      <c r="E165">
        <v>11</v>
      </c>
      <c r="AE165" s="9">
        <f t="shared" si="119"/>
        <v>48864112.05721949</v>
      </c>
      <c r="AF165" s="9">
        <f t="shared" si="120"/>
        <v>71593695.540663242</v>
      </c>
      <c r="AG165" s="9">
        <f t="shared" si="129"/>
        <v>1477404.8934480881</v>
      </c>
      <c r="AH165" s="9">
        <f t="shared" si="130"/>
        <v>2874882.5568195265</v>
      </c>
      <c r="AK165" s="9">
        <f t="shared" si="121"/>
        <v>78134127.136037081</v>
      </c>
      <c r="AL165" s="9">
        <f t="shared" si="122"/>
        <v>91655938.202313736</v>
      </c>
      <c r="AM165" s="9">
        <f t="shared" si="131"/>
        <v>2216107.340172132</v>
      </c>
      <c r="AN165" s="9">
        <f t="shared" si="132"/>
        <v>3593603.1960244058</v>
      </c>
      <c r="AQ165" s="9">
        <f t="shared" si="123"/>
        <v>110285053.82037254</v>
      </c>
      <c r="AR165" s="9">
        <f t="shared" si="124"/>
        <v>125728476.40178464</v>
      </c>
      <c r="AS165" s="9">
        <f t="shared" si="133"/>
        <v>2954809.7868961762</v>
      </c>
      <c r="AT165" s="9">
        <f t="shared" si="134"/>
        <v>4312323.8352292869</v>
      </c>
      <c r="AW165" s="9">
        <f t="shared" si="125"/>
        <v>0</v>
      </c>
      <c r="AX165" s="9">
        <f t="shared" si="126"/>
        <v>1242612.5457087599</v>
      </c>
      <c r="AY165" s="9">
        <f t="shared" si="135"/>
        <v>27474.985338848626</v>
      </c>
      <c r="AZ165" s="9">
        <f t="shared" si="136"/>
        <v>41212.478008272956</v>
      </c>
      <c r="BC165" s="9">
        <f t="shared" si="127"/>
        <v>110285053.82037254</v>
      </c>
      <c r="BD165" s="9">
        <f t="shared" si="128"/>
        <v>126971088.94749339</v>
      </c>
      <c r="BE165" s="9">
        <f t="shared" si="137"/>
        <v>2982284.7722350252</v>
      </c>
      <c r="BF165" s="9">
        <f t="shared" si="138"/>
        <v>4353536.31323756</v>
      </c>
      <c r="BH165" s="9">
        <f t="shared" si="115"/>
        <v>0</v>
      </c>
      <c r="BI165" s="9">
        <f t="shared" si="116"/>
        <v>0</v>
      </c>
      <c r="BJ165" s="9">
        <f t="shared" si="117"/>
        <v>0</v>
      </c>
      <c r="BK165" s="9">
        <f t="shared" si="118"/>
        <v>0</v>
      </c>
    </row>
    <row r="166" spans="5:63">
      <c r="E166">
        <v>12</v>
      </c>
      <c r="AE166" s="9">
        <f t="shared" si="119"/>
        <v>50009144.795056321</v>
      </c>
      <c r="AF166" s="9">
        <f t="shared" si="120"/>
        <v>73271350.60826762</v>
      </c>
      <c r="AG166" s="9">
        <f t="shared" si="129"/>
        <v>1514340.0157842902</v>
      </c>
      <c r="AH166" s="9">
        <f t="shared" si="130"/>
        <v>2946754.6207400146</v>
      </c>
      <c r="AK166" s="9">
        <f t="shared" si="121"/>
        <v>79965044.137215838</v>
      </c>
      <c r="AL166" s="9">
        <f t="shared" si="122"/>
        <v>93803711.802208573</v>
      </c>
      <c r="AM166" s="9">
        <f t="shared" si="131"/>
        <v>2271510.023676435</v>
      </c>
      <c r="AN166" s="9">
        <f t="shared" si="132"/>
        <v>3683443.2759250156</v>
      </c>
      <c r="AQ166" s="9">
        <f t="shared" si="123"/>
        <v>112869363.48654534</v>
      </c>
      <c r="AR166" s="9">
        <f t="shared" si="124"/>
        <v>128674671.78930768</v>
      </c>
      <c r="AS166" s="9">
        <f t="shared" si="133"/>
        <v>3028680.0315685803</v>
      </c>
      <c r="AT166" s="9">
        <f t="shared" si="134"/>
        <v>4420131.9311100189</v>
      </c>
      <c r="AW166" s="9">
        <f t="shared" si="125"/>
        <v>0</v>
      </c>
      <c r="AX166" s="9">
        <f t="shared" si="126"/>
        <v>1271730.6854923533</v>
      </c>
      <c r="AY166" s="9">
        <f t="shared" si="135"/>
        <v>28161.859972319839</v>
      </c>
      <c r="AZ166" s="9">
        <f t="shared" si="136"/>
        <v>42242.789958479778</v>
      </c>
      <c r="BC166" s="9">
        <f t="shared" si="127"/>
        <v>112869363.48654534</v>
      </c>
      <c r="BD166" s="9">
        <f t="shared" si="128"/>
        <v>129946402.47480001</v>
      </c>
      <c r="BE166" s="9">
        <f t="shared" si="137"/>
        <v>3056841.8915409003</v>
      </c>
      <c r="BF166" s="9">
        <f t="shared" si="138"/>
        <v>4462374.7210684987</v>
      </c>
      <c r="BH166" s="9">
        <f t="shared" si="115"/>
        <v>0</v>
      </c>
      <c r="BI166" s="9">
        <f t="shared" si="116"/>
        <v>0</v>
      </c>
      <c r="BJ166" s="9">
        <f t="shared" si="117"/>
        <v>0</v>
      </c>
      <c r="BK166" s="9">
        <f t="shared" si="118"/>
        <v>0</v>
      </c>
    </row>
    <row r="167" spans="5:63">
      <c r="E167">
        <v>13</v>
      </c>
      <c r="AE167" s="9">
        <f t="shared" si="119"/>
        <v>51181009.085038878</v>
      </c>
      <c r="AF167" s="9">
        <f t="shared" si="120"/>
        <v>74988318.167071164</v>
      </c>
      <c r="AG167" s="9">
        <f t="shared" si="129"/>
        <v>1552198.5161788973</v>
      </c>
      <c r="AH167" s="9">
        <f t="shared" si="130"/>
        <v>3020423.4862585147</v>
      </c>
      <c r="AK167" s="9">
        <f t="shared" si="121"/>
        <v>81838865.016483217</v>
      </c>
      <c r="AL167" s="9">
        <f t="shared" si="122"/>
        <v>96001814.180869728</v>
      </c>
      <c r="AM167" s="9">
        <f t="shared" si="131"/>
        <v>2328297.7742683454</v>
      </c>
      <c r="AN167" s="9">
        <f t="shared" si="132"/>
        <v>3775529.3578231405</v>
      </c>
      <c r="AQ167" s="9">
        <f t="shared" si="123"/>
        <v>115514231.28112556</v>
      </c>
      <c r="AR167" s="9">
        <f t="shared" si="124"/>
        <v>131689905.37334654</v>
      </c>
      <c r="AS167" s="9">
        <f t="shared" si="133"/>
        <v>3104397.0323577947</v>
      </c>
      <c r="AT167" s="9">
        <f t="shared" si="134"/>
        <v>4530635.2293877685</v>
      </c>
      <c r="AW167" s="9">
        <f t="shared" si="125"/>
        <v>0</v>
      </c>
      <c r="AX167" s="9">
        <f t="shared" si="126"/>
        <v>1301531.1506454956</v>
      </c>
      <c r="AY167" s="9">
        <f t="shared" si="135"/>
        <v>28865.906471627834</v>
      </c>
      <c r="AZ167" s="9">
        <f t="shared" si="136"/>
        <v>43298.85970744177</v>
      </c>
      <c r="BC167" s="9">
        <f t="shared" si="127"/>
        <v>115514231.28112556</v>
      </c>
      <c r="BD167" s="9">
        <f t="shared" si="128"/>
        <v>132991436.523992</v>
      </c>
      <c r="BE167" s="9">
        <f t="shared" si="137"/>
        <v>3133262.9388294225</v>
      </c>
      <c r="BF167" s="9">
        <f t="shared" si="138"/>
        <v>4573934.0890952107</v>
      </c>
      <c r="BH167" s="9">
        <f t="shared" si="115"/>
        <v>0</v>
      </c>
      <c r="BI167" s="9">
        <f t="shared" si="116"/>
        <v>0</v>
      </c>
      <c r="BJ167" s="9">
        <f t="shared" si="117"/>
        <v>0</v>
      </c>
      <c r="BK167" s="9">
        <f t="shared" si="118"/>
        <v>0</v>
      </c>
    </row>
    <row r="168" spans="5:63">
      <c r="E168">
        <v>14</v>
      </c>
      <c r="AE168" s="9">
        <f t="shared" si="119"/>
        <v>52380333.670928597</v>
      </c>
      <c r="AF168" s="9">
        <f t="shared" si="120"/>
        <v>76745519.426680148</v>
      </c>
      <c r="AG168" s="9">
        <f t="shared" si="129"/>
        <v>1591003.4790833697</v>
      </c>
      <c r="AH168" s="9">
        <f t="shared" si="130"/>
        <v>3095934.0734149772</v>
      </c>
      <c r="AK168" s="9">
        <f t="shared" si="121"/>
        <v>83756595.140414476</v>
      </c>
      <c r="AL168" s="9">
        <f t="shared" si="122"/>
        <v>98251424.69257006</v>
      </c>
      <c r="AM168" s="9">
        <f t="shared" si="131"/>
        <v>2386505.2186250538</v>
      </c>
      <c r="AN168" s="9">
        <f t="shared" si="132"/>
        <v>3869917.5917687188</v>
      </c>
      <c r="AQ168" s="9">
        <f t="shared" si="123"/>
        <v>118221076.26273619</v>
      </c>
      <c r="AR168" s="9">
        <f t="shared" si="124"/>
        <v>134775794.92596018</v>
      </c>
      <c r="AS168" s="9">
        <f t="shared" si="133"/>
        <v>3182006.9581667394</v>
      </c>
      <c r="AT168" s="9">
        <f t="shared" si="134"/>
        <v>4643901.1101224627</v>
      </c>
      <c r="AW168" s="9">
        <f t="shared" si="125"/>
        <v>0</v>
      </c>
      <c r="AX168" s="9">
        <f t="shared" si="126"/>
        <v>1332029.9300985718</v>
      </c>
      <c r="AY168" s="9">
        <f t="shared" si="135"/>
        <v>29587.554133418525</v>
      </c>
      <c r="AZ168" s="9">
        <f t="shared" si="136"/>
        <v>44381.33120012781</v>
      </c>
      <c r="BC168" s="9">
        <f t="shared" si="127"/>
        <v>118221076.26273619</v>
      </c>
      <c r="BD168" s="9">
        <f t="shared" si="128"/>
        <v>136107824.85605872</v>
      </c>
      <c r="BE168" s="9">
        <f t="shared" si="137"/>
        <v>3211594.5123001579</v>
      </c>
      <c r="BF168" s="9">
        <f t="shared" si="138"/>
        <v>4688282.4413225902</v>
      </c>
      <c r="BH168" s="9">
        <f t="shared" si="115"/>
        <v>0</v>
      </c>
      <c r="BI168" s="9">
        <f t="shared" si="116"/>
        <v>0</v>
      </c>
      <c r="BJ168" s="9">
        <f t="shared" si="117"/>
        <v>0</v>
      </c>
      <c r="BK168" s="9">
        <f t="shared" si="118"/>
        <v>0</v>
      </c>
    </row>
    <row r="169" spans="5:63">
      <c r="E169">
        <v>15</v>
      </c>
      <c r="AE169" s="9">
        <f t="shared" si="119"/>
        <v>53607762.029839471</v>
      </c>
      <c r="AF169" s="9">
        <f t="shared" si="120"/>
        <v>78543897.183405548</v>
      </c>
      <c r="AG169" s="9">
        <f t="shared" si="129"/>
        <v>1630778.5660604539</v>
      </c>
      <c r="AH169" s="9">
        <f t="shared" si="130"/>
        <v>3173332.4252503514</v>
      </c>
      <c r="AK169" s="9">
        <f t="shared" si="121"/>
        <v>85719263.434339806</v>
      </c>
      <c r="AL169" s="9">
        <f t="shared" si="122"/>
        <v>100553750.32739106</v>
      </c>
      <c r="AM169" s="9">
        <f t="shared" si="131"/>
        <v>2446167.84909068</v>
      </c>
      <c r="AN169" s="9">
        <f t="shared" si="132"/>
        <v>3966665.5315629365</v>
      </c>
      <c r="AQ169" s="9">
        <f t="shared" si="123"/>
        <v>120991350.74280089</v>
      </c>
      <c r="AR169" s="9">
        <f t="shared" si="124"/>
        <v>137933996.12846023</v>
      </c>
      <c r="AS169" s="9">
        <f t="shared" si="133"/>
        <v>3261557.1321209078</v>
      </c>
      <c r="AT169" s="9">
        <f t="shared" si="134"/>
        <v>4759998.6378755243</v>
      </c>
      <c r="AW169" s="9">
        <f t="shared" si="125"/>
        <v>0</v>
      </c>
      <c r="AX169" s="9">
        <f t="shared" si="126"/>
        <v>1363243.3874505716</v>
      </c>
      <c r="AY169" s="9">
        <f t="shared" si="135"/>
        <v>30327.242986753987</v>
      </c>
      <c r="AZ169" s="9">
        <f t="shared" si="136"/>
        <v>45490.864480131</v>
      </c>
      <c r="BC169" s="9">
        <f t="shared" si="127"/>
        <v>120991350.74280089</v>
      </c>
      <c r="BD169" s="9">
        <f t="shared" si="128"/>
        <v>139297239.51591074</v>
      </c>
      <c r="BE169" s="9">
        <f t="shared" si="137"/>
        <v>3291884.3751076614</v>
      </c>
      <c r="BF169" s="9">
        <f t="shared" si="138"/>
        <v>4805489.5023556547</v>
      </c>
      <c r="BH169" s="9">
        <f t="shared" si="115"/>
        <v>0</v>
      </c>
      <c r="BI169" s="9">
        <f t="shared" si="116"/>
        <v>0</v>
      </c>
      <c r="BJ169" s="9">
        <f t="shared" si="117"/>
        <v>0</v>
      </c>
      <c r="BK169" s="9">
        <f t="shared" si="118"/>
        <v>0</v>
      </c>
    </row>
    <row r="170" spans="5:63">
      <c r="BH170" s="9">
        <f t="shared" si="115"/>
        <v>0</v>
      </c>
      <c r="BI170" s="9">
        <f t="shared" si="116"/>
        <v>0</v>
      </c>
      <c r="BJ170" s="9">
        <f t="shared" si="117"/>
        <v>0</v>
      </c>
      <c r="BK170" s="9">
        <f t="shared" si="118"/>
        <v>0</v>
      </c>
    </row>
    <row r="171" spans="5:63">
      <c r="AE171" s="9">
        <f>AE154</f>
        <v>775221.56016605732</v>
      </c>
      <c r="AF171" s="9">
        <f>AF154</f>
        <v>1135822.8773316389</v>
      </c>
      <c r="AK171" s="9">
        <f>AK154</f>
        <v>1239585.8103321982</v>
      </c>
      <c r="AL171" s="9">
        <f>AL154</f>
        <v>1454107.2459984166</v>
      </c>
      <c r="AQ171" s="9">
        <f>AQ154</f>
        <v>1749655.2763613607</v>
      </c>
      <c r="AR171" s="9">
        <f>AR154</f>
        <v>1994662.7807205264</v>
      </c>
      <c r="AW171" s="9">
        <f>AW154</f>
        <v>0</v>
      </c>
      <c r="AX171" s="9">
        <f>AX154</f>
        <v>19713.855339031739</v>
      </c>
      <c r="BC171" s="9">
        <f>BC154</f>
        <v>1749655.2763613607</v>
      </c>
      <c r="BD171" s="9">
        <f>BD154</f>
        <v>2014376.636059558</v>
      </c>
      <c r="BH171" s="9">
        <f t="shared" si="115"/>
        <v>0</v>
      </c>
      <c r="BI171" s="9">
        <f t="shared" si="116"/>
        <v>0</v>
      </c>
      <c r="BJ171" s="9">
        <f t="shared" si="117"/>
        <v>0</v>
      </c>
      <c r="BK171" s="9">
        <f t="shared" si="118"/>
        <v>0</v>
      </c>
    </row>
    <row r="172" spans="5:63">
      <c r="AE172" s="9">
        <f>AE171*(1+$D$158)</f>
        <v>785532.00691626593</v>
      </c>
      <c r="AF172" s="9">
        <f>AF171*(1+$D$158)</f>
        <v>1150929.3216001499</v>
      </c>
      <c r="AK172" s="9">
        <f>AK171*(1+$D$158)</f>
        <v>1256072.3016096165</v>
      </c>
      <c r="AL172" s="9">
        <f>AL171*(1+$D$158)</f>
        <v>1473446.8723701956</v>
      </c>
      <c r="AQ172" s="9">
        <f>AQ171*(1+$D$158)</f>
        <v>1772925.6915369669</v>
      </c>
      <c r="AR172" s="9">
        <f>AR171*(1+$D$158)</f>
        <v>2021191.7957041096</v>
      </c>
      <c r="AW172" s="9">
        <f>AW171*(1+$D$158)</f>
        <v>0</v>
      </c>
      <c r="AX172" s="9">
        <f>AX171*(1+$D$158)</f>
        <v>19976.049615040862</v>
      </c>
      <c r="BC172" s="9">
        <f>BC171*(1+$D$158)</f>
        <v>1772925.6915369669</v>
      </c>
      <c r="BD172" s="9">
        <f>BD171*(1+$D$158)</f>
        <v>2041167.8453191502</v>
      </c>
      <c r="BH172" s="9">
        <f t="shared" si="115"/>
        <v>0</v>
      </c>
      <c r="BI172" s="9">
        <f t="shared" si="116"/>
        <v>0</v>
      </c>
      <c r="BJ172" s="9">
        <f t="shared" si="117"/>
        <v>0</v>
      </c>
      <c r="BK172" s="9">
        <f t="shared" si="118"/>
        <v>0</v>
      </c>
    </row>
    <row r="173" spans="5:63">
      <c r="AE173" s="9">
        <f t="shared" ref="AE173:AF185" si="139">AE172*(1+$D$158)</f>
        <v>795979.5826082523</v>
      </c>
      <c r="AF173" s="9">
        <f t="shared" si="139"/>
        <v>1166236.681577432</v>
      </c>
      <c r="AK173" s="9">
        <f t="shared" ref="AK173:AK185" si="140">AK172*(1+$D$158)</f>
        <v>1272778.0632210246</v>
      </c>
      <c r="AL173" s="9">
        <f t="shared" ref="AL173:AL185" si="141">AL172*(1+$D$158)</f>
        <v>1493043.7157727194</v>
      </c>
      <c r="AQ173" s="9">
        <f t="shared" ref="AQ173:AQ185" si="142">AQ172*(1+$D$158)</f>
        <v>1796505.6032344087</v>
      </c>
      <c r="AR173" s="9">
        <f t="shared" ref="AR173:AR185" si="143">AR172*(1+$D$158)</f>
        <v>2048073.6465869744</v>
      </c>
      <c r="AW173" s="9">
        <f t="shared" ref="AW173:AW185" si="144">AW172*(1+$D$158)</f>
        <v>0</v>
      </c>
      <c r="AX173" s="9">
        <f t="shared" ref="AX173:AX185" si="145">AX172*(1+$D$158)</f>
        <v>20241.731074920906</v>
      </c>
      <c r="BC173" s="9">
        <f t="shared" ref="BC173:BC185" si="146">BC172*(1+$D$158)</f>
        <v>1796505.6032344087</v>
      </c>
      <c r="BD173" s="9">
        <f t="shared" ref="BD173:BD185" si="147">BD172*(1+$D$158)</f>
        <v>2068315.3776618952</v>
      </c>
      <c r="BH173" s="9">
        <f t="shared" si="115"/>
        <v>0</v>
      </c>
      <c r="BI173" s="9">
        <f t="shared" si="116"/>
        <v>0</v>
      </c>
      <c r="BJ173" s="9">
        <f t="shared" si="117"/>
        <v>0</v>
      </c>
      <c r="BK173" s="9">
        <f t="shared" si="118"/>
        <v>0</v>
      </c>
    </row>
    <row r="174" spans="5:63">
      <c r="AE174" s="9">
        <f t="shared" si="139"/>
        <v>806566.11105694214</v>
      </c>
      <c r="AF174" s="9">
        <f t="shared" si="139"/>
        <v>1181747.6294424119</v>
      </c>
      <c r="AK174" s="9">
        <f t="shared" si="140"/>
        <v>1289706.0114618642</v>
      </c>
      <c r="AL174" s="9">
        <f t="shared" si="141"/>
        <v>1512901.1971924966</v>
      </c>
      <c r="AQ174" s="9">
        <f t="shared" si="142"/>
        <v>1820399.1277574264</v>
      </c>
      <c r="AR174" s="9">
        <f t="shared" si="143"/>
        <v>2075313.0260865814</v>
      </c>
      <c r="AW174" s="9">
        <f t="shared" si="144"/>
        <v>0</v>
      </c>
      <c r="AX174" s="9">
        <f t="shared" si="145"/>
        <v>20510.946098217355</v>
      </c>
      <c r="BC174" s="9">
        <f t="shared" si="146"/>
        <v>1820399.1277574264</v>
      </c>
      <c r="BD174" s="9">
        <f t="shared" si="147"/>
        <v>2095823.9721847987</v>
      </c>
      <c r="BH174" s="9">
        <f t="shared" si="115"/>
        <v>0</v>
      </c>
      <c r="BI174" s="9">
        <f t="shared" si="116"/>
        <v>0</v>
      </c>
      <c r="BJ174" s="9">
        <f t="shared" si="117"/>
        <v>0</v>
      </c>
      <c r="BK174" s="9">
        <f t="shared" si="118"/>
        <v>0</v>
      </c>
    </row>
    <row r="175" spans="5:63">
      <c r="AE175" s="9">
        <f t="shared" si="139"/>
        <v>817293.44033399958</v>
      </c>
      <c r="AF175" s="9">
        <f t="shared" si="139"/>
        <v>1197464.8729139962</v>
      </c>
      <c r="AK175" s="9">
        <f t="shared" si="140"/>
        <v>1306859.101414307</v>
      </c>
      <c r="AL175" s="9">
        <f t="shared" si="141"/>
        <v>1533022.7831151569</v>
      </c>
      <c r="AQ175" s="9">
        <f t="shared" si="142"/>
        <v>1844610.4361566002</v>
      </c>
      <c r="AR175" s="9">
        <f t="shared" si="143"/>
        <v>2102914.6893335329</v>
      </c>
      <c r="AW175" s="9">
        <f t="shared" si="144"/>
        <v>0</v>
      </c>
      <c r="AX175" s="9">
        <f t="shared" si="145"/>
        <v>20783.741681323649</v>
      </c>
      <c r="BC175" s="9">
        <f t="shared" si="146"/>
        <v>1844610.4361566002</v>
      </c>
      <c r="BD175" s="9">
        <f t="shared" si="147"/>
        <v>2123698.4310148568</v>
      </c>
      <c r="BH175" s="9">
        <f t="shared" si="115"/>
        <v>0</v>
      </c>
      <c r="BI175" s="9">
        <f t="shared" si="116"/>
        <v>0</v>
      </c>
      <c r="BJ175" s="9">
        <f t="shared" si="117"/>
        <v>0</v>
      </c>
      <c r="BK175" s="9">
        <f t="shared" si="118"/>
        <v>0</v>
      </c>
    </row>
    <row r="176" spans="5:63">
      <c r="AE176" s="9">
        <f t="shared" si="139"/>
        <v>828163.44309044187</v>
      </c>
      <c r="AF176" s="9">
        <f t="shared" si="139"/>
        <v>1213391.1557237525</v>
      </c>
      <c r="AK176" s="9">
        <f t="shared" si="140"/>
        <v>1324240.3274631174</v>
      </c>
      <c r="AL176" s="9">
        <f t="shared" si="141"/>
        <v>1553411.9861305887</v>
      </c>
      <c r="AQ176" s="9">
        <f t="shared" si="142"/>
        <v>1869143.7549574832</v>
      </c>
      <c r="AR176" s="9">
        <f t="shared" si="143"/>
        <v>2130883.454701669</v>
      </c>
      <c r="AW176" s="9">
        <f t="shared" si="144"/>
        <v>0</v>
      </c>
      <c r="AX176" s="9">
        <f t="shared" si="145"/>
        <v>21060.165445685256</v>
      </c>
      <c r="BC176" s="9">
        <f t="shared" si="146"/>
        <v>1869143.7549574832</v>
      </c>
      <c r="BD176" s="9">
        <f t="shared" si="147"/>
        <v>2151943.6201473544</v>
      </c>
      <c r="BH176" s="9">
        <f t="shared" si="115"/>
        <v>0</v>
      </c>
      <c r="BI176" s="9">
        <f t="shared" si="116"/>
        <v>0</v>
      </c>
      <c r="BJ176" s="9">
        <f t="shared" si="117"/>
        <v>0</v>
      </c>
      <c r="BK176" s="9">
        <f t="shared" si="118"/>
        <v>0</v>
      </c>
    </row>
    <row r="177" spans="28:63">
      <c r="AE177" s="9">
        <f t="shared" si="139"/>
        <v>839178.01688354486</v>
      </c>
      <c r="AF177" s="9">
        <f t="shared" si="139"/>
        <v>1229529.2580948784</v>
      </c>
      <c r="AK177" s="9">
        <f t="shared" si="140"/>
        <v>1341852.7238183769</v>
      </c>
      <c r="AL177" s="9">
        <f t="shared" si="141"/>
        <v>1574072.3655461257</v>
      </c>
      <c r="AQ177" s="9">
        <f t="shared" si="142"/>
        <v>1894003.3668984179</v>
      </c>
      <c r="AR177" s="9">
        <f t="shared" si="143"/>
        <v>2159224.2046492016</v>
      </c>
      <c r="AW177" s="9">
        <f t="shared" si="144"/>
        <v>0</v>
      </c>
      <c r="AX177" s="9">
        <f t="shared" si="145"/>
        <v>21340.265646112872</v>
      </c>
      <c r="BC177" s="9">
        <f t="shared" si="146"/>
        <v>1894003.3668984179</v>
      </c>
      <c r="BD177" s="9">
        <f t="shared" si="147"/>
        <v>2180564.4702953142</v>
      </c>
      <c r="BH177" s="9">
        <f t="shared" si="115"/>
        <v>0</v>
      </c>
      <c r="BI177" s="9">
        <f t="shared" si="116"/>
        <v>0</v>
      </c>
      <c r="BJ177" s="9">
        <f t="shared" si="117"/>
        <v>0</v>
      </c>
      <c r="BK177" s="9">
        <f t="shared" si="118"/>
        <v>0</v>
      </c>
    </row>
    <row r="178" spans="28:63">
      <c r="AE178" s="9">
        <f t="shared" si="139"/>
        <v>850339.0845080961</v>
      </c>
      <c r="AF178" s="9">
        <f t="shared" si="139"/>
        <v>1245881.9972275405</v>
      </c>
      <c r="AK178" s="9">
        <f t="shared" si="140"/>
        <v>1359699.3650451615</v>
      </c>
      <c r="AL178" s="9">
        <f t="shared" si="141"/>
        <v>1595007.5280078894</v>
      </c>
      <c r="AQ178" s="9">
        <f t="shared" si="142"/>
        <v>1919193.611678167</v>
      </c>
      <c r="AR178" s="9">
        <f t="shared" si="143"/>
        <v>2187941.8865710362</v>
      </c>
      <c r="AW178" s="9">
        <f t="shared" si="144"/>
        <v>0</v>
      </c>
      <c r="AX178" s="9">
        <f t="shared" si="145"/>
        <v>21624.091179206174</v>
      </c>
      <c r="BC178" s="9">
        <f t="shared" si="146"/>
        <v>1919193.611678167</v>
      </c>
      <c r="BD178" s="9">
        <f t="shared" si="147"/>
        <v>2209565.9777502422</v>
      </c>
      <c r="BH178" s="9">
        <f t="shared" si="115"/>
        <v>0</v>
      </c>
      <c r="BI178" s="9">
        <f t="shared" si="116"/>
        <v>0</v>
      </c>
      <c r="BJ178" s="9">
        <f t="shared" si="117"/>
        <v>0</v>
      </c>
      <c r="BK178" s="9">
        <f t="shared" si="118"/>
        <v>0</v>
      </c>
    </row>
    <row r="179" spans="28:63">
      <c r="AE179" s="9">
        <f t="shared" si="139"/>
        <v>861648.59433205391</v>
      </c>
      <c r="AF179" s="9">
        <f t="shared" si="139"/>
        <v>1262452.227790667</v>
      </c>
      <c r="AK179" s="9">
        <f t="shared" si="140"/>
        <v>1377783.3666002622</v>
      </c>
      <c r="AL179" s="9">
        <f t="shared" si="141"/>
        <v>1616221.1281303945</v>
      </c>
      <c r="AQ179" s="9">
        <f t="shared" si="142"/>
        <v>1944718.8867134869</v>
      </c>
      <c r="AR179" s="9">
        <f t="shared" si="143"/>
        <v>2217041.5136624314</v>
      </c>
      <c r="AW179" s="9">
        <f t="shared" si="144"/>
        <v>0</v>
      </c>
      <c r="AX179" s="9">
        <f t="shared" si="145"/>
        <v>21911.691591889619</v>
      </c>
      <c r="BC179" s="9">
        <f t="shared" si="146"/>
        <v>1944718.8867134869</v>
      </c>
      <c r="BD179" s="9">
        <f t="shared" si="147"/>
        <v>2238953.2052543205</v>
      </c>
      <c r="BH179" s="9">
        <f t="shared" si="115"/>
        <v>0</v>
      </c>
      <c r="BI179" s="9">
        <f t="shared" si="116"/>
        <v>0</v>
      </c>
      <c r="BJ179" s="9">
        <f t="shared" si="117"/>
        <v>0</v>
      </c>
      <c r="BK179" s="9">
        <f t="shared" si="118"/>
        <v>0</v>
      </c>
    </row>
    <row r="180" spans="28:63">
      <c r="AE180" s="9">
        <f t="shared" si="139"/>
        <v>873108.52063667029</v>
      </c>
      <c r="AF180" s="9">
        <f t="shared" si="139"/>
        <v>1279242.842420283</v>
      </c>
      <c r="AK180" s="9">
        <f t="shared" si="140"/>
        <v>1396107.8853760459</v>
      </c>
      <c r="AL180" s="9">
        <f t="shared" si="141"/>
        <v>1637716.8691345288</v>
      </c>
      <c r="AQ180" s="9">
        <f t="shared" si="142"/>
        <v>1970583.6479067765</v>
      </c>
      <c r="AR180" s="9">
        <f t="shared" si="143"/>
        <v>2246528.1657941421</v>
      </c>
      <c r="AW180" s="9">
        <f t="shared" si="144"/>
        <v>0</v>
      </c>
      <c r="AX180" s="9">
        <f t="shared" si="145"/>
        <v>22203.117090061754</v>
      </c>
      <c r="BC180" s="9">
        <f t="shared" si="146"/>
        <v>1970583.6479067765</v>
      </c>
      <c r="BD180" s="9">
        <f t="shared" si="147"/>
        <v>2268731.2828842034</v>
      </c>
      <c r="BH180" s="9">
        <f t="shared" si="115"/>
        <v>0</v>
      </c>
      <c r="BI180" s="9">
        <f t="shared" si="116"/>
        <v>0</v>
      </c>
      <c r="BJ180" s="9">
        <f t="shared" si="117"/>
        <v>0</v>
      </c>
      <c r="BK180" s="9">
        <f t="shared" si="118"/>
        <v>0</v>
      </c>
    </row>
    <row r="181" spans="28:63">
      <c r="AE181" s="9">
        <f t="shared" si="139"/>
        <v>884720.86396113806</v>
      </c>
      <c r="AF181" s="9">
        <f t="shared" si="139"/>
        <v>1296256.7722244728</v>
      </c>
      <c r="AK181" s="9">
        <f t="shared" si="140"/>
        <v>1414676.1202515475</v>
      </c>
      <c r="AL181" s="9">
        <f t="shared" si="141"/>
        <v>1659498.5034940182</v>
      </c>
      <c r="AQ181" s="9">
        <f t="shared" si="142"/>
        <v>1996792.4104239368</v>
      </c>
      <c r="AR181" s="9">
        <f t="shared" si="143"/>
        <v>2276406.9903992042</v>
      </c>
      <c r="AW181" s="9">
        <f t="shared" si="144"/>
        <v>0</v>
      </c>
      <c r="AX181" s="9">
        <f t="shared" si="145"/>
        <v>22498.418547359579</v>
      </c>
      <c r="BC181" s="9">
        <f t="shared" si="146"/>
        <v>1996792.4104239368</v>
      </c>
      <c r="BD181" s="9">
        <f t="shared" si="147"/>
        <v>2298905.4089465635</v>
      </c>
      <c r="BH181" s="9">
        <f t="shared" si="115"/>
        <v>0</v>
      </c>
      <c r="BI181" s="9">
        <f t="shared" si="116"/>
        <v>0</v>
      </c>
      <c r="BJ181" s="9">
        <f t="shared" si="117"/>
        <v>0</v>
      </c>
      <c r="BK181" s="9">
        <f t="shared" si="118"/>
        <v>0</v>
      </c>
    </row>
    <row r="182" spans="28:63">
      <c r="AE182" s="9">
        <f t="shared" si="139"/>
        <v>896487.65145182132</v>
      </c>
      <c r="AF182" s="9">
        <f t="shared" si="139"/>
        <v>1313496.9872950586</v>
      </c>
      <c r="AK182" s="9">
        <f t="shared" si="140"/>
        <v>1433491.3126508933</v>
      </c>
      <c r="AL182" s="9">
        <f t="shared" si="141"/>
        <v>1681569.8335904889</v>
      </c>
      <c r="AQ182" s="9">
        <f t="shared" si="142"/>
        <v>2023349.7494825753</v>
      </c>
      <c r="AR182" s="9">
        <f t="shared" si="143"/>
        <v>2306683.2033715136</v>
      </c>
      <c r="AW182" s="9">
        <f t="shared" si="144"/>
        <v>0</v>
      </c>
      <c r="AX182" s="9">
        <f t="shared" si="145"/>
        <v>22797.647514039465</v>
      </c>
      <c r="BC182" s="9">
        <f t="shared" si="146"/>
        <v>2023349.7494825753</v>
      </c>
      <c r="BD182" s="9">
        <f t="shared" si="147"/>
        <v>2329480.8508855528</v>
      </c>
      <c r="BH182" s="9">
        <f t="shared" si="115"/>
        <v>0</v>
      </c>
      <c r="BI182" s="9">
        <f t="shared" si="116"/>
        <v>0</v>
      </c>
      <c r="BJ182" s="9">
        <f t="shared" si="117"/>
        <v>0</v>
      </c>
      <c r="BK182" s="9">
        <f t="shared" si="118"/>
        <v>0</v>
      </c>
    </row>
    <row r="183" spans="28:63">
      <c r="AE183" s="9">
        <f t="shared" si="139"/>
        <v>908410.93721613067</v>
      </c>
      <c r="AF183" s="9">
        <f t="shared" si="139"/>
        <v>1330966.497226083</v>
      </c>
      <c r="AK183" s="9">
        <f t="shared" si="140"/>
        <v>1452556.7471091503</v>
      </c>
      <c r="AL183" s="9">
        <f t="shared" si="141"/>
        <v>1703934.7123772425</v>
      </c>
      <c r="AQ183" s="9">
        <f t="shared" si="142"/>
        <v>2050260.3011506938</v>
      </c>
      <c r="AR183" s="9">
        <f t="shared" si="143"/>
        <v>2337362.089976355</v>
      </c>
      <c r="AW183" s="9">
        <f t="shared" si="144"/>
        <v>0</v>
      </c>
      <c r="AX183" s="9">
        <f t="shared" si="145"/>
        <v>23100.856225976193</v>
      </c>
      <c r="BC183" s="9">
        <f t="shared" si="146"/>
        <v>2050260.3011506938</v>
      </c>
      <c r="BD183" s="9">
        <f t="shared" si="147"/>
        <v>2360462.9462023308</v>
      </c>
      <c r="BH183" s="9">
        <f t="shared" si="115"/>
        <v>0</v>
      </c>
      <c r="BI183" s="9">
        <f t="shared" si="116"/>
        <v>0</v>
      </c>
      <c r="BJ183" s="9">
        <f t="shared" si="117"/>
        <v>0</v>
      </c>
      <c r="BK183" s="9">
        <f t="shared" si="118"/>
        <v>0</v>
      </c>
    </row>
    <row r="184" spans="28:63">
      <c r="AE184" s="9">
        <f t="shared" si="139"/>
        <v>920492.80268110533</v>
      </c>
      <c r="AF184" s="9">
        <f t="shared" si="139"/>
        <v>1348668.35163919</v>
      </c>
      <c r="AK184" s="9">
        <f t="shared" si="140"/>
        <v>1471875.7518457021</v>
      </c>
      <c r="AL184" s="9">
        <f t="shared" si="141"/>
        <v>1726597.04405186</v>
      </c>
      <c r="AQ184" s="9">
        <f t="shared" si="142"/>
        <v>2077528.7631559982</v>
      </c>
      <c r="AR184" s="9">
        <f t="shared" si="143"/>
        <v>2368449.0057730405</v>
      </c>
      <c r="AW184" s="9">
        <f t="shared" si="144"/>
        <v>0</v>
      </c>
      <c r="AX184" s="9">
        <f t="shared" si="145"/>
        <v>23408.09761378168</v>
      </c>
      <c r="BC184" s="9">
        <f t="shared" si="146"/>
        <v>2077528.7631559982</v>
      </c>
      <c r="BD184" s="9">
        <f t="shared" si="147"/>
        <v>2391857.1033868222</v>
      </c>
      <c r="BH184" s="9">
        <f t="shared" si="115"/>
        <v>0</v>
      </c>
      <c r="BI184" s="9">
        <f t="shared" si="116"/>
        <v>0</v>
      </c>
      <c r="BJ184" s="9">
        <f t="shared" si="117"/>
        <v>0</v>
      </c>
      <c r="BK184" s="9">
        <f t="shared" si="118"/>
        <v>0</v>
      </c>
    </row>
    <row r="185" spans="28:63">
      <c r="AE185" s="9">
        <f t="shared" si="139"/>
        <v>932735.35695676412</v>
      </c>
      <c r="AF185" s="9">
        <f t="shared" si="139"/>
        <v>1366605.6407159914</v>
      </c>
      <c r="AK185" s="9">
        <f t="shared" si="140"/>
        <v>1491451.6993452501</v>
      </c>
      <c r="AL185" s="9">
        <f t="shared" si="141"/>
        <v>1749560.78473775</v>
      </c>
      <c r="AQ185" s="9">
        <f t="shared" si="142"/>
        <v>2105159.8957059733</v>
      </c>
      <c r="AR185" s="9">
        <f t="shared" si="143"/>
        <v>2399949.377549822</v>
      </c>
      <c r="AW185" s="9">
        <f t="shared" si="144"/>
        <v>0</v>
      </c>
      <c r="AX185" s="9">
        <f t="shared" si="145"/>
        <v>23719.425312044979</v>
      </c>
      <c r="BC185" s="9">
        <f t="shared" si="146"/>
        <v>2105159.8957059733</v>
      </c>
      <c r="BD185" s="9">
        <f t="shared" si="147"/>
        <v>2423668.802861867</v>
      </c>
      <c r="BH185" s="9">
        <f t="shared" si="115"/>
        <v>0</v>
      </c>
      <c r="BI185" s="9">
        <f t="shared" si="116"/>
        <v>0</v>
      </c>
      <c r="BJ185" s="9">
        <f t="shared" si="117"/>
        <v>0</v>
      </c>
      <c r="BK185" s="9">
        <f t="shared" si="118"/>
        <v>0</v>
      </c>
    </row>
    <row r="188" spans="28:63" ht="13.5" thickBot="1">
      <c r="AB188" t="s">
        <v>244</v>
      </c>
      <c r="AF188" t="s">
        <v>245</v>
      </c>
      <c r="AI188" t="s">
        <v>246</v>
      </c>
    </row>
    <row r="189" spans="28:63">
      <c r="AB189" s="39"/>
      <c r="AC189" s="40"/>
      <c r="AD189" s="40"/>
      <c r="AE189" s="41"/>
      <c r="AF189" s="39"/>
      <c r="AG189" s="40"/>
      <c r="AH189" s="41"/>
      <c r="AI189" s="39"/>
      <c r="AJ189" s="41"/>
    </row>
    <row r="190" spans="28:63">
      <c r="AB190" s="42" t="s">
        <v>204</v>
      </c>
      <c r="AC190" s="8" t="s">
        <v>205</v>
      </c>
      <c r="AD190" s="8" t="s">
        <v>211</v>
      </c>
      <c r="AE190" s="43" t="s">
        <v>214</v>
      </c>
      <c r="AF190" s="42" t="s">
        <v>212</v>
      </c>
      <c r="AG190" s="8" t="s">
        <v>206</v>
      </c>
      <c r="AH190" s="43" t="s">
        <v>207</v>
      </c>
      <c r="AI190" s="42" t="s">
        <v>216</v>
      </c>
      <c r="AJ190" s="55" t="s">
        <v>172</v>
      </c>
    </row>
    <row r="191" spans="28:63">
      <c r="AB191" s="42" t="s">
        <v>208</v>
      </c>
      <c r="AC191" s="44">
        <f>+G148-+G18</f>
        <v>173627530</v>
      </c>
      <c r="AD191" s="44">
        <f>+AE154</f>
        <v>775221.56016605732</v>
      </c>
      <c r="AE191" s="45">
        <f>+AE146</f>
        <v>88.495611891102428</v>
      </c>
      <c r="AF191" s="49">
        <f t="shared" ref="AF191:AF200" si="148">+AD191/AC191</f>
        <v>4.4648539328184722E-3</v>
      </c>
      <c r="AG191" s="50">
        <f>+AC147</f>
        <v>1.5749294112366317</v>
      </c>
      <c r="AH191" s="51">
        <f>+AD147</f>
        <v>0.62086936602773923</v>
      </c>
      <c r="AI191" s="56">
        <f>+AG151</f>
        <v>11.792490899521185</v>
      </c>
      <c r="AJ191" s="57">
        <f>+AG152</f>
        <v>4.5201659362822957</v>
      </c>
      <c r="AM191" s="7"/>
      <c r="AN191" s="30"/>
      <c r="AO191" s="30"/>
      <c r="AQ191" s="7"/>
    </row>
    <row r="192" spans="28:63">
      <c r="AB192" s="42" t="s">
        <v>209</v>
      </c>
      <c r="AC192" s="44">
        <f>+AC191</f>
        <v>173627530</v>
      </c>
      <c r="AD192" s="44">
        <f>+AK154</f>
        <v>1239585.8103321982</v>
      </c>
      <c r="AE192" s="45">
        <f>+AK146</f>
        <v>141.50522948997695</v>
      </c>
      <c r="AF192" s="49">
        <f t="shared" si="148"/>
        <v>7.1393390802264953E-3</v>
      </c>
      <c r="AG192" s="50">
        <f>+AI147</f>
        <v>2.0760533561819541</v>
      </c>
      <c r="AH192" s="51">
        <f>+AJ147</f>
        <v>0.63328675334829365</v>
      </c>
      <c r="AI192" s="56">
        <f>+AM151</f>
        <v>8.6655357663199073</v>
      </c>
      <c r="AJ192" s="57">
        <f>+AM152</f>
        <v>6.1512660157851826</v>
      </c>
      <c r="AM192" s="7"/>
      <c r="AN192" s="30"/>
      <c r="AO192" s="30"/>
      <c r="AP192" s="9"/>
      <c r="AQ192" s="7"/>
      <c r="AR192" s="30"/>
      <c r="AS192" s="30"/>
    </row>
    <row r="193" spans="26:45">
      <c r="AB193" s="42" t="s">
        <v>210</v>
      </c>
      <c r="AC193" s="44">
        <f>+AC192</f>
        <v>173627530</v>
      </c>
      <c r="AD193" s="44">
        <f>+AQ154</f>
        <v>1749655.2763613607</v>
      </c>
      <c r="AE193" s="45">
        <f>+AQ146</f>
        <v>199.7323374841736</v>
      </c>
      <c r="AF193" s="49">
        <f t="shared" si="148"/>
        <v>1.0077061375931343E-2</v>
      </c>
      <c r="AG193" s="50">
        <f>+AO147</f>
        <v>2.5523528450819062</v>
      </c>
      <c r="AH193" s="51">
        <f>+AP147</f>
        <v>0.64595248841525998</v>
      </c>
      <c r="AI193" s="56">
        <f>+AS151</f>
        <v>2.7601438985358273</v>
      </c>
      <c r="AJ193" s="57">
        <f>+AS152</f>
        <v>19.31204228019082</v>
      </c>
      <c r="AM193" s="7"/>
      <c r="AN193" s="30"/>
      <c r="AO193" s="30"/>
      <c r="AQ193" s="7"/>
    </row>
    <row r="194" spans="26:45">
      <c r="AB194" s="42" t="s">
        <v>238</v>
      </c>
      <c r="AC194" s="44">
        <f>+AC191</f>
        <v>173627530</v>
      </c>
      <c r="AD194" s="44">
        <f>+AF154</f>
        <v>1135822.8773316389</v>
      </c>
      <c r="AE194" s="45">
        <f>+AF146</f>
        <v>129.66014581411403</v>
      </c>
      <c r="AF194" s="49">
        <f t="shared" si="148"/>
        <v>6.5417211045485637E-3</v>
      </c>
      <c r="AG194" s="50">
        <f>+AG191+1/120*100</f>
        <v>2.4082627445699649</v>
      </c>
      <c r="AH194" s="51">
        <f>+AH191</f>
        <v>0.62086936602773923</v>
      </c>
      <c r="AI194" s="56">
        <f>+AH151</f>
        <v>2.3912619168768154</v>
      </c>
      <c r="AJ194" s="57">
        <f>+AH152</f>
        <v>22.291165719543617</v>
      </c>
      <c r="AK194" s="7"/>
      <c r="AM194" s="7"/>
      <c r="AN194" s="30"/>
      <c r="AO194" s="30"/>
      <c r="AQ194" s="7"/>
    </row>
    <row r="195" spans="26:45">
      <c r="AB195" s="42" t="s">
        <v>239</v>
      </c>
      <c r="AC195" s="44">
        <f>+AC194</f>
        <v>173627530</v>
      </c>
      <c r="AD195" s="44">
        <f>+AL154</f>
        <v>1454107.2459984166</v>
      </c>
      <c r="AE195" s="45">
        <f>+AL146</f>
        <v>165.99397785370053</v>
      </c>
      <c r="AF195" s="49">
        <f t="shared" si="148"/>
        <v>8.3748657024517743E-3</v>
      </c>
      <c r="AG195" s="50">
        <f>+AG192+0.5/120*100</f>
        <v>2.4927200228486206</v>
      </c>
      <c r="AH195" s="51">
        <f>+AH192</f>
        <v>0.63328675334829365</v>
      </c>
      <c r="AI195" s="56">
        <f>+AN151</f>
        <v>2.6318727280857552</v>
      </c>
      <c r="AJ195" s="57">
        <f>+AN152</f>
        <v>20.253264946707478</v>
      </c>
      <c r="AM195" s="7"/>
      <c r="AN195" s="30"/>
      <c r="AO195" s="30"/>
      <c r="AP195" s="9"/>
      <c r="AQ195" s="7"/>
      <c r="AR195" s="30"/>
      <c r="AS195" s="30"/>
    </row>
    <row r="196" spans="26:45">
      <c r="AB196" s="42" t="s">
        <v>240</v>
      </c>
      <c r="AC196" s="44">
        <f>+AC195</f>
        <v>173627530</v>
      </c>
      <c r="AD196" s="44">
        <f>+AR154</f>
        <v>1994662.7807205264</v>
      </c>
      <c r="AE196" s="45">
        <f>+AR146</f>
        <v>227.70123067585916</v>
      </c>
      <c r="AF196" s="49">
        <f t="shared" si="148"/>
        <v>1.1488171148437845E-2</v>
      </c>
      <c r="AG196" s="50">
        <f>+AG193+0.5/120*100</f>
        <v>2.9690195117485727</v>
      </c>
      <c r="AH196" s="51">
        <f>+AH193</f>
        <v>0.64595248841525998</v>
      </c>
      <c r="AI196" s="56">
        <f>+AT151</f>
        <v>1.947703660858636</v>
      </c>
      <c r="AJ196" s="57">
        <f>+AT152</f>
        <v>27.367621029389969</v>
      </c>
      <c r="AM196" s="7"/>
      <c r="AN196" s="30"/>
      <c r="AO196" s="30"/>
      <c r="AQ196" s="7"/>
    </row>
    <row r="197" spans="26:45">
      <c r="AB197" s="42" t="s">
        <v>213</v>
      </c>
      <c r="AC197" s="44">
        <f>+G18</f>
        <v>9161466</v>
      </c>
      <c r="AD197" s="44">
        <f>+AW154</f>
        <v>0</v>
      </c>
      <c r="AE197" s="45">
        <f>+AW146</f>
        <v>0</v>
      </c>
      <c r="AF197" s="49">
        <f t="shared" si="148"/>
        <v>0</v>
      </c>
      <c r="AG197" s="50">
        <f>+AU147</f>
        <v>0</v>
      </c>
      <c r="AH197" s="51">
        <f>+AV147</f>
        <v>0.7</v>
      </c>
      <c r="AI197" s="56">
        <f>+AY151</f>
        <v>0</v>
      </c>
      <c r="AJ197" s="57" t="e">
        <f>+AY152</f>
        <v>#DIV/0!</v>
      </c>
      <c r="AM197" s="7"/>
      <c r="AN197" s="30"/>
      <c r="AO197" s="30"/>
    </row>
    <row r="198" spans="26:45">
      <c r="AB198" s="42" t="s">
        <v>242</v>
      </c>
      <c r="AC198" s="44">
        <f>+AC197</f>
        <v>9161466</v>
      </c>
      <c r="AD198" s="44">
        <f>+AX154</f>
        <v>19713.855339031739</v>
      </c>
      <c r="AE198" s="45">
        <f>+AX146</f>
        <v>2.2504401071954039</v>
      </c>
      <c r="AF198" s="49">
        <f t="shared" si="148"/>
        <v>2.1518232277488929E-3</v>
      </c>
      <c r="AG198" s="50">
        <f>+AG197+0.5/120*100</f>
        <v>0.41666666666666669</v>
      </c>
      <c r="AH198" s="51">
        <f>+AH197</f>
        <v>0.7</v>
      </c>
      <c r="AI198" s="56">
        <f>+AZ151</f>
        <v>0.21288618434655354</v>
      </c>
      <c r="AJ198" s="57">
        <f>+AZ152</f>
        <v>250.38738813206396</v>
      </c>
      <c r="AM198" s="7"/>
      <c r="AN198" s="30"/>
      <c r="AO198" s="30"/>
    </row>
    <row r="199" spans="26:45">
      <c r="AB199" s="42" t="s">
        <v>215</v>
      </c>
      <c r="AC199" s="44">
        <f>+AC197+AC191</f>
        <v>182788996</v>
      </c>
      <c r="AD199" s="44">
        <f>+BC154</f>
        <v>1749655.2763613607</v>
      </c>
      <c r="AE199" s="45">
        <f>+BC146</f>
        <v>199.7323374841736</v>
      </c>
      <c r="AF199" s="49">
        <f t="shared" si="148"/>
        <v>9.5719945655884046E-3</v>
      </c>
      <c r="AG199" s="50">
        <f>+BA147</f>
        <v>2.5523528450819062</v>
      </c>
      <c r="AH199" s="51">
        <f>+BB147</f>
        <v>0.67913320395532994</v>
      </c>
      <c r="AI199" s="56">
        <f>+BE151</f>
        <v>2.7584052589949191</v>
      </c>
      <c r="AJ199" s="57">
        <f>+BE152</f>
        <v>19.324214777402581</v>
      </c>
      <c r="AM199" s="7"/>
      <c r="AN199" s="30"/>
      <c r="AO199" s="30"/>
    </row>
    <row r="200" spans="26:45" ht="13.5" thickBot="1">
      <c r="AB200" s="46" t="s">
        <v>241</v>
      </c>
      <c r="AC200" s="47">
        <f>+AC199</f>
        <v>182788996</v>
      </c>
      <c r="AD200" s="47">
        <f>+BD154</f>
        <v>2014376.636059558</v>
      </c>
      <c r="AE200" s="48">
        <f>+BD146</f>
        <v>229.95167078305457</v>
      </c>
      <c r="AF200" s="52">
        <f t="shared" si="148"/>
        <v>1.1020229226816027E-2</v>
      </c>
      <c r="AG200" s="53">
        <f>+AG199+0.5/120*100</f>
        <v>2.9690195117485727</v>
      </c>
      <c r="AH200" s="54">
        <f>+BB147</f>
        <v>0.67913320395532994</v>
      </c>
      <c r="AI200" s="58">
        <f>+BF151</f>
        <v>1.9566444562828977</v>
      </c>
      <c r="AJ200" s="59">
        <f>+BF152</f>
        <v>27.24256596377149</v>
      </c>
      <c r="AM200" s="7"/>
      <c r="AN200" s="30"/>
      <c r="AO200" s="30"/>
    </row>
    <row r="202" spans="26:45">
      <c r="Z202" s="64"/>
      <c r="AA202" s="84"/>
      <c r="AB202" s="64"/>
      <c r="AC202" s="64"/>
      <c r="AH202" s="8"/>
      <c r="AI202" s="8"/>
      <c r="AJ202" s="8"/>
      <c r="AK202" s="60"/>
    </row>
    <row r="203" spans="26:45">
      <c r="Z203" s="65"/>
      <c r="AA203" s="65"/>
      <c r="AB203" s="8"/>
      <c r="AC203" s="64"/>
      <c r="AH203" s="8"/>
      <c r="AI203" s="61"/>
      <c r="AJ203" s="62"/>
      <c r="AK203" s="63"/>
    </row>
    <row r="204" spans="26:45">
      <c r="Z204" s="65"/>
      <c r="AA204" s="65"/>
      <c r="AB204" s="66"/>
      <c r="AC204" s="66"/>
      <c r="AH204" s="8"/>
      <c r="AI204" s="61"/>
      <c r="AJ204" s="62"/>
      <c r="AK204" s="63"/>
    </row>
    <row r="205" spans="26:45">
      <c r="Z205" s="65"/>
      <c r="AA205" s="65"/>
      <c r="AB205" s="66"/>
      <c r="AC205" s="66"/>
      <c r="AH205" s="8"/>
      <c r="AI205" s="61"/>
      <c r="AJ205" s="62"/>
      <c r="AK205" s="63"/>
    </row>
    <row r="206" spans="26:45">
      <c r="Z206" s="65"/>
      <c r="AA206" s="65"/>
      <c r="AB206" s="66"/>
      <c r="AC206" s="66"/>
      <c r="AH206" s="8"/>
      <c r="AI206" s="61"/>
      <c r="AJ206" s="62"/>
      <c r="AK206" s="63"/>
    </row>
    <row r="207" spans="26:45">
      <c r="Z207" s="65"/>
      <c r="AA207" s="65"/>
      <c r="AB207" s="66"/>
      <c r="AC207" s="66"/>
      <c r="AH207" s="8"/>
      <c r="AI207" s="61"/>
      <c r="AJ207" s="62"/>
      <c r="AK207" s="63"/>
    </row>
    <row r="208" spans="26:45">
      <c r="Z208" s="65"/>
      <c r="AA208" s="65"/>
      <c r="AB208" s="66"/>
      <c r="AC208" s="66"/>
      <c r="AH208" s="8"/>
      <c r="AI208" s="61"/>
      <c r="AJ208" s="62"/>
      <c r="AK208" s="63"/>
    </row>
    <row r="209" spans="26:37">
      <c r="Z209" s="65"/>
      <c r="AA209" s="65"/>
      <c r="AB209" s="66"/>
      <c r="AC209" s="66"/>
      <c r="AH209" s="8"/>
      <c r="AI209" s="61"/>
      <c r="AJ209" s="62"/>
      <c r="AK209" s="63"/>
    </row>
    <row r="210" spans="26:37">
      <c r="Z210" s="65"/>
      <c r="AA210" s="65"/>
      <c r="AB210" s="66"/>
      <c r="AC210" s="66"/>
      <c r="AH210" s="8"/>
      <c r="AI210" s="61"/>
      <c r="AJ210" s="62"/>
      <c r="AK210" s="63"/>
    </row>
    <row r="211" spans="26:37">
      <c r="Z211" s="65"/>
      <c r="AA211" s="65"/>
      <c r="AB211" s="66"/>
      <c r="AC211" s="66"/>
      <c r="AH211" s="8"/>
      <c r="AI211" s="61"/>
      <c r="AJ211" s="62"/>
      <c r="AK211" s="63"/>
    </row>
    <row r="212" spans="26:37">
      <c r="Z212" s="65"/>
      <c r="AA212" s="65"/>
      <c r="AB212" s="66"/>
      <c r="AC212" s="66"/>
      <c r="AH212" s="8"/>
      <c r="AI212" s="61"/>
      <c r="AJ212" s="62"/>
      <c r="AK212" s="63"/>
    </row>
    <row r="213" spans="26:37">
      <c r="Z213" s="65"/>
      <c r="AA213" s="65"/>
      <c r="AB213" s="66"/>
      <c r="AC213" s="66"/>
      <c r="AH213" s="8"/>
      <c r="AI213" s="8"/>
      <c r="AJ213" s="8"/>
      <c r="AK213" s="8"/>
    </row>
    <row r="216" spans="26:37">
      <c r="AC216" t="s">
        <v>218</v>
      </c>
      <c r="AD216" t="s">
        <v>219</v>
      </c>
      <c r="AF216" t="s">
        <v>221</v>
      </c>
      <c r="AG216" t="s">
        <v>222</v>
      </c>
    </row>
    <row r="217" spans="26:37">
      <c r="AE217" t="s">
        <v>220</v>
      </c>
      <c r="AG217" t="s">
        <v>223</v>
      </c>
      <c r="AH217" t="s">
        <v>224</v>
      </c>
      <c r="AJ217" s="447" t="s">
        <v>217</v>
      </c>
      <c r="AK217" s="447"/>
    </row>
    <row r="218" spans="26:37">
      <c r="AB218" t="s">
        <v>2</v>
      </c>
      <c r="AC218" s="24">
        <v>59461</v>
      </c>
      <c r="AD218" s="24">
        <v>822319</v>
      </c>
      <c r="AF218" s="24">
        <v>13552056</v>
      </c>
      <c r="AG218">
        <v>1.67</v>
      </c>
      <c r="AH218">
        <v>21.79</v>
      </c>
      <c r="AJ218" s="64"/>
      <c r="AK218" s="64" t="s">
        <v>172</v>
      </c>
    </row>
    <row r="219" spans="26:37">
      <c r="AB219" t="s">
        <v>225</v>
      </c>
      <c r="AC219" s="24">
        <v>39461</v>
      </c>
      <c r="AD219" s="24">
        <v>193327</v>
      </c>
      <c r="AE219" s="24">
        <v>979940</v>
      </c>
      <c r="AF219" s="24">
        <v>3186088</v>
      </c>
      <c r="AG219">
        <v>2.57</v>
      </c>
      <c r="AH219">
        <v>14.15</v>
      </c>
      <c r="AJ219" s="65" t="s">
        <v>2</v>
      </c>
      <c r="AK219" s="64">
        <v>21.79</v>
      </c>
    </row>
    <row r="220" spans="26:37">
      <c r="AB220" t="s">
        <v>226</v>
      </c>
      <c r="AC220" s="24">
        <v>9328</v>
      </c>
      <c r="AD220" s="24">
        <v>88863</v>
      </c>
      <c r="AE220" s="24">
        <v>650322</v>
      </c>
      <c r="AF220" s="24">
        <v>1464490</v>
      </c>
      <c r="AG220">
        <v>7.42</v>
      </c>
      <c r="AH220">
        <v>4.91</v>
      </c>
      <c r="AJ220" s="65" t="s">
        <v>225</v>
      </c>
      <c r="AK220" s="64">
        <v>14.15</v>
      </c>
    </row>
    <row r="221" spans="26:37">
      <c r="AB221" t="s">
        <v>227</v>
      </c>
      <c r="AC221" s="24">
        <v>140695</v>
      </c>
      <c r="AD221" s="24">
        <v>2307466</v>
      </c>
      <c r="AE221" s="24">
        <v>153730</v>
      </c>
      <c r="AF221" s="24">
        <v>38027712</v>
      </c>
      <c r="AG221">
        <v>19.88</v>
      </c>
      <c r="AH221">
        <v>1.83</v>
      </c>
      <c r="AJ221" s="65" t="s">
        <v>226</v>
      </c>
      <c r="AK221" s="64">
        <v>4.91</v>
      </c>
    </row>
    <row r="222" spans="26:37">
      <c r="AB222" t="s">
        <v>228</v>
      </c>
      <c r="AC222" s="24">
        <v>114714</v>
      </c>
      <c r="AD222" s="24">
        <v>2495412</v>
      </c>
      <c r="AE222" s="24">
        <v>2318700</v>
      </c>
      <c r="AF222" s="24">
        <v>41125119</v>
      </c>
      <c r="AG222">
        <v>23.07</v>
      </c>
      <c r="AH222">
        <v>1.58</v>
      </c>
      <c r="AJ222" s="65" t="s">
        <v>227</v>
      </c>
      <c r="AK222" s="64">
        <v>1.83</v>
      </c>
    </row>
    <row r="223" spans="26:37">
      <c r="AB223" t="s">
        <v>229</v>
      </c>
      <c r="AC223" s="24">
        <v>138720</v>
      </c>
      <c r="AD223" s="24">
        <v>2073015</v>
      </c>
      <c r="AE223" s="24">
        <v>1890519</v>
      </c>
      <c r="AF223" s="24">
        <v>34163898</v>
      </c>
      <c r="AG223">
        <v>11.93</v>
      </c>
      <c r="AH223">
        <v>3.06</v>
      </c>
      <c r="AJ223" s="65" t="s">
        <v>228</v>
      </c>
      <c r="AK223" s="64">
        <v>1.58</v>
      </c>
    </row>
    <row r="224" spans="26:37">
      <c r="AB224" t="s">
        <v>230</v>
      </c>
      <c r="AC224" s="24">
        <v>144593</v>
      </c>
      <c r="AD224" s="24">
        <v>2578054</v>
      </c>
      <c r="AE224" s="24">
        <v>2286149</v>
      </c>
      <c r="AF224" s="24">
        <v>42487077</v>
      </c>
      <c r="AG224">
        <v>22.91</v>
      </c>
      <c r="AH224">
        <v>1.59</v>
      </c>
      <c r="AJ224" s="65" t="s">
        <v>229</v>
      </c>
      <c r="AK224" s="64">
        <v>3.06</v>
      </c>
    </row>
    <row r="225" spans="28:37">
      <c r="AB225" t="s">
        <v>231</v>
      </c>
      <c r="AC225" s="24">
        <v>169088</v>
      </c>
      <c r="AD225" s="24">
        <v>2957781</v>
      </c>
      <c r="AE225" s="24">
        <v>2382940</v>
      </c>
      <c r="AF225" s="24">
        <v>48745098</v>
      </c>
      <c r="AG225">
        <v>21.7</v>
      </c>
      <c r="AH225">
        <v>1.68</v>
      </c>
      <c r="AJ225" s="65" t="s">
        <v>230</v>
      </c>
      <c r="AK225" s="64">
        <v>1.59</v>
      </c>
    </row>
    <row r="226" spans="28:37">
      <c r="AB226" t="s">
        <v>232</v>
      </c>
      <c r="AC226" s="24">
        <v>102078</v>
      </c>
      <c r="AD226" s="24">
        <v>2054824</v>
      </c>
      <c r="AE226" s="24">
        <v>2786623</v>
      </c>
      <c r="AF226" s="24">
        <v>33864103</v>
      </c>
      <c r="AG226">
        <v>17.53</v>
      </c>
      <c r="AH226">
        <v>2.08</v>
      </c>
      <c r="AJ226" s="65" t="s">
        <v>231</v>
      </c>
      <c r="AK226" s="64">
        <v>1.68</v>
      </c>
    </row>
    <row r="227" spans="28:37">
      <c r="AE227" s="24">
        <v>1682272</v>
      </c>
      <c r="AJ227" s="65" t="s">
        <v>232</v>
      </c>
      <c r="AK227" s="64">
        <v>2.08</v>
      </c>
    </row>
    <row r="228" spans="28:37">
      <c r="AB228" t="s">
        <v>233</v>
      </c>
      <c r="AJ228" s="65"/>
      <c r="AK228" s="65"/>
    </row>
    <row r="229" spans="28:37">
      <c r="AB229" t="s">
        <v>234</v>
      </c>
    </row>
    <row r="230" spans="28:37">
      <c r="AB230" t="s">
        <v>235</v>
      </c>
    </row>
    <row r="231" spans="28:37">
      <c r="AB231" t="s">
        <v>236</v>
      </c>
    </row>
  </sheetData>
  <autoFilter ref="A12:W12"/>
  <mergeCells count="13">
    <mergeCell ref="A1:I4"/>
    <mergeCell ref="A5:I5"/>
    <mergeCell ref="AC1:AH2"/>
    <mergeCell ref="AC3:AH3"/>
    <mergeCell ref="AC4:AH4"/>
    <mergeCell ref="BJ11:BQ11"/>
    <mergeCell ref="AO1:AT2"/>
    <mergeCell ref="AO3:AT3"/>
    <mergeCell ref="AO4:AT4"/>
    <mergeCell ref="AJ217:AK217"/>
    <mergeCell ref="AI1:AN2"/>
    <mergeCell ref="AI3:AN3"/>
    <mergeCell ref="AI4:AN4"/>
  </mergeCells>
  <phoneticPr fontId="5" type="noConversion"/>
  <pageMargins left="0.75" right="0.75" top="1" bottom="1" header="0.5" footer="0.5"/>
  <pageSetup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sheetPr codeName="Sheet7"/>
  <dimension ref="A1:A56"/>
  <sheetViews>
    <sheetView workbookViewId="0">
      <selection activeCell="A67" sqref="A67"/>
    </sheetView>
  </sheetViews>
  <sheetFormatPr defaultRowHeight="12.75"/>
  <cols>
    <col min="1" max="1" width="111" customWidth="1"/>
  </cols>
  <sheetData>
    <row r="1" spans="1:1">
      <c r="A1" s="451" t="s">
        <v>489</v>
      </c>
    </row>
    <row r="2" spans="1:1">
      <c r="A2" s="452"/>
    </row>
    <row r="3" spans="1:1">
      <c r="A3" s="452"/>
    </row>
    <row r="4" spans="1:1">
      <c r="A4" s="452"/>
    </row>
    <row r="5" spans="1:1">
      <c r="A5" s="452"/>
    </row>
    <row r="6" spans="1:1">
      <c r="A6" s="452"/>
    </row>
    <row r="7" spans="1:1">
      <c r="A7" s="452"/>
    </row>
    <row r="8" spans="1:1">
      <c r="A8" s="452"/>
    </row>
    <row r="9" spans="1:1">
      <c r="A9" s="452"/>
    </row>
    <row r="10" spans="1:1">
      <c r="A10" s="452"/>
    </row>
    <row r="11" spans="1:1">
      <c r="A11" s="452"/>
    </row>
    <row r="12" spans="1:1">
      <c r="A12" s="452"/>
    </row>
    <row r="13" spans="1:1">
      <c r="A13" s="452"/>
    </row>
    <row r="14" spans="1:1">
      <c r="A14" s="452"/>
    </row>
    <row r="15" spans="1:1">
      <c r="A15" s="452"/>
    </row>
    <row r="16" spans="1:1">
      <c r="A16" s="452"/>
    </row>
    <row r="17" spans="1:1">
      <c r="A17" s="452"/>
    </row>
    <row r="18" spans="1:1">
      <c r="A18" s="452"/>
    </row>
    <row r="19" spans="1:1">
      <c r="A19" s="452"/>
    </row>
    <row r="20" spans="1:1">
      <c r="A20" s="452"/>
    </row>
    <row r="21" spans="1:1">
      <c r="A21" s="452"/>
    </row>
    <row r="22" spans="1:1">
      <c r="A22" s="452"/>
    </row>
    <row r="23" spans="1:1">
      <c r="A23" s="452"/>
    </row>
    <row r="24" spans="1:1">
      <c r="A24" s="452"/>
    </row>
    <row r="25" spans="1:1">
      <c r="A25" s="452"/>
    </row>
    <row r="26" spans="1:1">
      <c r="A26" s="452"/>
    </row>
    <row r="27" spans="1:1">
      <c r="A27" s="452"/>
    </row>
    <row r="28" spans="1:1">
      <c r="A28" s="452"/>
    </row>
    <row r="29" spans="1:1">
      <c r="A29" s="452"/>
    </row>
    <row r="30" spans="1:1">
      <c r="A30" s="452"/>
    </row>
    <row r="31" spans="1:1">
      <c r="A31" s="452"/>
    </row>
    <row r="32" spans="1:1">
      <c r="A32" s="452"/>
    </row>
    <row r="33" spans="1:1">
      <c r="A33" s="452"/>
    </row>
    <row r="34" spans="1:1">
      <c r="A34" s="452"/>
    </row>
    <row r="35" spans="1:1">
      <c r="A35" s="452"/>
    </row>
    <row r="36" spans="1:1">
      <c r="A36" s="452"/>
    </row>
    <row r="37" spans="1:1">
      <c r="A37" s="452"/>
    </row>
    <row r="38" spans="1:1">
      <c r="A38" s="452"/>
    </row>
    <row r="39" spans="1:1">
      <c r="A39" s="452"/>
    </row>
    <row r="40" spans="1:1">
      <c r="A40" s="452"/>
    </row>
    <row r="41" spans="1:1">
      <c r="A41" s="452"/>
    </row>
    <row r="42" spans="1:1">
      <c r="A42" s="452"/>
    </row>
    <row r="43" spans="1:1">
      <c r="A43" s="452"/>
    </row>
    <row r="44" spans="1:1">
      <c r="A44" s="452"/>
    </row>
    <row r="45" spans="1:1">
      <c r="A45" s="452"/>
    </row>
    <row r="46" spans="1:1">
      <c r="A46" s="452"/>
    </row>
    <row r="47" spans="1:1">
      <c r="A47" s="452"/>
    </row>
    <row r="48" spans="1:1">
      <c r="A48" s="452"/>
    </row>
    <row r="49" spans="1:1">
      <c r="A49" s="452"/>
    </row>
    <row r="50" spans="1:1">
      <c r="A50" s="452"/>
    </row>
    <row r="51" spans="1:1">
      <c r="A51" s="452"/>
    </row>
    <row r="52" spans="1:1">
      <c r="A52" s="452"/>
    </row>
    <row r="53" spans="1:1">
      <c r="A53" s="452"/>
    </row>
    <row r="54" spans="1:1">
      <c r="A54" s="452"/>
    </row>
    <row r="55" spans="1:1">
      <c r="A55" s="452"/>
    </row>
    <row r="56" spans="1:1">
      <c r="A56" t="s">
        <v>425</v>
      </c>
    </row>
  </sheetData>
  <mergeCells count="1">
    <mergeCell ref="A1:A5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sheetPr codeName="Sheet8"/>
  <dimension ref="A1:G22"/>
  <sheetViews>
    <sheetView workbookViewId="0">
      <selection activeCell="G31" sqref="G31"/>
    </sheetView>
  </sheetViews>
  <sheetFormatPr defaultRowHeight="12.75"/>
  <cols>
    <col min="1" max="1" width="38.85546875" customWidth="1"/>
    <col min="2" max="5" width="11.5703125" customWidth="1"/>
  </cols>
  <sheetData>
    <row r="1" spans="1:6">
      <c r="A1" s="157" t="s">
        <v>256</v>
      </c>
      <c r="B1" s="158"/>
    </row>
    <row r="2" spans="1:6">
      <c r="A2" s="155">
        <f>F19</f>
        <v>6.0469794688979164</v>
      </c>
      <c r="B2" s="67" t="s">
        <v>255</v>
      </c>
    </row>
    <row r="3" spans="1:6">
      <c r="A3" s="70"/>
      <c r="B3" s="67"/>
    </row>
    <row r="4" spans="1:6">
      <c r="A4" s="159" t="s">
        <v>438</v>
      </c>
      <c r="B4" s="158"/>
    </row>
    <row r="5" spans="1:6">
      <c r="A5" s="156">
        <v>48</v>
      </c>
      <c r="B5" s="67" t="s">
        <v>255</v>
      </c>
    </row>
    <row r="9" spans="1:6">
      <c r="A9" s="160" t="s">
        <v>436</v>
      </c>
      <c r="B9" s="160" t="s">
        <v>439</v>
      </c>
      <c r="C9" s="158"/>
      <c r="D9" s="158"/>
      <c r="E9" s="158"/>
      <c r="F9" s="158"/>
    </row>
    <row r="10" spans="1:6" ht="15">
      <c r="A10" s="141"/>
      <c r="B10" s="142" t="s">
        <v>432</v>
      </c>
      <c r="C10" s="142"/>
      <c r="D10" s="142"/>
      <c r="E10" s="142"/>
      <c r="F10" s="150"/>
    </row>
    <row r="11" spans="1:6" ht="15">
      <c r="A11" s="143" t="s">
        <v>433</v>
      </c>
      <c r="B11" s="144">
        <v>2010</v>
      </c>
      <c r="C11" s="144">
        <v>2011</v>
      </c>
      <c r="D11" s="144">
        <v>2012</v>
      </c>
      <c r="E11" s="144">
        <v>2013</v>
      </c>
      <c r="F11" s="151" t="s">
        <v>437</v>
      </c>
    </row>
    <row r="12" spans="1:6" ht="15">
      <c r="A12" s="145" t="s">
        <v>435</v>
      </c>
      <c r="B12" s="146"/>
      <c r="C12" s="146"/>
      <c r="D12" s="146"/>
      <c r="E12" s="146"/>
      <c r="F12" s="150"/>
    </row>
    <row r="13" spans="1:6">
      <c r="A13" s="147" t="s">
        <v>380</v>
      </c>
      <c r="B13" s="148">
        <v>0</v>
      </c>
      <c r="C13" s="148">
        <v>0</v>
      </c>
      <c r="D13" s="148">
        <v>1.672939513809979E-3</v>
      </c>
      <c r="E13" s="148">
        <v>5.2650642395019531</v>
      </c>
      <c r="F13" s="152">
        <f>SUM(B13:E13)</f>
        <v>5.2667371790157631</v>
      </c>
    </row>
    <row r="14" spans="1:6">
      <c r="A14" s="147" t="s">
        <v>377</v>
      </c>
      <c r="B14" s="148">
        <v>0.46086335182189941</v>
      </c>
      <c r="C14" s="148">
        <v>0</v>
      </c>
      <c r="D14" s="148">
        <v>0</v>
      </c>
      <c r="E14" s="148">
        <v>1.2275022454559803E-3</v>
      </c>
      <c r="F14" s="152">
        <f t="shared" ref="F14:F18" si="0">SUM(B14:E14)</f>
        <v>0.46209085406735539</v>
      </c>
    </row>
    <row r="15" spans="1:6">
      <c r="A15" s="147" t="s">
        <v>434</v>
      </c>
      <c r="B15" s="148">
        <v>0.1888173520565033</v>
      </c>
      <c r="C15" s="148">
        <v>0</v>
      </c>
      <c r="D15" s="148">
        <v>0</v>
      </c>
      <c r="E15" s="148">
        <v>0</v>
      </c>
      <c r="F15" s="152">
        <f t="shared" si="0"/>
        <v>0.1888173520565033</v>
      </c>
    </row>
    <row r="16" spans="1:6">
      <c r="A16" s="147" t="s">
        <v>379</v>
      </c>
      <c r="B16" s="148">
        <v>0</v>
      </c>
      <c r="C16" s="148">
        <v>8.4967464208602905E-2</v>
      </c>
      <c r="D16" s="148">
        <v>0</v>
      </c>
      <c r="E16" s="148">
        <v>4.4366619549691677E-2</v>
      </c>
      <c r="F16" s="152">
        <f t="shared" si="0"/>
        <v>0.12933408375829458</v>
      </c>
    </row>
    <row r="17" spans="1:7">
      <c r="A17" s="147" t="s">
        <v>378</v>
      </c>
      <c r="B17" s="148">
        <v>0</v>
      </c>
      <c r="C17" s="148">
        <v>0</v>
      </c>
      <c r="D17" s="148">
        <v>0</v>
      </c>
      <c r="E17" s="148">
        <v>0</v>
      </c>
      <c r="F17" s="152">
        <f t="shared" si="0"/>
        <v>0</v>
      </c>
    </row>
    <row r="18" spans="1:7">
      <c r="A18" s="147" t="s">
        <v>381</v>
      </c>
      <c r="B18" s="148">
        <v>0</v>
      </c>
      <c r="C18" s="148">
        <v>0</v>
      </c>
      <c r="D18" s="148">
        <v>0</v>
      </c>
      <c r="E18" s="148">
        <v>0</v>
      </c>
      <c r="F18" s="152">
        <f t="shared" si="0"/>
        <v>0</v>
      </c>
    </row>
    <row r="19" spans="1:7">
      <c r="B19" s="154">
        <f>SUM(B13:B18)</f>
        <v>0.64968070387840271</v>
      </c>
      <c r="C19" s="154">
        <f t="shared" ref="C19:E19" si="1">SUM(C13:C18)</f>
        <v>8.4967464208602905E-2</v>
      </c>
      <c r="D19" s="154">
        <f t="shared" si="1"/>
        <v>1.672939513809979E-3</v>
      </c>
      <c r="E19" s="154">
        <f t="shared" si="1"/>
        <v>5.3106583612971008</v>
      </c>
      <c r="F19" s="153">
        <f>SUM(F13:F18)</f>
        <v>6.0469794688979164</v>
      </c>
    </row>
    <row r="21" spans="1:7">
      <c r="F21" s="70">
        <f>AVERAGE(B19:E19)</f>
        <v>1.5117448672244791</v>
      </c>
      <c r="G21" s="149" t="s">
        <v>895</v>
      </c>
    </row>
    <row r="22" spans="1:7">
      <c r="F22" s="70">
        <f>MAX(B19:E19)</f>
        <v>5.3106583612971008</v>
      </c>
      <c r="G22" s="149" t="s">
        <v>896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ForRPM</vt:lpstr>
      <vt:lpstr>SC-Retro</vt:lpstr>
      <vt:lpstr>7PSourceSummary</vt:lpstr>
      <vt:lpstr>M_Input_Out</vt:lpstr>
      <vt:lpstr>M_Input</vt:lpstr>
      <vt:lpstr>Rollup</vt:lpstr>
      <vt:lpstr>RegionWideSubstations</vt:lpstr>
      <vt:lpstr>Approach for 7th Plan</vt:lpstr>
      <vt:lpstr>SixGoingOnSeven</vt:lpstr>
      <vt:lpstr>NEEALong-TermTracking_AvistaEvl</vt:lpstr>
      <vt:lpstr>Sales</vt:lpstr>
      <vt:lpstr>SalesForecast</vt:lpstr>
      <vt:lpstr>ACHEIVE</vt:lpstr>
      <vt:lpstr>LOG</vt:lpstr>
      <vt:lpstr>ForRPM!M_Out</vt:lpstr>
      <vt:lpstr>SCRetro</vt:lpstr>
    </vt:vector>
  </TitlesOfParts>
  <Company>R. W. Beck</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RWBECK</dc:creator>
  <cp:lastModifiedBy>Charlie Grist</cp:lastModifiedBy>
  <cp:lastPrinted>2007-09-07T23:20:46Z</cp:lastPrinted>
  <dcterms:created xsi:type="dcterms:W3CDTF">2007-08-27T18:04:04Z</dcterms:created>
  <dcterms:modified xsi:type="dcterms:W3CDTF">2015-03-19T10:07:13Z</dcterms:modified>
</cp:coreProperties>
</file>