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emf" ContentType="image/x-emf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1585" yWindow="-15" windowWidth="3660" windowHeight="11925" activeTab="2"/>
  </bookViews>
  <sheets>
    <sheet name="Note" sheetId="17" r:id="rId1"/>
    <sheet name="Flyover" sheetId="7" r:id="rId2"/>
    <sheet name="LPDExist" sheetId="11" r:id="rId3"/>
    <sheet name="Pre_2014" sheetId="1" r:id="rId4"/>
    <sheet name="LPDNew" sheetId="12" r:id="rId5"/>
    <sheet name="Post 2014" sheetId="8" r:id="rId6"/>
    <sheet name="DOE2014 Sales Pen" sheetId="15" r:id="rId7"/>
    <sheet name="Applic" sheetId="13" r:id="rId8"/>
    <sheet name="ApplicNotes" sheetId="14" r:id="rId9"/>
    <sheet name="CBSA Tables" sheetId="3" r:id="rId10"/>
    <sheet name="CBSA Hrs_Plus" sheetId="6" r:id="rId11"/>
    <sheet name="CBSA LPD Dist t53" sheetId="5" r:id="rId12"/>
    <sheet name="6PResults" sheetId="9" r:id="rId13"/>
    <sheet name="6P New" sheetId="2" r:id="rId14"/>
  </sheets>
  <externalReferences>
    <externalReference r:id="rId15"/>
    <externalReference r:id="rId16"/>
    <externalReference r:id="rId17"/>
  </externalReferences>
  <definedNames>
    <definedName name="_xlnm._FilterDatabase" localSheetId="7" hidden="1">Applic!$B$9:$T$9</definedName>
    <definedName name="_xlnm._FilterDatabase" localSheetId="8" hidden="1">ApplicNotes!$B$9:$M$55</definedName>
    <definedName name="_xlnm._FilterDatabase" localSheetId="11" hidden="1">'CBSA LPD Dist t53'!$AJ$82:$AO$151</definedName>
    <definedName name="BLDGTYP">[1]APPLIC!$C$11:$T$11</definedName>
    <definedName name="list_Applic">Applic!$B$9:$AA$66</definedName>
    <definedName name="list_LPDBaseExist">LPDExist!$R$96:$AA$115</definedName>
    <definedName name="list_LPDBaseNew">LPDNew!$R$95:$AA$114</definedName>
    <definedName name="list_MeasureClass">'[2]Lists&amp;Tables'!$J$3:$J$4</definedName>
    <definedName name="list_MOPP">'[2]Lists&amp;Tables'!$B$3:$B$5</definedName>
  </definedNames>
  <calcPr calcId="125725"/>
</workbook>
</file>

<file path=xl/calcChain.xml><?xml version="1.0" encoding="utf-8"?>
<calcChain xmlns="http://schemas.openxmlformats.org/spreadsheetml/2006/main">
  <c r="G76" i="11"/>
  <c r="H76"/>
  <c r="I76"/>
  <c r="J76"/>
  <c r="K76"/>
  <c r="L76"/>
  <c r="M76"/>
  <c r="N76"/>
  <c r="O76"/>
  <c r="P76"/>
  <c r="G78"/>
  <c r="H78"/>
  <c r="I78"/>
  <c r="J78"/>
  <c r="K78"/>
  <c r="L78"/>
  <c r="M78"/>
  <c r="N78"/>
  <c r="O78"/>
  <c r="P78"/>
  <c r="G79"/>
  <c r="H79"/>
  <c r="I79"/>
  <c r="J79"/>
  <c r="K79"/>
  <c r="L79"/>
  <c r="M79"/>
  <c r="N79"/>
  <c r="O79"/>
  <c r="P79"/>
  <c r="G81"/>
  <c r="H81"/>
  <c r="I81"/>
  <c r="J81"/>
  <c r="K81"/>
  <c r="L81"/>
  <c r="M81"/>
  <c r="N81"/>
  <c r="O81"/>
  <c r="P81"/>
  <c r="G82"/>
  <c r="H82"/>
  <c r="I82"/>
  <c r="J82"/>
  <c r="K82"/>
  <c r="L82"/>
  <c r="M82"/>
  <c r="N82"/>
  <c r="O82"/>
  <c r="P82"/>
  <c r="G84"/>
  <c r="H84"/>
  <c r="I84"/>
  <c r="J84"/>
  <c r="K84"/>
  <c r="L84"/>
  <c r="M84"/>
  <c r="N84"/>
  <c r="O84"/>
  <c r="P84"/>
  <c r="G85"/>
  <c r="H85"/>
  <c r="I85"/>
  <c r="J85"/>
  <c r="K85"/>
  <c r="L85"/>
  <c r="M85"/>
  <c r="N85"/>
  <c r="O85"/>
  <c r="P85"/>
  <c r="G87"/>
  <c r="H87"/>
  <c r="I87"/>
  <c r="J87"/>
  <c r="K87"/>
  <c r="L87"/>
  <c r="M87"/>
  <c r="N87"/>
  <c r="O87"/>
  <c r="P87"/>
  <c r="G88"/>
  <c r="H88"/>
  <c r="I88"/>
  <c r="J88"/>
  <c r="K88"/>
  <c r="L88"/>
  <c r="M88"/>
  <c r="N88"/>
  <c r="O88"/>
  <c r="P88"/>
  <c r="F87"/>
  <c r="F88"/>
  <c r="F85"/>
  <c r="F84"/>
  <c r="F82"/>
  <c r="F81"/>
  <c r="F79"/>
  <c r="F78"/>
  <c r="F76"/>
  <c r="F72"/>
  <c r="AH16" i="6"/>
  <c r="AI16"/>
  <c r="AJ16"/>
  <c r="AK16"/>
  <c r="AL16"/>
  <c r="AG16"/>
  <c r="AH13"/>
  <c r="AI13"/>
  <c r="AI14" s="1"/>
  <c r="AJ13"/>
  <c r="AJ14" s="1"/>
  <c r="AK13"/>
  <c r="AK14" s="1"/>
  <c r="AL13"/>
  <c r="AH14"/>
  <c r="AL14"/>
  <c r="AG14"/>
  <c r="AG13"/>
  <c r="AH12"/>
  <c r="AG12" s="1"/>
  <c r="AI12"/>
  <c r="D7" i="1" l="1"/>
  <c r="D8"/>
  <c r="E7"/>
  <c r="E8"/>
  <c r="F7"/>
  <c r="F8"/>
  <c r="G7"/>
  <c r="G8"/>
  <c r="H7"/>
  <c r="H8"/>
  <c r="I7"/>
  <c r="I8"/>
  <c r="J7"/>
  <c r="J8"/>
  <c r="K7"/>
  <c r="K8"/>
  <c r="L7"/>
  <c r="L8"/>
  <c r="M7"/>
  <c r="M8"/>
  <c r="N7"/>
  <c r="N8"/>
  <c r="O7"/>
  <c r="O8"/>
  <c r="P7"/>
  <c r="P8"/>
  <c r="Q7"/>
  <c r="Q8"/>
  <c r="R7"/>
  <c r="R8"/>
  <c r="S7"/>
  <c r="S8"/>
  <c r="T7"/>
  <c r="T8"/>
  <c r="U7"/>
  <c r="U8"/>
  <c r="E21"/>
  <c r="E38"/>
  <c r="F21"/>
  <c r="F38"/>
  <c r="G21"/>
  <c r="G38"/>
  <c r="I21"/>
  <c r="I38"/>
  <c r="J21"/>
  <c r="J38"/>
  <c r="K21"/>
  <c r="K38"/>
  <c r="L21"/>
  <c r="L38"/>
  <c r="M21"/>
  <c r="M38"/>
  <c r="N21"/>
  <c r="N38"/>
  <c r="O21"/>
  <c r="O38"/>
  <c r="P21"/>
  <c r="P38"/>
  <c r="Q21"/>
  <c r="Q38"/>
  <c r="R21"/>
  <c r="R38"/>
  <c r="S21"/>
  <c r="S38"/>
  <c r="T21"/>
  <c r="T38"/>
  <c r="U21"/>
  <c r="U38"/>
  <c r="D21"/>
  <c r="D38"/>
  <c r="E29"/>
  <c r="F29"/>
  <c r="G29"/>
  <c r="I29"/>
  <c r="J29"/>
  <c r="K29"/>
  <c r="L29"/>
  <c r="M29"/>
  <c r="N29"/>
  <c r="O29"/>
  <c r="P29"/>
  <c r="Q29"/>
  <c r="R29"/>
  <c r="S29"/>
  <c r="T29"/>
  <c r="U29"/>
  <c r="D29"/>
  <c r="E24"/>
  <c r="F24"/>
  <c r="G24"/>
  <c r="I24"/>
  <c r="J24"/>
  <c r="K24"/>
  <c r="L24"/>
  <c r="M24"/>
  <c r="N24"/>
  <c r="O24"/>
  <c r="P24"/>
  <c r="Q24"/>
  <c r="R24"/>
  <c r="S24"/>
  <c r="T24"/>
  <c r="U24"/>
  <c r="D24"/>
  <c r="E7" i="8"/>
  <c r="E22" s="1"/>
  <c r="E8"/>
  <c r="F7"/>
  <c r="F8"/>
  <c r="G7"/>
  <c r="G8"/>
  <c r="H7"/>
  <c r="H22" s="1"/>
  <c r="H8"/>
  <c r="I7"/>
  <c r="I22" s="1"/>
  <c r="I8"/>
  <c r="J7"/>
  <c r="J22" s="1"/>
  <c r="J8"/>
  <c r="K7"/>
  <c r="K8"/>
  <c r="L7"/>
  <c r="L8"/>
  <c r="M7"/>
  <c r="M22" s="1"/>
  <c r="M8"/>
  <c r="N7"/>
  <c r="N8"/>
  <c r="O7"/>
  <c r="O22" s="1"/>
  <c r="O8"/>
  <c r="P7"/>
  <c r="P22" s="1"/>
  <c r="P8"/>
  <c r="Q7"/>
  <c r="Q22" s="1"/>
  <c r="Q8"/>
  <c r="R7"/>
  <c r="R22" s="1"/>
  <c r="R8"/>
  <c r="S7"/>
  <c r="S22" s="1"/>
  <c r="S8"/>
  <c r="T7"/>
  <c r="T8"/>
  <c r="U7"/>
  <c r="U8"/>
  <c r="D7"/>
  <c r="D8"/>
  <c r="M44" i="1"/>
  <c r="K44"/>
  <c r="G44"/>
  <c r="D44"/>
  <c r="E44" i="8"/>
  <c r="F44"/>
  <c r="G44"/>
  <c r="H44"/>
  <c r="I44"/>
  <c r="J44"/>
  <c r="K44"/>
  <c r="L44"/>
  <c r="M44"/>
  <c r="N44"/>
  <c r="O44"/>
  <c r="P44"/>
  <c r="Q44"/>
  <c r="R44"/>
  <c r="S44"/>
  <c r="T44"/>
  <c r="U44"/>
  <c r="D44"/>
  <c r="H38" i="1"/>
  <c r="AS56" i="14"/>
  <c r="AQ44"/>
  <c r="AQ45"/>
  <c r="AQ46"/>
  <c r="AQ47"/>
  <c r="AQ48"/>
  <c r="AQ49"/>
  <c r="AQ50"/>
  <c r="AQ51"/>
  <c r="AQ52"/>
  <c r="AQ53"/>
  <c r="AQ54"/>
  <c r="AQ55"/>
  <c r="AQ43"/>
  <c r="AX43" i="1"/>
  <c r="AX45" s="1"/>
  <c r="AX22"/>
  <c r="AU27"/>
  <c r="AX27"/>
  <c r="AX29"/>
  <c r="AX30"/>
  <c r="AX32"/>
  <c r="AX33"/>
  <c r="AX35"/>
  <c r="AX36"/>
  <c r="AX38"/>
  <c r="AX39"/>
  <c r="AX41"/>
  <c r="AY43"/>
  <c r="AY45" s="1"/>
  <c r="AY22"/>
  <c r="AY27"/>
  <c r="AY29"/>
  <c r="AY30"/>
  <c r="AY32"/>
  <c r="AY33"/>
  <c r="AY35"/>
  <c r="AY36"/>
  <c r="AY38"/>
  <c r="AY39"/>
  <c r="AY41"/>
  <c r="AZ43"/>
  <c r="AZ45" s="1"/>
  <c r="AZ47" s="1"/>
  <c r="AZ22"/>
  <c r="AZ27"/>
  <c r="AZ29"/>
  <c r="AZ30"/>
  <c r="AZ32"/>
  <c r="AZ33"/>
  <c r="AZ35"/>
  <c r="AZ36"/>
  <c r="AZ38"/>
  <c r="AZ39"/>
  <c r="AZ41"/>
  <c r="AZ46"/>
  <c r="BA43"/>
  <c r="BA45" s="1"/>
  <c r="BA22"/>
  <c r="BA27"/>
  <c r="BA29"/>
  <c r="BA30"/>
  <c r="BA32"/>
  <c r="BA33"/>
  <c r="BA35"/>
  <c r="BA36"/>
  <c r="BA38"/>
  <c r="BA39"/>
  <c r="BA41"/>
  <c r="BB43"/>
  <c r="BB22"/>
  <c r="BB27"/>
  <c r="BB29"/>
  <c r="BB30"/>
  <c r="BB32"/>
  <c r="BB33"/>
  <c r="BB35"/>
  <c r="BB36"/>
  <c r="BB38"/>
  <c r="BB39"/>
  <c r="BB41"/>
  <c r="BB46"/>
  <c r="BB45"/>
  <c r="BB49" s="1"/>
  <c r="BC43"/>
  <c r="BC45" s="1"/>
  <c r="BC22"/>
  <c r="BC27"/>
  <c r="BC29"/>
  <c r="BC30"/>
  <c r="BC32"/>
  <c r="BC33"/>
  <c r="BC35"/>
  <c r="BC36"/>
  <c r="BC38"/>
  <c r="BC39"/>
  <c r="BC41"/>
  <c r="BC46"/>
  <c r="BC49" s="1"/>
  <c r="BD43"/>
  <c r="BD22"/>
  <c r="BD27"/>
  <c r="BD29"/>
  <c r="BD30"/>
  <c r="BD32"/>
  <c r="BD33"/>
  <c r="BD35"/>
  <c r="BD36"/>
  <c r="BD38"/>
  <c r="BD39"/>
  <c r="BD41"/>
  <c r="BD46"/>
  <c r="BD45"/>
  <c r="BE43"/>
  <c r="BE45" s="1"/>
  <c r="BE47" s="1"/>
  <c r="BE22"/>
  <c r="BE27"/>
  <c r="BE29"/>
  <c r="BE30"/>
  <c r="BE32"/>
  <c r="BE33"/>
  <c r="BE35"/>
  <c r="BE36"/>
  <c r="BE38"/>
  <c r="BE39"/>
  <c r="BE41"/>
  <c r="BE46"/>
  <c r="BE49" s="1"/>
  <c r="BF43"/>
  <c r="BF45" s="1"/>
  <c r="BF22"/>
  <c r="BF27"/>
  <c r="BF29"/>
  <c r="BF30"/>
  <c r="BF32"/>
  <c r="BF33"/>
  <c r="BF35"/>
  <c r="BF36"/>
  <c r="BF38"/>
  <c r="BF39"/>
  <c r="BF41"/>
  <c r="BF46"/>
  <c r="BG43"/>
  <c r="BG45" s="1"/>
  <c r="BG22"/>
  <c r="BG27"/>
  <c r="BG29"/>
  <c r="BG30"/>
  <c r="BG32"/>
  <c r="BG33"/>
  <c r="BG35"/>
  <c r="BG36"/>
  <c r="BG38"/>
  <c r="BG39"/>
  <c r="BG41"/>
  <c r="AW43"/>
  <c r="AW45" s="1"/>
  <c r="AW47" s="1"/>
  <c r="AW22"/>
  <c r="AW27"/>
  <c r="AW29"/>
  <c r="AW30"/>
  <c r="AW32"/>
  <c r="AW33"/>
  <c r="AW35"/>
  <c r="AW36"/>
  <c r="AW38"/>
  <c r="AW39"/>
  <c r="AW41"/>
  <c r="AW46"/>
  <c r="BD47"/>
  <c r="E34" i="8"/>
  <c r="F34"/>
  <c r="G34"/>
  <c r="H34"/>
  <c r="I34"/>
  <c r="J34"/>
  <c r="K34"/>
  <c r="L34"/>
  <c r="M34"/>
  <c r="N34"/>
  <c r="O34"/>
  <c r="P34"/>
  <c r="Q34"/>
  <c r="R34"/>
  <c r="S34"/>
  <c r="T34"/>
  <c r="U34"/>
  <c r="D34"/>
  <c r="G33"/>
  <c r="E33"/>
  <c r="F33"/>
  <c r="H33"/>
  <c r="I33"/>
  <c r="J33"/>
  <c r="K33"/>
  <c r="L33"/>
  <c r="M33"/>
  <c r="N33"/>
  <c r="O33"/>
  <c r="P33"/>
  <c r="Q33"/>
  <c r="R33"/>
  <c r="S33"/>
  <c r="T33"/>
  <c r="U33"/>
  <c r="D33"/>
  <c r="C5" i="13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B5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AF25" i="15"/>
  <c r="AF26"/>
  <c r="AF27"/>
  <c r="M51" i="13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7"/>
  <c r="M16"/>
  <c r="M15"/>
  <c r="M14"/>
  <c r="M13"/>
  <c r="M12"/>
  <c r="M11"/>
  <c r="M10"/>
  <c r="M18"/>
  <c r="S47"/>
  <c r="T51"/>
  <c r="T47"/>
  <c r="S51"/>
  <c r="K20" i="14"/>
  <c r="K19"/>
  <c r="K18"/>
  <c r="K17"/>
  <c r="K16"/>
  <c r="G77" i="12"/>
  <c r="H77"/>
  <c r="I77"/>
  <c r="J77"/>
  <c r="K77"/>
  <c r="L77"/>
  <c r="M77"/>
  <c r="N77"/>
  <c r="O77"/>
  <c r="P77"/>
  <c r="G80"/>
  <c r="H80"/>
  <c r="I80"/>
  <c r="J80"/>
  <c r="K80"/>
  <c r="L80"/>
  <c r="M80"/>
  <c r="N80"/>
  <c r="O80"/>
  <c r="P80"/>
  <c r="G84"/>
  <c r="H84"/>
  <c r="I84"/>
  <c r="J84"/>
  <c r="K84"/>
  <c r="L84"/>
  <c r="M84"/>
  <c r="N84"/>
  <c r="O84"/>
  <c r="P84"/>
  <c r="G86"/>
  <c r="H86"/>
  <c r="I86"/>
  <c r="J86"/>
  <c r="K86"/>
  <c r="L86"/>
  <c r="M86"/>
  <c r="N86"/>
  <c r="O86"/>
  <c r="P86"/>
  <c r="F86"/>
  <c r="F84"/>
  <c r="F80"/>
  <c r="F77"/>
  <c r="P71"/>
  <c r="F70"/>
  <c r="I75" s="1"/>
  <c r="F105" s="1"/>
  <c r="S105" s="1"/>
  <c r="I70"/>
  <c r="E63" i="8"/>
  <c r="F63"/>
  <c r="G63"/>
  <c r="E64"/>
  <c r="F64"/>
  <c r="M64" s="1"/>
  <c r="G64"/>
  <c r="E65"/>
  <c r="F65"/>
  <c r="G65"/>
  <c r="E66"/>
  <c r="F66"/>
  <c r="G66"/>
  <c r="E67"/>
  <c r="F67"/>
  <c r="G67"/>
  <c r="E68"/>
  <c r="F68"/>
  <c r="M68" s="1"/>
  <c r="G68"/>
  <c r="E69"/>
  <c r="F69"/>
  <c r="G69"/>
  <c r="E70"/>
  <c r="F70"/>
  <c r="G70"/>
  <c r="E71"/>
  <c r="F71"/>
  <c r="M71" s="1"/>
  <c r="G71"/>
  <c r="E72"/>
  <c r="F72"/>
  <c r="M72" s="1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M80" s="1"/>
  <c r="G80"/>
  <c r="D64"/>
  <c r="D65"/>
  <c r="D66"/>
  <c r="D67"/>
  <c r="D68"/>
  <c r="D69"/>
  <c r="D70"/>
  <c r="D71"/>
  <c r="D72"/>
  <c r="D73"/>
  <c r="D74"/>
  <c r="D75"/>
  <c r="D76"/>
  <c r="D77"/>
  <c r="D78"/>
  <c r="D79"/>
  <c r="D80"/>
  <c r="D63"/>
  <c r="D87" i="12"/>
  <c r="M97"/>
  <c r="Z97"/>
  <c r="D86"/>
  <c r="D84"/>
  <c r="D83"/>
  <c r="D81"/>
  <c r="D80"/>
  <c r="D78"/>
  <c r="D77"/>
  <c r="D75"/>
  <c r="P66"/>
  <c r="O66"/>
  <c r="N66"/>
  <c r="M66"/>
  <c r="L66"/>
  <c r="K66"/>
  <c r="J66"/>
  <c r="I66"/>
  <c r="H66"/>
  <c r="G66"/>
  <c r="F66"/>
  <c r="P65"/>
  <c r="O65"/>
  <c r="M113"/>
  <c r="Z113" s="1"/>
  <c r="N65"/>
  <c r="M65"/>
  <c r="M111"/>
  <c r="Z111" s="1"/>
  <c r="L65"/>
  <c r="M109"/>
  <c r="Z109"/>
  <c r="K65"/>
  <c r="J65"/>
  <c r="M107"/>
  <c r="Z107"/>
  <c r="I65"/>
  <c r="M105"/>
  <c r="Z105" s="1"/>
  <c r="H65"/>
  <c r="M103"/>
  <c r="Z103"/>
  <c r="G65"/>
  <c r="F65"/>
  <c r="P63"/>
  <c r="O63"/>
  <c r="N63"/>
  <c r="M63"/>
  <c r="L63"/>
  <c r="K63"/>
  <c r="J63"/>
  <c r="I63"/>
  <c r="H63"/>
  <c r="G63"/>
  <c r="F63"/>
  <c r="P62"/>
  <c r="O62"/>
  <c r="N62"/>
  <c r="M62"/>
  <c r="L62"/>
  <c r="K62"/>
  <c r="J62"/>
  <c r="I62"/>
  <c r="H62"/>
  <c r="G62"/>
  <c r="F62"/>
  <c r="P60"/>
  <c r="O60"/>
  <c r="N60"/>
  <c r="M60"/>
  <c r="L60"/>
  <c r="K60"/>
  <c r="J60"/>
  <c r="I60"/>
  <c r="H60"/>
  <c r="G60"/>
  <c r="F60"/>
  <c r="P59"/>
  <c r="O59"/>
  <c r="N59"/>
  <c r="M59"/>
  <c r="L59"/>
  <c r="K59"/>
  <c r="J59"/>
  <c r="I59"/>
  <c r="H59"/>
  <c r="G59"/>
  <c r="F59"/>
  <c r="P57"/>
  <c r="O57"/>
  <c r="N57"/>
  <c r="M57"/>
  <c r="L57"/>
  <c r="K57"/>
  <c r="J57"/>
  <c r="I57"/>
  <c r="H57"/>
  <c r="G57"/>
  <c r="F57"/>
  <c r="P56"/>
  <c r="O56"/>
  <c r="I113"/>
  <c r="V113" s="1"/>
  <c r="N56"/>
  <c r="M56"/>
  <c r="I111"/>
  <c r="V111" s="1"/>
  <c r="L56"/>
  <c r="I109"/>
  <c r="V109"/>
  <c r="K56"/>
  <c r="J56"/>
  <c r="I107"/>
  <c r="V107"/>
  <c r="I56"/>
  <c r="I105"/>
  <c r="V105" s="1"/>
  <c r="H56"/>
  <c r="I103"/>
  <c r="V103"/>
  <c r="G56"/>
  <c r="F56"/>
  <c r="G98"/>
  <c r="T98"/>
  <c r="U54"/>
  <c r="T54"/>
  <c r="P54"/>
  <c r="O54"/>
  <c r="N54"/>
  <c r="M54"/>
  <c r="L54"/>
  <c r="K54"/>
  <c r="J54"/>
  <c r="I54"/>
  <c r="H54"/>
  <c r="G54"/>
  <c r="F54"/>
  <c r="AC44"/>
  <c r="AB44"/>
  <c r="AA44"/>
  <c r="Z44"/>
  <c r="Y44"/>
  <c r="X44"/>
  <c r="W44"/>
  <c r="V44"/>
  <c r="U44"/>
  <c r="T44"/>
  <c r="S44"/>
  <c r="AC43"/>
  <c r="AB43"/>
  <c r="AA43"/>
  <c r="Z43"/>
  <c r="Y43"/>
  <c r="X43"/>
  <c r="W43"/>
  <c r="V43"/>
  <c r="U43"/>
  <c r="T43"/>
  <c r="S43"/>
  <c r="AC42"/>
  <c r="AB42"/>
  <c r="AA42"/>
  <c r="Z42"/>
  <c r="Y42"/>
  <c r="X42"/>
  <c r="W42"/>
  <c r="V42"/>
  <c r="U42"/>
  <c r="T42"/>
  <c r="S42"/>
  <c r="AC41"/>
  <c r="AB41"/>
  <c r="AA41"/>
  <c r="Z41"/>
  <c r="Y41"/>
  <c r="X41"/>
  <c r="W41"/>
  <c r="V41"/>
  <c r="U41"/>
  <c r="T41"/>
  <c r="S41"/>
  <c r="AC40"/>
  <c r="AC66"/>
  <c r="AB40"/>
  <c r="AB66"/>
  <c r="AA40"/>
  <c r="AA66"/>
  <c r="Z40"/>
  <c r="Z66"/>
  <c r="Y40"/>
  <c r="Y66"/>
  <c r="X40"/>
  <c r="X66"/>
  <c r="W40"/>
  <c r="W66"/>
  <c r="V40"/>
  <c r="V66"/>
  <c r="U40"/>
  <c r="U66"/>
  <c r="T40"/>
  <c r="T66"/>
  <c r="S40"/>
  <c r="S66"/>
  <c r="AC39"/>
  <c r="AB39"/>
  <c r="AA39"/>
  <c r="Z39"/>
  <c r="Y39"/>
  <c r="X39"/>
  <c r="W39"/>
  <c r="V39"/>
  <c r="U39"/>
  <c r="T39"/>
  <c r="S39"/>
  <c r="AC38"/>
  <c r="AB38"/>
  <c r="AB65"/>
  <c r="AA38"/>
  <c r="AA65"/>
  <c r="Z38"/>
  <c r="Y38"/>
  <c r="X38"/>
  <c r="X65"/>
  <c r="W38"/>
  <c r="W65"/>
  <c r="V38"/>
  <c r="U38"/>
  <c r="T38"/>
  <c r="T65"/>
  <c r="S38"/>
  <c r="S65"/>
  <c r="AC37"/>
  <c r="AB37"/>
  <c r="AA37"/>
  <c r="Z37"/>
  <c r="Y37"/>
  <c r="X37"/>
  <c r="W37"/>
  <c r="V37"/>
  <c r="U37"/>
  <c r="T37"/>
  <c r="S37"/>
  <c r="AC36"/>
  <c r="AB36"/>
  <c r="AA36"/>
  <c r="Z36"/>
  <c r="Y36"/>
  <c r="X36"/>
  <c r="W36"/>
  <c r="V36"/>
  <c r="U36"/>
  <c r="T36"/>
  <c r="S36"/>
  <c r="AC35"/>
  <c r="AC63"/>
  <c r="AB35"/>
  <c r="AB63"/>
  <c r="AA35"/>
  <c r="AA63"/>
  <c r="Z35"/>
  <c r="Z63"/>
  <c r="Y35"/>
  <c r="Y63"/>
  <c r="X35"/>
  <c r="X63"/>
  <c r="W35"/>
  <c r="W63"/>
  <c r="V35"/>
  <c r="V63"/>
  <c r="U35"/>
  <c r="U63"/>
  <c r="T35"/>
  <c r="T63"/>
  <c r="S35"/>
  <c r="S63"/>
  <c r="AC34"/>
  <c r="AB34"/>
  <c r="AA34"/>
  <c r="Z34"/>
  <c r="Y34"/>
  <c r="X34"/>
  <c r="W34"/>
  <c r="V34"/>
  <c r="U34"/>
  <c r="T34"/>
  <c r="S34"/>
  <c r="AC33"/>
  <c r="AB33"/>
  <c r="AA33"/>
  <c r="Z33"/>
  <c r="Y33"/>
  <c r="X33"/>
  <c r="W33"/>
  <c r="V33"/>
  <c r="U33"/>
  <c r="T33"/>
  <c r="S33"/>
  <c r="AC32"/>
  <c r="AC62"/>
  <c r="AB32"/>
  <c r="AA32"/>
  <c r="Z32"/>
  <c r="Z62"/>
  <c r="Y32"/>
  <c r="Y62"/>
  <c r="X32"/>
  <c r="W32"/>
  <c r="V32"/>
  <c r="V62"/>
  <c r="U32"/>
  <c r="U62"/>
  <c r="T32"/>
  <c r="S32"/>
  <c r="AC31"/>
  <c r="AB31"/>
  <c r="AA31"/>
  <c r="Z31"/>
  <c r="Y31"/>
  <c r="X31"/>
  <c r="W31"/>
  <c r="V31"/>
  <c r="U31"/>
  <c r="T31"/>
  <c r="S31"/>
  <c r="AC30"/>
  <c r="AB30"/>
  <c r="AA30"/>
  <c r="Z30"/>
  <c r="Y30"/>
  <c r="X30"/>
  <c r="W30"/>
  <c r="V30"/>
  <c r="U30"/>
  <c r="T30"/>
  <c r="S30"/>
  <c r="AC29"/>
  <c r="AB29"/>
  <c r="AA29"/>
  <c r="Z29"/>
  <c r="Y29"/>
  <c r="X29"/>
  <c r="W29"/>
  <c r="V29"/>
  <c r="U29"/>
  <c r="T29"/>
  <c r="S29"/>
  <c r="AC28"/>
  <c r="AB28"/>
  <c r="AA28"/>
  <c r="Z28"/>
  <c r="Y28"/>
  <c r="X28"/>
  <c r="W28"/>
  <c r="V28"/>
  <c r="U28"/>
  <c r="T28"/>
  <c r="S28"/>
  <c r="AC27"/>
  <c r="AC60"/>
  <c r="AB27"/>
  <c r="AB60"/>
  <c r="AA27"/>
  <c r="AA60"/>
  <c r="Z27"/>
  <c r="Z60"/>
  <c r="Y27"/>
  <c r="Y60"/>
  <c r="X27"/>
  <c r="X60"/>
  <c r="W27"/>
  <c r="W60"/>
  <c r="V27"/>
  <c r="V60"/>
  <c r="U27"/>
  <c r="U60"/>
  <c r="T27"/>
  <c r="T60"/>
  <c r="S27"/>
  <c r="S60"/>
  <c r="AC26"/>
  <c r="AB26"/>
  <c r="AA26"/>
  <c r="Z26"/>
  <c r="Y26"/>
  <c r="X26"/>
  <c r="W26"/>
  <c r="V26"/>
  <c r="U26"/>
  <c r="T26"/>
  <c r="S26"/>
  <c r="AC25"/>
  <c r="AB25"/>
  <c r="AA25"/>
  <c r="Z25"/>
  <c r="Y25"/>
  <c r="X25"/>
  <c r="W25"/>
  <c r="V25"/>
  <c r="U25"/>
  <c r="T25"/>
  <c r="S25"/>
  <c r="AC24"/>
  <c r="AB24"/>
  <c r="AA24"/>
  <c r="Z24"/>
  <c r="Y24"/>
  <c r="X24"/>
  <c r="W24"/>
  <c r="V24"/>
  <c r="U24"/>
  <c r="T24"/>
  <c r="S24"/>
  <c r="AC23"/>
  <c r="AB23"/>
  <c r="AA23"/>
  <c r="Z23"/>
  <c r="Y23"/>
  <c r="X23"/>
  <c r="W23"/>
  <c r="V23"/>
  <c r="U23"/>
  <c r="T23"/>
  <c r="S23"/>
  <c r="AC22"/>
  <c r="AB22"/>
  <c r="AB59"/>
  <c r="AA22"/>
  <c r="Z22"/>
  <c r="Y22"/>
  <c r="X22"/>
  <c r="X59"/>
  <c r="W22"/>
  <c r="V22"/>
  <c r="U22"/>
  <c r="T22"/>
  <c r="T59"/>
  <c r="S22"/>
  <c r="AC21"/>
  <c r="AB21"/>
  <c r="AA21"/>
  <c r="Z21"/>
  <c r="Y21"/>
  <c r="X21"/>
  <c r="W21"/>
  <c r="V21"/>
  <c r="U21"/>
  <c r="T21"/>
  <c r="S21"/>
  <c r="AC20"/>
  <c r="AB20"/>
  <c r="AA20"/>
  <c r="Z20"/>
  <c r="Y20"/>
  <c r="X20"/>
  <c r="W20"/>
  <c r="V20"/>
  <c r="U20"/>
  <c r="T20"/>
  <c r="S20"/>
  <c r="AC19"/>
  <c r="AC57"/>
  <c r="AB19"/>
  <c r="AB57"/>
  <c r="AA19"/>
  <c r="AA57"/>
  <c r="Z19"/>
  <c r="Z57"/>
  <c r="Y19"/>
  <c r="Y57"/>
  <c r="X19"/>
  <c r="X57"/>
  <c r="W19"/>
  <c r="W57"/>
  <c r="V19"/>
  <c r="V57"/>
  <c r="U19"/>
  <c r="U57"/>
  <c r="T19"/>
  <c r="T57"/>
  <c r="S19"/>
  <c r="S57"/>
  <c r="AC18"/>
  <c r="AB18"/>
  <c r="AA18"/>
  <c r="Z18"/>
  <c r="Y18"/>
  <c r="X18"/>
  <c r="W18"/>
  <c r="V18"/>
  <c r="U18"/>
  <c r="T18"/>
  <c r="S18"/>
  <c r="AC17"/>
  <c r="AB17"/>
  <c r="AA17"/>
  <c r="AA56"/>
  <c r="Z17"/>
  <c r="Z56"/>
  <c r="Y17"/>
  <c r="X17"/>
  <c r="W17"/>
  <c r="W56"/>
  <c r="V17"/>
  <c r="V56"/>
  <c r="U17"/>
  <c r="T17"/>
  <c r="S17"/>
  <c r="S56"/>
  <c r="AC16"/>
  <c r="AB16"/>
  <c r="AA16"/>
  <c r="Z16"/>
  <c r="Y16"/>
  <c r="X16"/>
  <c r="W16"/>
  <c r="V16"/>
  <c r="U16"/>
  <c r="T16"/>
  <c r="S16"/>
  <c r="AC15"/>
  <c r="AB15"/>
  <c r="AA15"/>
  <c r="Z15"/>
  <c r="Y15"/>
  <c r="X15"/>
  <c r="W15"/>
  <c r="V15"/>
  <c r="U15"/>
  <c r="T15"/>
  <c r="S15"/>
  <c r="AC14"/>
  <c r="AB14"/>
  <c r="AA14"/>
  <c r="Z14"/>
  <c r="Y14"/>
  <c r="X14"/>
  <c r="W14"/>
  <c r="V14"/>
  <c r="U14"/>
  <c r="T14"/>
  <c r="S14"/>
  <c r="AC13"/>
  <c r="AB13"/>
  <c r="AA13"/>
  <c r="Z13"/>
  <c r="Y13"/>
  <c r="X13"/>
  <c r="W13"/>
  <c r="V13"/>
  <c r="U13"/>
  <c r="T13"/>
  <c r="S13"/>
  <c r="AC12"/>
  <c r="AC54"/>
  <c r="AB12"/>
  <c r="AB54"/>
  <c r="AA12"/>
  <c r="AA54"/>
  <c r="Z12"/>
  <c r="Z54"/>
  <c r="Y12"/>
  <c r="Y54"/>
  <c r="X12"/>
  <c r="X54"/>
  <c r="W12"/>
  <c r="W54"/>
  <c r="V12"/>
  <c r="V54"/>
  <c r="U12"/>
  <c r="T12"/>
  <c r="S12"/>
  <c r="S54"/>
  <c r="G105" i="11"/>
  <c r="T105" s="1"/>
  <c r="I105"/>
  <c r="V105" s="1"/>
  <c r="L111"/>
  <c r="Y111" s="1"/>
  <c r="M105"/>
  <c r="Z105" s="1"/>
  <c r="G111"/>
  <c r="T111" s="1"/>
  <c r="I111"/>
  <c r="V111" s="1"/>
  <c r="M111"/>
  <c r="Z111" s="1"/>
  <c r="L105"/>
  <c r="Y105" s="1"/>
  <c r="D78"/>
  <c r="D79"/>
  <c r="D81"/>
  <c r="D82"/>
  <c r="D84"/>
  <c r="D85"/>
  <c r="D87"/>
  <c r="D88"/>
  <c r="D76"/>
  <c r="F71"/>
  <c r="F70"/>
  <c r="N106"/>
  <c r="AA106" s="1"/>
  <c r="F112"/>
  <c r="S112" s="1"/>
  <c r="J113"/>
  <c r="W113" s="1"/>
  <c r="F107"/>
  <c r="S107" s="1"/>
  <c r="P87" i="12"/>
  <c r="N114"/>
  <c r="AA114" s="1"/>
  <c r="S50" i="13" s="1"/>
  <c r="G87" i="12"/>
  <c r="N100" s="1"/>
  <c r="AA100"/>
  <c r="J78"/>
  <c r="N81"/>
  <c r="J112" s="1"/>
  <c r="W112"/>
  <c r="N87"/>
  <c r="N112"/>
  <c r="AA112" s="1"/>
  <c r="I78"/>
  <c r="H105" s="1"/>
  <c r="U105" s="1"/>
  <c r="M78"/>
  <c r="I81"/>
  <c r="J105" s="1"/>
  <c r="W105" s="1"/>
  <c r="M81"/>
  <c r="J111"/>
  <c r="W111" s="1"/>
  <c r="I87"/>
  <c r="N105" s="1"/>
  <c r="AA105"/>
  <c r="M87"/>
  <c r="N111"/>
  <c r="AA111" s="1"/>
  <c r="F87"/>
  <c r="H78"/>
  <c r="H103"/>
  <c r="U103" s="1"/>
  <c r="L78"/>
  <c r="H109" s="1"/>
  <c r="U109"/>
  <c r="P78"/>
  <c r="H81"/>
  <c r="J103" s="1"/>
  <c r="W103"/>
  <c r="L81"/>
  <c r="J109"/>
  <c r="W109" s="1"/>
  <c r="P81"/>
  <c r="H87"/>
  <c r="L87"/>
  <c r="N109" s="1"/>
  <c r="AA109" s="1"/>
  <c r="F81"/>
  <c r="J96"/>
  <c r="W96" s="1"/>
  <c r="G78"/>
  <c r="H99" s="1"/>
  <c r="U99"/>
  <c r="K78"/>
  <c r="H108"/>
  <c r="U108" s="1"/>
  <c r="O78"/>
  <c r="H113" s="1"/>
  <c r="U113" s="1"/>
  <c r="G81"/>
  <c r="J102"/>
  <c r="W102" s="1"/>
  <c r="K81"/>
  <c r="J108" s="1"/>
  <c r="W108"/>
  <c r="O81"/>
  <c r="K87"/>
  <c r="N108" s="1"/>
  <c r="AA108" s="1"/>
  <c r="O87"/>
  <c r="N113"/>
  <c r="AA113" s="1"/>
  <c r="N78"/>
  <c r="H112" s="1"/>
  <c r="U112" s="1"/>
  <c r="J81"/>
  <c r="J107"/>
  <c r="W107" s="1"/>
  <c r="J87"/>
  <c r="N106" s="1"/>
  <c r="AA106"/>
  <c r="F78"/>
  <c r="H97"/>
  <c r="U97" s="1"/>
  <c r="N114" i="11"/>
  <c r="AA114" s="1"/>
  <c r="K106"/>
  <c r="X106" s="1"/>
  <c r="H114"/>
  <c r="U114" s="1"/>
  <c r="O83" i="12"/>
  <c r="K113" s="1"/>
  <c r="X113" s="1"/>
  <c r="N83"/>
  <c r="K112" s="1"/>
  <c r="X112" s="1"/>
  <c r="I83"/>
  <c r="K105" s="1"/>
  <c r="X105" s="1"/>
  <c r="J75"/>
  <c r="F83"/>
  <c r="N110" i="11"/>
  <c r="AA110" s="1"/>
  <c r="K113"/>
  <c r="X113" s="1"/>
  <c r="J111"/>
  <c r="W111" s="1"/>
  <c r="M76" i="8"/>
  <c r="J113" i="12"/>
  <c r="W113"/>
  <c r="G112"/>
  <c r="T112"/>
  <c r="I97"/>
  <c r="V97"/>
  <c r="G106"/>
  <c r="T106"/>
  <c r="U56"/>
  <c r="Y56"/>
  <c r="AC56"/>
  <c r="T62"/>
  <c r="X62"/>
  <c r="AB62"/>
  <c r="T56"/>
  <c r="X56"/>
  <c r="AB56"/>
  <c r="U59"/>
  <c r="Y59"/>
  <c r="AC59"/>
  <c r="V59"/>
  <c r="Z59"/>
  <c r="S59"/>
  <c r="W59"/>
  <c r="AA59"/>
  <c r="S62"/>
  <c r="W62"/>
  <c r="AA62"/>
  <c r="U65"/>
  <c r="Y65"/>
  <c r="AC65"/>
  <c r="V65"/>
  <c r="Z65"/>
  <c r="I101"/>
  <c r="V101" s="1"/>
  <c r="I99"/>
  <c r="V99" s="1"/>
  <c r="M101"/>
  <c r="Z101" s="1"/>
  <c r="M99"/>
  <c r="Z99" s="1"/>
  <c r="L114"/>
  <c r="Y114" s="1"/>
  <c r="S28" i="13" s="1"/>
  <c r="G96" i="12"/>
  <c r="T96" s="1"/>
  <c r="G105"/>
  <c r="T105" s="1"/>
  <c r="G111"/>
  <c r="T111" s="1"/>
  <c r="L97"/>
  <c r="Y97" s="1"/>
  <c r="L105"/>
  <c r="Y105" s="1"/>
  <c r="H107"/>
  <c r="U107" s="1"/>
  <c r="H111"/>
  <c r="U111" s="1"/>
  <c r="L113"/>
  <c r="Y113" s="1"/>
  <c r="G103"/>
  <c r="T103" s="1"/>
  <c r="G109"/>
  <c r="T109" s="1"/>
  <c r="I96"/>
  <c r="V96" s="1"/>
  <c r="M96"/>
  <c r="Z96" s="1"/>
  <c r="G97"/>
  <c r="T97" s="1"/>
  <c r="I98"/>
  <c r="V98" s="1"/>
  <c r="M98"/>
  <c r="Z98" s="1"/>
  <c r="I100"/>
  <c r="V100" s="1"/>
  <c r="M100"/>
  <c r="Z100" s="1"/>
  <c r="I102"/>
  <c r="V102" s="1"/>
  <c r="M102"/>
  <c r="Z102" s="1"/>
  <c r="I104"/>
  <c r="V104" s="1"/>
  <c r="M104"/>
  <c r="Z104" s="1"/>
  <c r="I106"/>
  <c r="V106" s="1"/>
  <c r="M106"/>
  <c r="Z106" s="1"/>
  <c r="I108"/>
  <c r="V108" s="1"/>
  <c r="M108"/>
  <c r="Z108" s="1"/>
  <c r="I110"/>
  <c r="V110" s="1"/>
  <c r="M110"/>
  <c r="Z110" s="1"/>
  <c r="I112"/>
  <c r="V112" s="1"/>
  <c r="M112"/>
  <c r="Z112" s="1"/>
  <c r="I114"/>
  <c r="V114" s="1"/>
  <c r="M114"/>
  <c r="Z114" s="1"/>
  <c r="S48" i="13"/>
  <c r="L99" i="12"/>
  <c r="Y99"/>
  <c r="L101"/>
  <c r="Y101"/>
  <c r="L103"/>
  <c r="Y103"/>
  <c r="J106"/>
  <c r="W106"/>
  <c r="L107"/>
  <c r="Y107"/>
  <c r="L109"/>
  <c r="Y109"/>
  <c r="L111"/>
  <c r="Y111"/>
  <c r="G108"/>
  <c r="T108"/>
  <c r="G113"/>
  <c r="T113"/>
  <c r="L96"/>
  <c r="Y96"/>
  <c r="L98"/>
  <c r="Y98"/>
  <c r="L100"/>
  <c r="Y100"/>
  <c r="L102"/>
  <c r="Y102"/>
  <c r="N103"/>
  <c r="AA103"/>
  <c r="H104"/>
  <c r="U104"/>
  <c r="L104"/>
  <c r="Y104"/>
  <c r="H106"/>
  <c r="U106"/>
  <c r="L106"/>
  <c r="Y106"/>
  <c r="L108"/>
  <c r="Y108"/>
  <c r="H110"/>
  <c r="U110"/>
  <c r="L110"/>
  <c r="Y110"/>
  <c r="L112"/>
  <c r="Y112"/>
  <c r="H114"/>
  <c r="U114"/>
  <c r="S43" i="13" s="1"/>
  <c r="J97" i="12"/>
  <c r="W97"/>
  <c r="S24" i="13"/>
  <c r="S34"/>
  <c r="N104" i="12"/>
  <c r="AA104" s="1"/>
  <c r="N110"/>
  <c r="AA110" s="1"/>
  <c r="H98"/>
  <c r="U98" s="1"/>
  <c r="H96"/>
  <c r="U96" s="1"/>
  <c r="S44" i="13"/>
  <c r="S38"/>
  <c r="J98" i="12"/>
  <c r="W98" s="1"/>
  <c r="J101"/>
  <c r="W101" s="1"/>
  <c r="K97"/>
  <c r="X97" s="1"/>
  <c r="H101"/>
  <c r="U101" s="1"/>
  <c r="N101"/>
  <c r="AA101" s="1"/>
  <c r="N99"/>
  <c r="AA99" s="1"/>
  <c r="J99"/>
  <c r="W99" s="1"/>
  <c r="J100"/>
  <c r="W100" s="1"/>
  <c r="H100"/>
  <c r="U100" s="1"/>
  <c r="G107"/>
  <c r="T107" s="1"/>
  <c r="G114"/>
  <c r="T114" s="1"/>
  <c r="S42" i="13" s="1"/>
  <c r="G110" i="12"/>
  <c r="T110" s="1"/>
  <c r="G104"/>
  <c r="T104" s="1"/>
  <c r="G102"/>
  <c r="T102" s="1"/>
  <c r="G100"/>
  <c r="T100" s="1"/>
  <c r="G101"/>
  <c r="T101" s="1"/>
  <c r="G99"/>
  <c r="T99" s="1"/>
  <c r="G54" i="11"/>
  <c r="H54"/>
  <c r="I54"/>
  <c r="J54"/>
  <c r="K54"/>
  <c r="L54"/>
  <c r="M54"/>
  <c r="N54"/>
  <c r="O54"/>
  <c r="P54"/>
  <c r="G56"/>
  <c r="H56"/>
  <c r="I56"/>
  <c r="J56"/>
  <c r="K56"/>
  <c r="L56"/>
  <c r="M56"/>
  <c r="N56"/>
  <c r="O56"/>
  <c r="P56"/>
  <c r="G57"/>
  <c r="H57"/>
  <c r="I57"/>
  <c r="J57"/>
  <c r="K57"/>
  <c r="L57"/>
  <c r="H110"/>
  <c r="U110" s="1"/>
  <c r="M57"/>
  <c r="N57"/>
  <c r="O57"/>
  <c r="P57"/>
  <c r="G59"/>
  <c r="H59"/>
  <c r="I59"/>
  <c r="J59"/>
  <c r="K59"/>
  <c r="L59"/>
  <c r="M59"/>
  <c r="N59"/>
  <c r="O59"/>
  <c r="P59"/>
  <c r="G60"/>
  <c r="H60"/>
  <c r="I60"/>
  <c r="J60"/>
  <c r="K60"/>
  <c r="L60"/>
  <c r="M60"/>
  <c r="N60"/>
  <c r="O60"/>
  <c r="P60"/>
  <c r="G62"/>
  <c r="H62"/>
  <c r="I62"/>
  <c r="J62"/>
  <c r="K62"/>
  <c r="L62"/>
  <c r="M62"/>
  <c r="N62"/>
  <c r="O62"/>
  <c r="P62"/>
  <c r="G63"/>
  <c r="H63"/>
  <c r="I63"/>
  <c r="J63"/>
  <c r="K63"/>
  <c r="L63"/>
  <c r="M63"/>
  <c r="N63"/>
  <c r="O63"/>
  <c r="P63"/>
  <c r="G65"/>
  <c r="H65"/>
  <c r="M104"/>
  <c r="Z104" s="1"/>
  <c r="I65"/>
  <c r="M106"/>
  <c r="Z106" s="1"/>
  <c r="J65"/>
  <c r="K65"/>
  <c r="M109"/>
  <c r="Z109" s="1"/>
  <c r="L65"/>
  <c r="M110"/>
  <c r="Z110" s="1"/>
  <c r="M65"/>
  <c r="M112"/>
  <c r="Z112" s="1"/>
  <c r="N65"/>
  <c r="M113"/>
  <c r="Z113" s="1"/>
  <c r="O65"/>
  <c r="M114"/>
  <c r="Z114" s="1"/>
  <c r="P65"/>
  <c r="G66"/>
  <c r="H66"/>
  <c r="I66"/>
  <c r="J66"/>
  <c r="K66"/>
  <c r="L66"/>
  <c r="M66"/>
  <c r="N66"/>
  <c r="O66"/>
  <c r="P66"/>
  <c r="F56"/>
  <c r="F66"/>
  <c r="F65"/>
  <c r="F63"/>
  <c r="F62"/>
  <c r="F60"/>
  <c r="F59"/>
  <c r="F57"/>
  <c r="F54"/>
  <c r="F99"/>
  <c r="S99" s="1"/>
  <c r="T12"/>
  <c r="T54"/>
  <c r="U12"/>
  <c r="U54"/>
  <c r="V12"/>
  <c r="V54"/>
  <c r="W12"/>
  <c r="W54"/>
  <c r="X12"/>
  <c r="X54"/>
  <c r="Y12"/>
  <c r="Y54"/>
  <c r="Z12"/>
  <c r="Z54"/>
  <c r="AA12"/>
  <c r="AA54"/>
  <c r="AB12"/>
  <c r="AB54"/>
  <c r="AC12"/>
  <c r="AC54"/>
  <c r="T13"/>
  <c r="U13"/>
  <c r="V13"/>
  <c r="W13"/>
  <c r="X13"/>
  <c r="Y13"/>
  <c r="Z13"/>
  <c r="AA13"/>
  <c r="AB13"/>
  <c r="AC13"/>
  <c r="T14"/>
  <c r="U14"/>
  <c r="V14"/>
  <c r="W14"/>
  <c r="X14"/>
  <c r="Y14"/>
  <c r="Z14"/>
  <c r="AA14"/>
  <c r="AB14"/>
  <c r="AC14"/>
  <c r="T15"/>
  <c r="U15"/>
  <c r="V15"/>
  <c r="W15"/>
  <c r="X15"/>
  <c r="Y15"/>
  <c r="Z15"/>
  <c r="AA15"/>
  <c r="AB15"/>
  <c r="AC15"/>
  <c r="T16"/>
  <c r="U16"/>
  <c r="V16"/>
  <c r="W16"/>
  <c r="X16"/>
  <c r="Y16"/>
  <c r="Z16"/>
  <c r="AA16"/>
  <c r="AB16"/>
  <c r="AC16"/>
  <c r="T17"/>
  <c r="T56"/>
  <c r="U17"/>
  <c r="V17"/>
  <c r="W17"/>
  <c r="X17"/>
  <c r="X56"/>
  <c r="Y17"/>
  <c r="Z17"/>
  <c r="AA17"/>
  <c r="AB17"/>
  <c r="AB56"/>
  <c r="AC17"/>
  <c r="AC56"/>
  <c r="T18"/>
  <c r="U18"/>
  <c r="V18"/>
  <c r="W18"/>
  <c r="X18"/>
  <c r="Y18"/>
  <c r="Z18"/>
  <c r="AA18"/>
  <c r="AB18"/>
  <c r="AC18"/>
  <c r="T19"/>
  <c r="T57"/>
  <c r="U19"/>
  <c r="U57"/>
  <c r="V19"/>
  <c r="V57"/>
  <c r="W19"/>
  <c r="W57"/>
  <c r="X19"/>
  <c r="X57"/>
  <c r="Y19"/>
  <c r="Y57"/>
  <c r="Z19"/>
  <c r="Z57"/>
  <c r="AA19"/>
  <c r="AA57"/>
  <c r="AB19"/>
  <c r="AB57"/>
  <c r="AC19"/>
  <c r="AC57"/>
  <c r="T20"/>
  <c r="U20"/>
  <c r="V20"/>
  <c r="W20"/>
  <c r="X20"/>
  <c r="Y20"/>
  <c r="Z20"/>
  <c r="AA20"/>
  <c r="AB20"/>
  <c r="AC20"/>
  <c r="T21"/>
  <c r="U21"/>
  <c r="V21"/>
  <c r="W21"/>
  <c r="X21"/>
  <c r="Y21"/>
  <c r="Z21"/>
  <c r="AA21"/>
  <c r="AB21"/>
  <c r="AC21"/>
  <c r="T22"/>
  <c r="U22"/>
  <c r="V22"/>
  <c r="W22"/>
  <c r="X22"/>
  <c r="Y22"/>
  <c r="Z22"/>
  <c r="AA22"/>
  <c r="AB22"/>
  <c r="AC22"/>
  <c r="T23"/>
  <c r="U23"/>
  <c r="V23"/>
  <c r="W23"/>
  <c r="X23"/>
  <c r="Y23"/>
  <c r="Z23"/>
  <c r="AA23"/>
  <c r="AB23"/>
  <c r="AC23"/>
  <c r="T24"/>
  <c r="U24"/>
  <c r="V24"/>
  <c r="W24"/>
  <c r="X24"/>
  <c r="Y24"/>
  <c r="Z24"/>
  <c r="AA24"/>
  <c r="AB24"/>
  <c r="AC24"/>
  <c r="T25"/>
  <c r="U25"/>
  <c r="V25"/>
  <c r="W25"/>
  <c r="X25"/>
  <c r="Y25"/>
  <c r="Z25"/>
  <c r="AA25"/>
  <c r="AB25"/>
  <c r="AC25"/>
  <c r="T26"/>
  <c r="U26"/>
  <c r="V26"/>
  <c r="W26"/>
  <c r="X26"/>
  <c r="Y26"/>
  <c r="Z26"/>
  <c r="AA26"/>
  <c r="AB26"/>
  <c r="AC26"/>
  <c r="T27"/>
  <c r="T60"/>
  <c r="U27"/>
  <c r="U60"/>
  <c r="V27"/>
  <c r="V60"/>
  <c r="W27"/>
  <c r="W60"/>
  <c r="X27"/>
  <c r="X60"/>
  <c r="Y27"/>
  <c r="Y60"/>
  <c r="Z27"/>
  <c r="Z60"/>
  <c r="AA27"/>
  <c r="AA60"/>
  <c r="AB27"/>
  <c r="AB60"/>
  <c r="AC27"/>
  <c r="AC60"/>
  <c r="T28"/>
  <c r="U28"/>
  <c r="V28"/>
  <c r="W28"/>
  <c r="X28"/>
  <c r="Y28"/>
  <c r="Z28"/>
  <c r="AA28"/>
  <c r="AB28"/>
  <c r="AC28"/>
  <c r="T29"/>
  <c r="U29"/>
  <c r="V29"/>
  <c r="W29"/>
  <c r="X29"/>
  <c r="Y29"/>
  <c r="Z29"/>
  <c r="AA29"/>
  <c r="AB29"/>
  <c r="AC29"/>
  <c r="T30"/>
  <c r="U30"/>
  <c r="V30"/>
  <c r="W30"/>
  <c r="X30"/>
  <c r="Y30"/>
  <c r="Z30"/>
  <c r="AA30"/>
  <c r="AB30"/>
  <c r="AC30"/>
  <c r="T31"/>
  <c r="U31"/>
  <c r="V31"/>
  <c r="W31"/>
  <c r="X31"/>
  <c r="Y31"/>
  <c r="Z31"/>
  <c r="AA31"/>
  <c r="AB31"/>
  <c r="AC31"/>
  <c r="T32"/>
  <c r="U32"/>
  <c r="V32"/>
  <c r="W32"/>
  <c r="X32"/>
  <c r="Y32"/>
  <c r="Z32"/>
  <c r="AA32"/>
  <c r="AB32"/>
  <c r="AC32"/>
  <c r="T33"/>
  <c r="U33"/>
  <c r="V33"/>
  <c r="W33"/>
  <c r="X33"/>
  <c r="Y33"/>
  <c r="Z33"/>
  <c r="AA33"/>
  <c r="AB33"/>
  <c r="AC33"/>
  <c r="T34"/>
  <c r="U34"/>
  <c r="V34"/>
  <c r="W34"/>
  <c r="X34"/>
  <c r="Y34"/>
  <c r="Z34"/>
  <c r="AA34"/>
  <c r="AB34"/>
  <c r="AC34"/>
  <c r="T35"/>
  <c r="T63"/>
  <c r="U35"/>
  <c r="U63"/>
  <c r="V35"/>
  <c r="V63"/>
  <c r="W35"/>
  <c r="W63"/>
  <c r="X35"/>
  <c r="X63"/>
  <c r="Y35"/>
  <c r="Y63"/>
  <c r="Z35"/>
  <c r="Z63"/>
  <c r="AA35"/>
  <c r="AA63"/>
  <c r="AB35"/>
  <c r="AB63"/>
  <c r="AC35"/>
  <c r="AC63"/>
  <c r="T36"/>
  <c r="U36"/>
  <c r="V36"/>
  <c r="W36"/>
  <c r="X36"/>
  <c r="Y36"/>
  <c r="Z36"/>
  <c r="AA36"/>
  <c r="AB36"/>
  <c r="AC36"/>
  <c r="T37"/>
  <c r="U37"/>
  <c r="V37"/>
  <c r="W37"/>
  <c r="X37"/>
  <c r="Y37"/>
  <c r="Z37"/>
  <c r="AA37"/>
  <c r="AB37"/>
  <c r="AC37"/>
  <c r="T38"/>
  <c r="U38"/>
  <c r="V38"/>
  <c r="W38"/>
  <c r="X38"/>
  <c r="Y38"/>
  <c r="Z38"/>
  <c r="AA38"/>
  <c r="AB38"/>
  <c r="AC38"/>
  <c r="T39"/>
  <c r="U39"/>
  <c r="V39"/>
  <c r="W39"/>
  <c r="X39"/>
  <c r="Y39"/>
  <c r="Z39"/>
  <c r="AA39"/>
  <c r="AB39"/>
  <c r="AC39"/>
  <c r="T40"/>
  <c r="T66"/>
  <c r="U40"/>
  <c r="U66"/>
  <c r="V40"/>
  <c r="V66"/>
  <c r="W40"/>
  <c r="W66"/>
  <c r="X40"/>
  <c r="X66"/>
  <c r="Y40"/>
  <c r="Y66"/>
  <c r="Z40"/>
  <c r="Z66"/>
  <c r="AA40"/>
  <c r="AA66"/>
  <c r="AB40"/>
  <c r="AB66"/>
  <c r="AC40"/>
  <c r="AC66"/>
  <c r="T41"/>
  <c r="U41"/>
  <c r="V41"/>
  <c r="W41"/>
  <c r="X41"/>
  <c r="Y41"/>
  <c r="Z41"/>
  <c r="AA41"/>
  <c r="AB41"/>
  <c r="AC41"/>
  <c r="T42"/>
  <c r="U42"/>
  <c r="V42"/>
  <c r="W42"/>
  <c r="X42"/>
  <c r="Y42"/>
  <c r="Z42"/>
  <c r="AA42"/>
  <c r="AB42"/>
  <c r="AC42"/>
  <c r="T43"/>
  <c r="U43"/>
  <c r="V43"/>
  <c r="W43"/>
  <c r="X43"/>
  <c r="Y43"/>
  <c r="Z43"/>
  <c r="AA43"/>
  <c r="AB43"/>
  <c r="AC43"/>
  <c r="T44"/>
  <c r="U44"/>
  <c r="V44"/>
  <c r="W44"/>
  <c r="X44"/>
  <c r="Y44"/>
  <c r="Z44"/>
  <c r="AA44"/>
  <c r="AB44"/>
  <c r="AC44"/>
  <c r="S13"/>
  <c r="S14"/>
  <c r="S15"/>
  <c r="S16"/>
  <c r="S17"/>
  <c r="S18"/>
  <c r="S19"/>
  <c r="S57"/>
  <c r="S20"/>
  <c r="S21"/>
  <c r="S22"/>
  <c r="S23"/>
  <c r="S24"/>
  <c r="S25"/>
  <c r="S26"/>
  <c r="S27"/>
  <c r="S60"/>
  <c r="S28"/>
  <c r="S29"/>
  <c r="S30"/>
  <c r="S31"/>
  <c r="S32"/>
  <c r="S33"/>
  <c r="S34"/>
  <c r="S35"/>
  <c r="S63"/>
  <c r="S36"/>
  <c r="S37"/>
  <c r="S38"/>
  <c r="S39"/>
  <c r="S40"/>
  <c r="S66"/>
  <c r="S41"/>
  <c r="S42"/>
  <c r="S43"/>
  <c r="S44"/>
  <c r="S12"/>
  <c r="S54"/>
  <c r="S62"/>
  <c r="AC65"/>
  <c r="Y65"/>
  <c r="U65"/>
  <c r="AC62"/>
  <c r="Y62"/>
  <c r="U62"/>
  <c r="S56"/>
  <c r="Z65"/>
  <c r="V65"/>
  <c r="Z62"/>
  <c r="V62"/>
  <c r="S65"/>
  <c r="S59"/>
  <c r="AA65"/>
  <c r="W65"/>
  <c r="AA62"/>
  <c r="W62"/>
  <c r="Y56"/>
  <c r="U56"/>
  <c r="M115"/>
  <c r="Z115" s="1"/>
  <c r="T48" i="13" s="1"/>
  <c r="AB65" i="11"/>
  <c r="X65"/>
  <c r="T65"/>
  <c r="AB62"/>
  <c r="X62"/>
  <c r="T62"/>
  <c r="L110"/>
  <c r="Y110" s="1"/>
  <c r="G110"/>
  <c r="T110" s="1"/>
  <c r="I110"/>
  <c r="V110" s="1"/>
  <c r="L104"/>
  <c r="Y104" s="1"/>
  <c r="G104"/>
  <c r="T104" s="1"/>
  <c r="I104"/>
  <c r="V104" s="1"/>
  <c r="AB59"/>
  <c r="X59"/>
  <c r="T59"/>
  <c r="Z56"/>
  <c r="V56"/>
  <c r="M99"/>
  <c r="Z99" s="1"/>
  <c r="M97"/>
  <c r="Z97" s="1"/>
  <c r="M98"/>
  <c r="Z98" s="1"/>
  <c r="I112"/>
  <c r="V112" s="1"/>
  <c r="G112"/>
  <c r="T112" s="1"/>
  <c r="L112"/>
  <c r="Y112" s="1"/>
  <c r="I106"/>
  <c r="V106" s="1"/>
  <c r="G106"/>
  <c r="T106" s="1"/>
  <c r="L106"/>
  <c r="Y106" s="1"/>
  <c r="K109"/>
  <c r="X109" s="1"/>
  <c r="AC59"/>
  <c r="Y59"/>
  <c r="U59"/>
  <c r="AA56"/>
  <c r="W56"/>
  <c r="L99"/>
  <c r="Y99" s="1"/>
  <c r="L98"/>
  <c r="Y98" s="1"/>
  <c r="L97"/>
  <c r="Y97" s="1"/>
  <c r="M107"/>
  <c r="Z107" s="1"/>
  <c r="M108"/>
  <c r="Z108" s="1"/>
  <c r="G113"/>
  <c r="T113" s="1"/>
  <c r="L113"/>
  <c r="Y113" s="1"/>
  <c r="I113"/>
  <c r="V113" s="1"/>
  <c r="Z59"/>
  <c r="V59"/>
  <c r="M103"/>
  <c r="Z103" s="1"/>
  <c r="M101"/>
  <c r="Z101" s="1"/>
  <c r="M100"/>
  <c r="Z100" s="1"/>
  <c r="M102"/>
  <c r="Z102" s="1"/>
  <c r="I114"/>
  <c r="V114" s="1"/>
  <c r="L114"/>
  <c r="Y114" s="1"/>
  <c r="G114"/>
  <c r="T114" s="1"/>
  <c r="I109"/>
  <c r="V109" s="1"/>
  <c r="G109"/>
  <c r="T109" s="1"/>
  <c r="L109"/>
  <c r="Y109" s="1"/>
  <c r="AA59"/>
  <c r="W59"/>
  <c r="G115"/>
  <c r="T115" s="1"/>
  <c r="T33" i="13" s="1"/>
  <c r="K115" i="11"/>
  <c r="X115" s="1"/>
  <c r="L115"/>
  <c r="Y115" s="1"/>
  <c r="T16" i="13" s="1"/>
  <c r="I115" i="11"/>
  <c r="V115" s="1"/>
  <c r="T35" i="13" s="1"/>
  <c r="G100" i="11"/>
  <c r="T100" s="1"/>
  <c r="G102"/>
  <c r="T102" s="1"/>
  <c r="G101"/>
  <c r="T101" s="1"/>
  <c r="G103"/>
  <c r="T103" s="1"/>
  <c r="G108"/>
  <c r="T108" s="1"/>
  <c r="G107"/>
  <c r="T107" s="1"/>
  <c r="I100"/>
  <c r="V100" s="1"/>
  <c r="I103"/>
  <c r="V103" s="1"/>
  <c r="I101"/>
  <c r="V101" s="1"/>
  <c r="I102"/>
  <c r="V102" s="1"/>
  <c r="I99"/>
  <c r="V99" s="1"/>
  <c r="I97"/>
  <c r="V97" s="1"/>
  <c r="I98"/>
  <c r="V98" s="1"/>
  <c r="L107"/>
  <c r="Y107" s="1"/>
  <c r="L108"/>
  <c r="Y108" s="1"/>
  <c r="L103"/>
  <c r="Y103" s="1"/>
  <c r="L100"/>
  <c r="Y100" s="1"/>
  <c r="L101"/>
  <c r="Y101" s="1"/>
  <c r="L102"/>
  <c r="Y102" s="1"/>
  <c r="G98"/>
  <c r="T98" s="1"/>
  <c r="G97"/>
  <c r="T97" s="1"/>
  <c r="G99"/>
  <c r="T99" s="1"/>
  <c r="I108"/>
  <c r="V108" s="1"/>
  <c r="I107"/>
  <c r="V107" s="1"/>
  <c r="AN39" i="8"/>
  <c r="AN30"/>
  <c r="AN29"/>
  <c r="AN28"/>
  <c r="AN27"/>
  <c r="AN24"/>
  <c r="AN22"/>
  <c r="AN21"/>
  <c r="AN20"/>
  <c r="AP20"/>
  <c r="AN19"/>
  <c r="AN18"/>
  <c r="AN17"/>
  <c r="AN16"/>
  <c r="AN15"/>
  <c r="AN13"/>
  <c r="AN12"/>
  <c r="D39"/>
  <c r="D40" s="1"/>
  <c r="E39"/>
  <c r="W21" s="1"/>
  <c r="F39"/>
  <c r="F40" s="1"/>
  <c r="G39"/>
  <c r="G40" s="1"/>
  <c r="H39"/>
  <c r="H40" s="1"/>
  <c r="I39"/>
  <c r="I40" s="1"/>
  <c r="J39"/>
  <c r="J40"/>
  <c r="K39"/>
  <c r="K40" s="1"/>
  <c r="L39"/>
  <c r="L40" s="1"/>
  <c r="M39"/>
  <c r="M40" s="1"/>
  <c r="N39"/>
  <c r="N40"/>
  <c r="O39"/>
  <c r="O40" s="1"/>
  <c r="P39"/>
  <c r="P40" s="1"/>
  <c r="Q39"/>
  <c r="Q40"/>
  <c r="R39"/>
  <c r="R40" s="1"/>
  <c r="S39"/>
  <c r="S40" s="1"/>
  <c r="T39"/>
  <c r="T40" s="1"/>
  <c r="U39"/>
  <c r="U40"/>
  <c r="F223" i="1"/>
  <c r="G223"/>
  <c r="O223"/>
  <c r="M223"/>
  <c r="E223"/>
  <c r="D223"/>
  <c r="L221"/>
  <c r="K221"/>
  <c r="L220"/>
  <c r="K220"/>
  <c r="L219"/>
  <c r="K219"/>
  <c r="K218"/>
  <c r="H218"/>
  <c r="L218"/>
  <c r="L217"/>
  <c r="K217"/>
  <c r="L216"/>
  <c r="K216"/>
  <c r="L215"/>
  <c r="K215"/>
  <c r="L214"/>
  <c r="K214"/>
  <c r="L213"/>
  <c r="K213"/>
  <c r="K212"/>
  <c r="H212"/>
  <c r="L212"/>
  <c r="L211"/>
  <c r="K211"/>
  <c r="L210"/>
  <c r="K210"/>
  <c r="L209"/>
  <c r="K209"/>
  <c r="L208"/>
  <c r="K208"/>
  <c r="L207"/>
  <c r="K207"/>
  <c r="L206"/>
  <c r="K206"/>
  <c r="L205"/>
  <c r="K205"/>
  <c r="L204"/>
  <c r="L223"/>
  <c r="K204"/>
  <c r="K223"/>
  <c r="U17"/>
  <c r="T17"/>
  <c r="S17"/>
  <c r="R17"/>
  <c r="Q17"/>
  <c r="P17"/>
  <c r="G162"/>
  <c r="K162"/>
  <c r="O17"/>
  <c r="M17"/>
  <c r="L17"/>
  <c r="K17"/>
  <c r="S188"/>
  <c r="I17"/>
  <c r="S174"/>
  <c r="F17"/>
  <c r="S175"/>
  <c r="E17"/>
  <c r="S179"/>
  <c r="S189"/>
  <c r="H17"/>
  <c r="S190"/>
  <c r="G17"/>
  <c r="S187"/>
  <c r="J17"/>
  <c r="S176"/>
  <c r="D17"/>
  <c r="K189"/>
  <c r="I189"/>
  <c r="K177"/>
  <c r="I177"/>
  <c r="K175"/>
  <c r="I175"/>
  <c r="K174"/>
  <c r="H165"/>
  <c r="G165"/>
  <c r="H164"/>
  <c r="G164"/>
  <c r="H163"/>
  <c r="G163"/>
  <c r="K163"/>
  <c r="N17"/>
  <c r="H162"/>
  <c r="H161"/>
  <c r="G161"/>
  <c r="H160"/>
  <c r="G160"/>
  <c r="H159"/>
  <c r="G159"/>
  <c r="H158"/>
  <c r="G158"/>
  <c r="H157"/>
  <c r="G157"/>
  <c r="H156"/>
  <c r="G156"/>
  <c r="H155"/>
  <c r="G155"/>
  <c r="H149"/>
  <c r="G149"/>
  <c r="H148"/>
  <c r="G148"/>
  <c r="H147"/>
  <c r="G147"/>
  <c r="H146"/>
  <c r="G146"/>
  <c r="H145"/>
  <c r="G145"/>
  <c r="H144"/>
  <c r="G144"/>
  <c r="H143"/>
  <c r="G143"/>
  <c r="H142"/>
  <c r="G142"/>
  <c r="K140"/>
  <c r="H141"/>
  <c r="G141"/>
  <c r="H140"/>
  <c r="G140"/>
  <c r="H139"/>
  <c r="G139"/>
  <c r="H138"/>
  <c r="G138"/>
  <c r="W17"/>
  <c r="H223"/>
  <c r="R12"/>
  <c r="L12"/>
  <c r="W58"/>
  <c r="V117"/>
  <c r="W117"/>
  <c r="X117"/>
  <c r="Y117"/>
  <c r="Z117"/>
  <c r="AA117"/>
  <c r="V118"/>
  <c r="W118"/>
  <c r="X118"/>
  <c r="Y118"/>
  <c r="Z118"/>
  <c r="AA118"/>
  <c r="V119"/>
  <c r="W119"/>
  <c r="X119"/>
  <c r="Y119"/>
  <c r="Z119"/>
  <c r="AA119"/>
  <c r="V120"/>
  <c r="W120"/>
  <c r="X120"/>
  <c r="Y120"/>
  <c r="Z120"/>
  <c r="AA120"/>
  <c r="V121"/>
  <c r="W121"/>
  <c r="X121"/>
  <c r="Y121"/>
  <c r="Z121"/>
  <c r="AA121"/>
  <c r="V122"/>
  <c r="W122"/>
  <c r="X122"/>
  <c r="Y122"/>
  <c r="Z122"/>
  <c r="AA122"/>
  <c r="V123"/>
  <c r="W123"/>
  <c r="X123"/>
  <c r="Y123"/>
  <c r="Z123"/>
  <c r="AA123"/>
  <c r="V124"/>
  <c r="W124"/>
  <c r="X124"/>
  <c r="Y124"/>
  <c r="Z124"/>
  <c r="AA124"/>
  <c r="V125"/>
  <c r="W125"/>
  <c r="X125"/>
  <c r="Y125"/>
  <c r="Z125"/>
  <c r="AA125"/>
  <c r="V126"/>
  <c r="W126"/>
  <c r="X126"/>
  <c r="Y126"/>
  <c r="Z126"/>
  <c r="AA126"/>
  <c r="V127"/>
  <c r="W127"/>
  <c r="X127"/>
  <c r="Y127"/>
  <c r="Z127"/>
  <c r="AA127"/>
  <c r="U118"/>
  <c r="U119"/>
  <c r="U120"/>
  <c r="AB120"/>
  <c r="U121"/>
  <c r="U122"/>
  <c r="U123"/>
  <c r="U124"/>
  <c r="AB124"/>
  <c r="U125"/>
  <c r="U126"/>
  <c r="U127"/>
  <c r="U117"/>
  <c r="AB121"/>
  <c r="AB127"/>
  <c r="AB123"/>
  <c r="AB119"/>
  <c r="AB125"/>
  <c r="AB126"/>
  <c r="AB122"/>
  <c r="AB118"/>
  <c r="AB117"/>
  <c r="AB129"/>
  <c r="AD9"/>
  <c r="R120"/>
  <c r="AD10"/>
  <c r="AD11"/>
  <c r="R121"/>
  <c r="AD12"/>
  <c r="R122"/>
  <c r="AD13"/>
  <c r="R123"/>
  <c r="AD14"/>
  <c r="R124"/>
  <c r="AD15"/>
  <c r="R119"/>
  <c r="AD16"/>
  <c r="R125"/>
  <c r="AD17"/>
  <c r="R126"/>
  <c r="AD18"/>
  <c r="AD19"/>
  <c r="R127"/>
  <c r="AD20"/>
  <c r="R117"/>
  <c r="AD7"/>
  <c r="R118"/>
  <c r="W129"/>
  <c r="Z129"/>
  <c r="AA129"/>
  <c r="V129"/>
  <c r="Y129"/>
  <c r="X129"/>
  <c r="U129"/>
  <c r="E66"/>
  <c r="F66"/>
  <c r="G66"/>
  <c r="H66"/>
  <c r="I66"/>
  <c r="J66"/>
  <c r="K66"/>
  <c r="L66"/>
  <c r="M66"/>
  <c r="N66"/>
  <c r="O66"/>
  <c r="P66"/>
  <c r="Q66"/>
  <c r="R66"/>
  <c r="S66"/>
  <c r="T66"/>
  <c r="U66"/>
  <c r="D66"/>
  <c r="W6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7"/>
  <c r="W34"/>
  <c r="W21"/>
  <c r="W9"/>
  <c r="AX131" i="5"/>
  <c r="AP154"/>
  <c r="H80" i="8"/>
  <c r="H76"/>
  <c r="H72"/>
  <c r="H64"/>
  <c r="H63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E30" i="1"/>
  <c r="F30"/>
  <c r="G30"/>
  <c r="H30"/>
  <c r="I30"/>
  <c r="J30"/>
  <c r="K30"/>
  <c r="L30"/>
  <c r="M30"/>
  <c r="N30"/>
  <c r="O30"/>
  <c r="P30"/>
  <c r="Q30"/>
  <c r="R30"/>
  <c r="S30"/>
  <c r="T30"/>
  <c r="U30"/>
  <c r="D30"/>
  <c r="W30"/>
  <c r="F97" i="7"/>
  <c r="F96"/>
  <c r="F95"/>
  <c r="F94"/>
  <c r="F93"/>
  <c r="F92"/>
  <c r="F91"/>
  <c r="F90"/>
  <c r="F89"/>
  <c r="F88"/>
  <c r="F87"/>
  <c r="F78"/>
  <c r="F77"/>
  <c r="F76"/>
  <c r="F75"/>
  <c r="F74"/>
  <c r="F73"/>
  <c r="F72"/>
  <c r="F71"/>
  <c r="F70"/>
  <c r="F69"/>
  <c r="F68"/>
  <c r="AO55"/>
  <c r="V20"/>
  <c r="S20"/>
  <c r="W20"/>
  <c r="K20"/>
  <c r="G20"/>
  <c r="F20"/>
  <c r="AD19"/>
  <c r="AB19"/>
  <c r="AC19"/>
  <c r="X19"/>
  <c r="Y19"/>
  <c r="W19"/>
  <c r="V19"/>
  <c r="S19"/>
  <c r="AE19"/>
  <c r="K19"/>
  <c r="G19"/>
  <c r="F19"/>
  <c r="AC18"/>
  <c r="AB18"/>
  <c r="AD18"/>
  <c r="W18"/>
  <c r="V18"/>
  <c r="S18"/>
  <c r="X18"/>
  <c r="Y18"/>
  <c r="K18"/>
  <c r="G18"/>
  <c r="F18"/>
  <c r="AB17"/>
  <c r="AC17"/>
  <c r="X17"/>
  <c r="Y17"/>
  <c r="V17"/>
  <c r="S17"/>
  <c r="W17"/>
  <c r="K17"/>
  <c r="G17"/>
  <c r="F17"/>
  <c r="AD16"/>
  <c r="AC16"/>
  <c r="AB16"/>
  <c r="V16"/>
  <c r="S16"/>
  <c r="W16"/>
  <c r="K16"/>
  <c r="G16"/>
  <c r="F16"/>
  <c r="AD15"/>
  <c r="AB15"/>
  <c r="AC15"/>
  <c r="X15"/>
  <c r="Y15"/>
  <c r="W15"/>
  <c r="V15"/>
  <c r="S15"/>
  <c r="AE15"/>
  <c r="K15"/>
  <c r="G15"/>
  <c r="F15"/>
  <c r="AC14"/>
  <c r="AB14"/>
  <c r="AD14"/>
  <c r="W14"/>
  <c r="V14"/>
  <c r="S14"/>
  <c r="X14"/>
  <c r="Y14"/>
  <c r="K14"/>
  <c r="G14"/>
  <c r="F14"/>
  <c r="AB13"/>
  <c r="AC13"/>
  <c r="X13"/>
  <c r="Y13"/>
  <c r="V13"/>
  <c r="S13"/>
  <c r="W13"/>
  <c r="K13"/>
  <c r="G13"/>
  <c r="F13"/>
  <c r="AC12"/>
  <c r="AB12"/>
  <c r="AD12"/>
  <c r="V12"/>
  <c r="S12"/>
  <c r="W12"/>
  <c r="K12"/>
  <c r="G12"/>
  <c r="F12"/>
  <c r="AD11"/>
  <c r="AB11"/>
  <c r="AC11"/>
  <c r="X11"/>
  <c r="Y11"/>
  <c r="V11"/>
  <c r="S11"/>
  <c r="AE11"/>
  <c r="K11"/>
  <c r="G11"/>
  <c r="F11"/>
  <c r="AC10"/>
  <c r="AB10"/>
  <c r="AB20"/>
  <c r="W10"/>
  <c r="V10"/>
  <c r="S10"/>
  <c r="X10"/>
  <c r="Y10"/>
  <c r="K10"/>
  <c r="G10"/>
  <c r="F10"/>
  <c r="AH9"/>
  <c r="AG9"/>
  <c r="AF15"/>
  <c r="AF19"/>
  <c r="AF14"/>
  <c r="AC20"/>
  <c r="AF11"/>
  <c r="AE12"/>
  <c r="AF12"/>
  <c r="AE16"/>
  <c r="AF16"/>
  <c r="W11"/>
  <c r="X12"/>
  <c r="Y12"/>
  <c r="AE13"/>
  <c r="X16"/>
  <c r="Y16"/>
  <c r="AE17"/>
  <c r="X20"/>
  <c r="Y20"/>
  <c r="AE10"/>
  <c r="AD13"/>
  <c r="AE14"/>
  <c r="AD17"/>
  <c r="AF17"/>
  <c r="AE18"/>
  <c r="AF18"/>
  <c r="AD10"/>
  <c r="AH18"/>
  <c r="AG18"/>
  <c r="AG12"/>
  <c r="AH12"/>
  <c r="AG16"/>
  <c r="AH16"/>
  <c r="AE20"/>
  <c r="AF13"/>
  <c r="AG15"/>
  <c r="AH15"/>
  <c r="AD20"/>
  <c r="AF10"/>
  <c r="AG19"/>
  <c r="AH19"/>
  <c r="AH14"/>
  <c r="AG14"/>
  <c r="AG17"/>
  <c r="AH17"/>
  <c r="AG11"/>
  <c r="AH11"/>
  <c r="AF20"/>
  <c r="AB23"/>
  <c r="AD22"/>
  <c r="AE22"/>
  <c r="AB24"/>
  <c r="AH10"/>
  <c r="AG10"/>
  <c r="AG13"/>
  <c r="AH13"/>
  <c r="AB25"/>
  <c r="AF22"/>
  <c r="AG20"/>
  <c r="AH20"/>
  <c r="I35" i="6"/>
  <c r="I36"/>
  <c r="I37"/>
  <c r="I38"/>
  <c r="I39"/>
  <c r="I40"/>
  <c r="I34"/>
  <c r="I65"/>
  <c r="I66"/>
  <c r="I67"/>
  <c r="I68"/>
  <c r="I69"/>
  <c r="I70"/>
  <c r="I64"/>
  <c r="I55"/>
  <c r="I56"/>
  <c r="I57"/>
  <c r="I58"/>
  <c r="I59"/>
  <c r="I60"/>
  <c r="I54"/>
  <c r="I25"/>
  <c r="I26"/>
  <c r="I27"/>
  <c r="I28"/>
  <c r="I29"/>
  <c r="I30"/>
  <c r="I24"/>
  <c r="H8"/>
  <c r="H9"/>
  <c r="H10"/>
  <c r="H11"/>
  <c r="H12"/>
  <c r="H13"/>
  <c r="H14"/>
  <c r="H15"/>
  <c r="H16"/>
  <c r="H17"/>
  <c r="H7"/>
  <c r="R25" i="1"/>
  <c r="L25"/>
  <c r="H24"/>
  <c r="BB82" i="5" a="1"/>
  <c r="BB84"/>
  <c r="BA82" a="1"/>
  <c r="BA84"/>
  <c r="AO154"/>
  <c r="AW131"/>
  <c r="AW130"/>
  <c r="AO153"/>
  <c r="BB85"/>
  <c r="BB97"/>
  <c r="BB89"/>
  <c r="BB93"/>
  <c r="BB98"/>
  <c r="BB94"/>
  <c r="BB90"/>
  <c r="BB86"/>
  <c r="BB82"/>
  <c r="BB99"/>
  <c r="BB95"/>
  <c r="BB91"/>
  <c r="BB87"/>
  <c r="BB83"/>
  <c r="BB100"/>
  <c r="BB96"/>
  <c r="BB92"/>
  <c r="BB88"/>
  <c r="BA98"/>
  <c r="BA94"/>
  <c r="BA90"/>
  <c r="BA86"/>
  <c r="BA82"/>
  <c r="BA99"/>
  <c r="BA95"/>
  <c r="BA91"/>
  <c r="BA87"/>
  <c r="BA83"/>
  <c r="BA97"/>
  <c r="BA93"/>
  <c r="BA89"/>
  <c r="BA85"/>
  <c r="BA100"/>
  <c r="BA96"/>
  <c r="BA92"/>
  <c r="BA88"/>
  <c r="E25" i="1"/>
  <c r="F25"/>
  <c r="G25"/>
  <c r="H25"/>
  <c r="I25"/>
  <c r="J25"/>
  <c r="K25"/>
  <c r="M25"/>
  <c r="N25"/>
  <c r="O25"/>
  <c r="P25"/>
  <c r="Q25"/>
  <c r="S25"/>
  <c r="T25"/>
  <c r="U25"/>
  <c r="D25"/>
  <c r="R117" i="5"/>
  <c r="K133"/>
  <c r="H192" a="1"/>
  <c r="H192"/>
  <c r="Q197"/>
  <c r="W196"/>
  <c r="K185"/>
  <c r="L69"/>
  <c r="K69"/>
  <c r="J69"/>
  <c r="I69"/>
  <c r="H69"/>
  <c r="G69"/>
  <c r="F69"/>
  <c r="E69"/>
  <c r="D69"/>
  <c r="C69"/>
  <c r="B69"/>
  <c r="L68"/>
  <c r="K68"/>
  <c r="J68"/>
  <c r="I68"/>
  <c r="H68"/>
  <c r="G68"/>
  <c r="F68"/>
  <c r="E68"/>
  <c r="D68"/>
  <c r="C68"/>
  <c r="B68"/>
  <c r="L67"/>
  <c r="K67"/>
  <c r="J67"/>
  <c r="I67"/>
  <c r="H67"/>
  <c r="G67"/>
  <c r="F67"/>
  <c r="E67"/>
  <c r="D67"/>
  <c r="C67"/>
  <c r="B67"/>
  <c r="L66"/>
  <c r="K66"/>
  <c r="J66"/>
  <c r="I66"/>
  <c r="H66"/>
  <c r="G66"/>
  <c r="F66"/>
  <c r="E66"/>
  <c r="D66"/>
  <c r="C66"/>
  <c r="B66"/>
  <c r="L65"/>
  <c r="K65"/>
  <c r="J65"/>
  <c r="I65"/>
  <c r="H65"/>
  <c r="G65"/>
  <c r="F65"/>
  <c r="E65"/>
  <c r="D65"/>
  <c r="C65"/>
  <c r="B65"/>
  <c r="L64"/>
  <c r="K64"/>
  <c r="J64"/>
  <c r="I64"/>
  <c r="H64"/>
  <c r="G64"/>
  <c r="F64"/>
  <c r="E64"/>
  <c r="D64"/>
  <c r="C64"/>
  <c r="B64"/>
  <c r="L63"/>
  <c r="K63"/>
  <c r="J63"/>
  <c r="I63"/>
  <c r="H63"/>
  <c r="G63"/>
  <c r="F63"/>
  <c r="E63"/>
  <c r="D63"/>
  <c r="C63"/>
  <c r="B63"/>
  <c r="L62"/>
  <c r="K62"/>
  <c r="J62"/>
  <c r="I62"/>
  <c r="H62"/>
  <c r="G62"/>
  <c r="F62"/>
  <c r="E62"/>
  <c r="D62"/>
  <c r="C62"/>
  <c r="B62"/>
  <c r="L61"/>
  <c r="K61"/>
  <c r="J61"/>
  <c r="I61"/>
  <c r="H61"/>
  <c r="G61"/>
  <c r="F61"/>
  <c r="E61"/>
  <c r="D61"/>
  <c r="C61"/>
  <c r="B61"/>
  <c r="L60"/>
  <c r="K60"/>
  <c r="J60"/>
  <c r="I60"/>
  <c r="H60"/>
  <c r="G60"/>
  <c r="F60"/>
  <c r="E60"/>
  <c r="D60"/>
  <c r="C60"/>
  <c r="B60"/>
  <c r="L59"/>
  <c r="K59"/>
  <c r="J59"/>
  <c r="I59"/>
  <c r="H59"/>
  <c r="G59"/>
  <c r="F59"/>
  <c r="E59"/>
  <c r="D59"/>
  <c r="C59"/>
  <c r="B59"/>
  <c r="L58"/>
  <c r="K58"/>
  <c r="J58"/>
  <c r="I58"/>
  <c r="H58"/>
  <c r="G58"/>
  <c r="F58"/>
  <c r="E58"/>
  <c r="D58"/>
  <c r="C58"/>
  <c r="B58"/>
  <c r="L57"/>
  <c r="K57"/>
  <c r="J57"/>
  <c r="I57"/>
  <c r="H57"/>
  <c r="G57"/>
  <c r="F57"/>
  <c r="E57"/>
  <c r="D57"/>
  <c r="C57"/>
  <c r="B57"/>
  <c r="L56"/>
  <c r="K56"/>
  <c r="J56"/>
  <c r="I56"/>
  <c r="H56"/>
  <c r="G56"/>
  <c r="F56"/>
  <c r="E56"/>
  <c r="D56"/>
  <c r="C56"/>
  <c r="B56"/>
  <c r="L55"/>
  <c r="K55"/>
  <c r="J55"/>
  <c r="I55"/>
  <c r="H55"/>
  <c r="G55"/>
  <c r="F55"/>
  <c r="E55"/>
  <c r="D55"/>
  <c r="C55"/>
  <c r="B55"/>
  <c r="L54"/>
  <c r="K54"/>
  <c r="J54"/>
  <c r="I54"/>
  <c r="H54"/>
  <c r="G54"/>
  <c r="F54"/>
  <c r="E54"/>
  <c r="D54"/>
  <c r="C54"/>
  <c r="B54"/>
  <c r="L53"/>
  <c r="K53"/>
  <c r="J53"/>
  <c r="I53"/>
  <c r="H53"/>
  <c r="G53"/>
  <c r="F53"/>
  <c r="E53"/>
  <c r="D53"/>
  <c r="C53"/>
  <c r="B53"/>
  <c r="L52"/>
  <c r="K52"/>
  <c r="J52"/>
  <c r="I52"/>
  <c r="H52"/>
  <c r="G52"/>
  <c r="F52"/>
  <c r="E52"/>
  <c r="D52"/>
  <c r="C52"/>
  <c r="B52"/>
  <c r="L51"/>
  <c r="K51"/>
  <c r="J51"/>
  <c r="I51"/>
  <c r="H51"/>
  <c r="G51"/>
  <c r="F51"/>
  <c r="E51"/>
  <c r="D51"/>
  <c r="C51"/>
  <c r="B51"/>
  <c r="L50"/>
  <c r="K50"/>
  <c r="J50"/>
  <c r="I50"/>
  <c r="H50"/>
  <c r="G50"/>
  <c r="F50"/>
  <c r="E50"/>
  <c r="D50"/>
  <c r="C50"/>
  <c r="B50"/>
  <c r="L49"/>
  <c r="K49"/>
  <c r="J49"/>
  <c r="I49"/>
  <c r="H49"/>
  <c r="G49"/>
  <c r="F49"/>
  <c r="E49"/>
  <c r="D49"/>
  <c r="C49"/>
  <c r="B49"/>
  <c r="L48"/>
  <c r="K48"/>
  <c r="J48"/>
  <c r="I48"/>
  <c r="H48"/>
  <c r="G48"/>
  <c r="F48"/>
  <c r="E48"/>
  <c r="D48"/>
  <c r="C48"/>
  <c r="B48"/>
  <c r="L47"/>
  <c r="K47"/>
  <c r="J47"/>
  <c r="I47"/>
  <c r="H47"/>
  <c r="G47"/>
  <c r="F47"/>
  <c r="E47"/>
  <c r="D47"/>
  <c r="C47"/>
  <c r="B47"/>
  <c r="L46"/>
  <c r="K46"/>
  <c r="J46"/>
  <c r="I46"/>
  <c r="H46"/>
  <c r="G46"/>
  <c r="F46"/>
  <c r="E46"/>
  <c r="D46"/>
  <c r="C46"/>
  <c r="B46"/>
  <c r="L45"/>
  <c r="K45"/>
  <c r="J45"/>
  <c r="I45"/>
  <c r="H45"/>
  <c r="G45"/>
  <c r="F45"/>
  <c r="E45"/>
  <c r="D45"/>
  <c r="C45"/>
  <c r="B45"/>
  <c r="L44"/>
  <c r="K44"/>
  <c r="J44"/>
  <c r="I44"/>
  <c r="H44"/>
  <c r="G44"/>
  <c r="F44"/>
  <c r="E44"/>
  <c r="D44"/>
  <c r="C44"/>
  <c r="B44"/>
  <c r="L43"/>
  <c r="K43"/>
  <c r="J43"/>
  <c r="I43"/>
  <c r="H43"/>
  <c r="G43"/>
  <c r="F43"/>
  <c r="E43"/>
  <c r="D43"/>
  <c r="C43"/>
  <c r="B43"/>
  <c r="L42"/>
  <c r="K42"/>
  <c r="J42"/>
  <c r="I42"/>
  <c r="H42"/>
  <c r="G42"/>
  <c r="F42"/>
  <c r="E42"/>
  <c r="D42"/>
  <c r="C42"/>
  <c r="B42"/>
  <c r="W25" i="1"/>
  <c r="H207" i="5"/>
  <c r="H202"/>
  <c r="H197"/>
  <c r="H209"/>
  <c r="H203"/>
  <c r="H198"/>
  <c r="H193"/>
  <c r="H210"/>
  <c r="H205"/>
  <c r="H199"/>
  <c r="H194"/>
  <c r="H211"/>
  <c r="H206"/>
  <c r="H201"/>
  <c r="H195"/>
  <c r="H208"/>
  <c r="H204"/>
  <c r="H200"/>
  <c r="H196"/>
  <c r="D44" i="3"/>
  <c r="E44"/>
  <c r="F44"/>
  <c r="G44"/>
  <c r="H44"/>
  <c r="I44"/>
  <c r="J44"/>
  <c r="K44"/>
  <c r="L44"/>
  <c r="M44"/>
  <c r="D45"/>
  <c r="E45"/>
  <c r="F45"/>
  <c r="G45"/>
  <c r="H45"/>
  <c r="I45"/>
  <c r="J45"/>
  <c r="K45"/>
  <c r="L45"/>
  <c r="M45"/>
  <c r="D46"/>
  <c r="E46"/>
  <c r="F46"/>
  <c r="G46"/>
  <c r="H46"/>
  <c r="I46"/>
  <c r="J46"/>
  <c r="K46"/>
  <c r="L46"/>
  <c r="M46"/>
  <c r="D47"/>
  <c r="E47"/>
  <c r="F47"/>
  <c r="G47"/>
  <c r="H47"/>
  <c r="I47"/>
  <c r="J47"/>
  <c r="K47"/>
  <c r="L47"/>
  <c r="M47"/>
  <c r="G48"/>
  <c r="H48"/>
  <c r="E49"/>
  <c r="F49"/>
  <c r="M49"/>
  <c r="D50"/>
  <c r="K50"/>
  <c r="L50"/>
  <c r="D51"/>
  <c r="E51"/>
  <c r="F51"/>
  <c r="G51"/>
  <c r="H51"/>
  <c r="I51"/>
  <c r="J51"/>
  <c r="K51"/>
  <c r="L51"/>
  <c r="M51"/>
  <c r="D52"/>
  <c r="E52"/>
  <c r="F52"/>
  <c r="G52"/>
  <c r="H52"/>
  <c r="I52"/>
  <c r="J52"/>
  <c r="K52"/>
  <c r="L52"/>
  <c r="M52"/>
  <c r="D53"/>
  <c r="E53"/>
  <c r="F53"/>
  <c r="G53"/>
  <c r="H53"/>
  <c r="I53"/>
  <c r="J53"/>
  <c r="K53"/>
  <c r="L53"/>
  <c r="M53"/>
  <c r="C48"/>
  <c r="C52"/>
  <c r="C53"/>
  <c r="C51"/>
  <c r="D39"/>
  <c r="E39"/>
  <c r="F39"/>
  <c r="G39"/>
  <c r="H39"/>
  <c r="I39"/>
  <c r="J39"/>
  <c r="K39"/>
  <c r="L39"/>
  <c r="M39"/>
  <c r="D40"/>
  <c r="E40"/>
  <c r="F40"/>
  <c r="G40"/>
  <c r="H40"/>
  <c r="I40"/>
  <c r="J40"/>
  <c r="K40"/>
  <c r="L40"/>
  <c r="M40"/>
  <c r="C40"/>
  <c r="C39"/>
  <c r="D35"/>
  <c r="D48"/>
  <c r="E35"/>
  <c r="E48"/>
  <c r="F35"/>
  <c r="F48"/>
  <c r="G35"/>
  <c r="H35"/>
  <c r="I35"/>
  <c r="I48"/>
  <c r="J35"/>
  <c r="J48"/>
  <c r="K35"/>
  <c r="K48"/>
  <c r="L35"/>
  <c r="L48"/>
  <c r="M35"/>
  <c r="M48"/>
  <c r="D36"/>
  <c r="D49"/>
  <c r="E36"/>
  <c r="F36"/>
  <c r="G36"/>
  <c r="G49"/>
  <c r="H36"/>
  <c r="H49"/>
  <c r="I36"/>
  <c r="I49"/>
  <c r="J36"/>
  <c r="J49"/>
  <c r="K36"/>
  <c r="K49"/>
  <c r="L36"/>
  <c r="L49"/>
  <c r="M36"/>
  <c r="D37"/>
  <c r="E37"/>
  <c r="E50"/>
  <c r="F37"/>
  <c r="F50"/>
  <c r="G37"/>
  <c r="G50"/>
  <c r="H37"/>
  <c r="H50"/>
  <c r="I37"/>
  <c r="I50"/>
  <c r="J37"/>
  <c r="J50"/>
  <c r="K37"/>
  <c r="L37"/>
  <c r="M37"/>
  <c r="M50"/>
  <c r="C36"/>
  <c r="C49"/>
  <c r="C37"/>
  <c r="C50"/>
  <c r="C35"/>
  <c r="C47"/>
  <c r="C46"/>
  <c r="C45"/>
  <c r="C44"/>
  <c r="H29" i="1"/>
  <c r="M55" i="3"/>
  <c r="I55"/>
  <c r="E55"/>
  <c r="K55"/>
  <c r="G55"/>
  <c r="J55"/>
  <c r="F55"/>
  <c r="L55"/>
  <c r="H55"/>
  <c r="D55"/>
  <c r="C55"/>
  <c r="M78" i="8" l="1"/>
  <c r="H74"/>
  <c r="M66"/>
  <c r="H68"/>
  <c r="H79"/>
  <c r="E40"/>
  <c r="D35" s="1"/>
  <c r="M74"/>
  <c r="M70"/>
  <c r="H78"/>
  <c r="H70"/>
  <c r="H66"/>
  <c r="M79"/>
  <c r="M75"/>
  <c r="H71"/>
  <c r="M67"/>
  <c r="M63"/>
  <c r="T44" i="13"/>
  <c r="T27"/>
  <c r="T23"/>
  <c r="BA47" i="1"/>
  <c r="BA46"/>
  <c r="BA49" s="1"/>
  <c r="BB47"/>
  <c r="BD49"/>
  <c r="AW49"/>
  <c r="BC47"/>
  <c r="AZ49"/>
  <c r="T39"/>
  <c r="T26"/>
  <c r="R26"/>
  <c r="P15"/>
  <c r="P59" s="1"/>
  <c r="N31"/>
  <c r="N35" s="1"/>
  <c r="L16"/>
  <c r="J31"/>
  <c r="J35" s="1"/>
  <c r="H26"/>
  <c r="D26"/>
  <c r="J26"/>
  <c r="L39"/>
  <c r="L26"/>
  <c r="T15"/>
  <c r="T59" s="1"/>
  <c r="N26"/>
  <c r="P16"/>
  <c r="S26"/>
  <c r="Q16"/>
  <c r="K31"/>
  <c r="K35" s="1"/>
  <c r="I26"/>
  <c r="G26"/>
  <c r="E39"/>
  <c r="D45" i="8"/>
  <c r="T30"/>
  <c r="T41" s="1"/>
  <c r="F45"/>
  <c r="N16" i="1"/>
  <c r="P26"/>
  <c r="E26"/>
  <c r="F23" i="8"/>
  <c r="U45"/>
  <c r="K24"/>
  <c r="G24"/>
  <c r="I31" i="1"/>
  <c r="I35" s="1"/>
  <c r="G22" i="8"/>
  <c r="K22"/>
  <c r="K26" i="1"/>
  <c r="M39"/>
  <c r="F22" i="8"/>
  <c r="F14"/>
  <c r="R14"/>
  <c r="N14"/>
  <c r="J14"/>
  <c r="E45"/>
  <c r="G16" i="1"/>
  <c r="D39"/>
  <c r="T16"/>
  <c r="H15"/>
  <c r="H59" s="1"/>
  <c r="F39"/>
  <c r="D15"/>
  <c r="D59" s="1"/>
  <c r="O15"/>
  <c r="O59" s="1"/>
  <c r="K16"/>
  <c r="S24" i="8"/>
  <c r="D16" i="1"/>
  <c r="R45" i="8"/>
  <c r="D22"/>
  <c r="R23"/>
  <c r="O23"/>
  <c r="M24"/>
  <c r="K23"/>
  <c r="I24"/>
  <c r="G23"/>
  <c r="J16" i="1"/>
  <c r="Q26"/>
  <c r="O26"/>
  <c r="M26"/>
  <c r="N39"/>
  <c r="H39"/>
  <c r="U26"/>
  <c r="R31"/>
  <c r="R35" s="1"/>
  <c r="L15"/>
  <c r="L59" s="1"/>
  <c r="I16"/>
  <c r="G39"/>
  <c r="D31"/>
  <c r="D35" s="1"/>
  <c r="T22" i="8"/>
  <c r="J23"/>
  <c r="D30"/>
  <c r="D41" s="1"/>
  <c r="H16" i="1"/>
  <c r="F31"/>
  <c r="F35" s="1"/>
  <c r="S15"/>
  <c r="S59" s="1"/>
  <c r="W7"/>
  <c r="R30" i="8"/>
  <c r="R41" s="1"/>
  <c r="N24"/>
  <c r="E31" i="1"/>
  <c r="E35" s="1"/>
  <c r="P39"/>
  <c r="J39"/>
  <c r="M16"/>
  <c r="F26"/>
  <c r="H73" i="8"/>
  <c r="D14"/>
  <c r="J30"/>
  <c r="J41" s="1"/>
  <c r="D24"/>
  <c r="N45"/>
  <c r="F24"/>
  <c r="N22"/>
  <c r="H75"/>
  <c r="O24"/>
  <c r="E24"/>
  <c r="N30"/>
  <c r="N41" s="1"/>
  <c r="J24"/>
  <c r="H30"/>
  <c r="H41" s="1"/>
  <c r="U16" i="1"/>
  <c r="K15"/>
  <c r="K59" s="1"/>
  <c r="G15"/>
  <c r="G59" s="1"/>
  <c r="T31"/>
  <c r="T35" s="1"/>
  <c r="R15"/>
  <c r="R59" s="1"/>
  <c r="P31"/>
  <c r="P35" s="1"/>
  <c r="N15"/>
  <c r="N59" s="1"/>
  <c r="L31"/>
  <c r="L35" s="1"/>
  <c r="J15"/>
  <c r="J59" s="1"/>
  <c r="H31"/>
  <c r="H35" s="1"/>
  <c r="F15"/>
  <c r="F59" s="1"/>
  <c r="U22" i="8"/>
  <c r="H67"/>
  <c r="D23"/>
  <c r="N23"/>
  <c r="F30"/>
  <c r="F41" s="1"/>
  <c r="S23"/>
  <c r="R24"/>
  <c r="J45"/>
  <c r="I45"/>
  <c r="R16" i="1"/>
  <c r="F16"/>
  <c r="M31"/>
  <c r="M35" s="1"/>
  <c r="G31"/>
  <c r="G35" s="1"/>
  <c r="R39"/>
  <c r="I39"/>
  <c r="U15"/>
  <c r="U59" s="1"/>
  <c r="S39"/>
  <c r="Q15"/>
  <c r="Q59" s="1"/>
  <c r="O39"/>
  <c r="M15"/>
  <c r="M59" s="1"/>
  <c r="K39"/>
  <c r="I15"/>
  <c r="I59" s="1"/>
  <c r="E15"/>
  <c r="E59" s="1"/>
  <c r="BF47"/>
  <c r="BF49"/>
  <c r="BG46"/>
  <c r="BG49" s="1"/>
  <c r="AY46"/>
  <c r="AY49" s="1"/>
  <c r="AX46"/>
  <c r="AX49" s="1"/>
  <c r="F98" i="11"/>
  <c r="S98" s="1"/>
  <c r="F108"/>
  <c r="S108" s="1"/>
  <c r="T38" i="13"/>
  <c r="F110" i="11"/>
  <c r="S110" s="1"/>
  <c r="F109"/>
  <c r="S109" s="1"/>
  <c r="F113"/>
  <c r="S113" s="1"/>
  <c r="F106"/>
  <c r="S106" s="1"/>
  <c r="Q23" i="8"/>
  <c r="Q14"/>
  <c r="Q24"/>
  <c r="L24"/>
  <c r="L45"/>
  <c r="L23"/>
  <c r="L14"/>
  <c r="L22"/>
  <c r="L30"/>
  <c r="L41" s="1"/>
  <c r="T17" i="13"/>
  <c r="T29"/>
  <c r="T39"/>
  <c r="F107" i="12"/>
  <c r="S107" s="1"/>
  <c r="F106"/>
  <c r="S106" s="1"/>
  <c r="T15" i="13"/>
  <c r="T37"/>
  <c r="T28"/>
  <c r="J99" i="11"/>
  <c r="W99" s="1"/>
  <c r="J97"/>
  <c r="W97" s="1"/>
  <c r="J98"/>
  <c r="W98" s="1"/>
  <c r="N99"/>
  <c r="AA99" s="1"/>
  <c r="N97"/>
  <c r="AA97" s="1"/>
  <c r="N98"/>
  <c r="AA98" s="1"/>
  <c r="S25" i="13"/>
  <c r="S35"/>
  <c r="S13"/>
  <c r="J110" i="12"/>
  <c r="W110" s="1"/>
  <c r="J104"/>
  <c r="W104" s="1"/>
  <c r="J114"/>
  <c r="W114" s="1"/>
  <c r="H104" i="11"/>
  <c r="U104" s="1"/>
  <c r="J106"/>
  <c r="W106" s="1"/>
  <c r="H113"/>
  <c r="U113" s="1"/>
  <c r="N109"/>
  <c r="AA109" s="1"/>
  <c r="J114"/>
  <c r="W114" s="1"/>
  <c r="H109"/>
  <c r="U109" s="1"/>
  <c r="N104"/>
  <c r="AA104" s="1"/>
  <c r="J110"/>
  <c r="W110" s="1"/>
  <c r="H112"/>
  <c r="U112" s="1"/>
  <c r="N113"/>
  <c r="AA113" s="1"/>
  <c r="H106"/>
  <c r="U106" s="1"/>
  <c r="N112"/>
  <c r="AA112" s="1"/>
  <c r="J112"/>
  <c r="W112" s="1"/>
  <c r="J109"/>
  <c r="W109" s="1"/>
  <c r="J104"/>
  <c r="W104" s="1"/>
  <c r="U23" i="8"/>
  <c r="U14"/>
  <c r="P24"/>
  <c r="P45"/>
  <c r="P23"/>
  <c r="P14"/>
  <c r="E23"/>
  <c r="E14"/>
  <c r="S49" i="13"/>
  <c r="M73" i="8"/>
  <c r="H75" i="12"/>
  <c r="F103" s="1"/>
  <c r="S103" s="1"/>
  <c r="T13" i="13"/>
  <c r="T25"/>
  <c r="S23"/>
  <c r="S11"/>
  <c r="S33"/>
  <c r="J115" i="11"/>
  <c r="W115" s="1"/>
  <c r="J105"/>
  <c r="W105" s="1"/>
  <c r="K105"/>
  <c r="X105" s="1"/>
  <c r="K111"/>
  <c r="X111" s="1"/>
  <c r="T24" i="8"/>
  <c r="T45"/>
  <c r="T23"/>
  <c r="T14"/>
  <c r="I23"/>
  <c r="I14"/>
  <c r="W29"/>
  <c r="U24"/>
  <c r="P30"/>
  <c r="P41" s="1"/>
  <c r="M45"/>
  <c r="T11" i="13"/>
  <c r="T42"/>
  <c r="K97" i="11"/>
  <c r="X97" s="1"/>
  <c r="K99"/>
  <c r="X99" s="1"/>
  <c r="K98"/>
  <c r="X98" s="1"/>
  <c r="S16" i="13"/>
  <c r="S27"/>
  <c r="S37"/>
  <c r="S15"/>
  <c r="K98" i="12"/>
  <c r="X98" s="1"/>
  <c r="K96"/>
  <c r="X96" s="1"/>
  <c r="N97"/>
  <c r="AA97" s="1"/>
  <c r="N98"/>
  <c r="AA98" s="1"/>
  <c r="N96"/>
  <c r="AA96" s="1"/>
  <c r="J107" i="11"/>
  <c r="W107" s="1"/>
  <c r="J108"/>
  <c r="W108" s="1"/>
  <c r="H77" i="8"/>
  <c r="M77"/>
  <c r="M69"/>
  <c r="H69"/>
  <c r="H65"/>
  <c r="M65"/>
  <c r="P83" i="12"/>
  <c r="K83"/>
  <c r="K108" s="1"/>
  <c r="X108" s="1"/>
  <c r="J83"/>
  <c r="O75"/>
  <c r="F113" s="1"/>
  <c r="S113" s="1"/>
  <c r="M83"/>
  <c r="K111" s="1"/>
  <c r="X111" s="1"/>
  <c r="L83"/>
  <c r="K109" s="1"/>
  <c r="X109" s="1"/>
  <c r="M75"/>
  <c r="F111" s="1"/>
  <c r="S111" s="1"/>
  <c r="F75"/>
  <c r="L75"/>
  <c r="F109" s="1"/>
  <c r="S109" s="1"/>
  <c r="G75"/>
  <c r="N75"/>
  <c r="F112" s="1"/>
  <c r="S112" s="1"/>
  <c r="G83"/>
  <c r="P75"/>
  <c r="K75"/>
  <c r="F108" s="1"/>
  <c r="S108" s="1"/>
  <c r="H83"/>
  <c r="K103" s="1"/>
  <c r="X103" s="1"/>
  <c r="M23" i="8"/>
  <c r="M14"/>
  <c r="W7"/>
  <c r="H24"/>
  <c r="H45"/>
  <c r="H23"/>
  <c r="H14"/>
  <c r="Q45"/>
  <c r="F97" i="11"/>
  <c r="S97" s="1"/>
  <c r="S12" i="13"/>
  <c r="N102" i="12"/>
  <c r="AA102" s="1"/>
  <c r="H102"/>
  <c r="U102" s="1"/>
  <c r="N107"/>
  <c r="AA107" s="1"/>
  <c r="F114" i="11"/>
  <c r="S114" s="1"/>
  <c r="K112"/>
  <c r="X112" s="1"/>
  <c r="K104"/>
  <c r="X104" s="1"/>
  <c r="K110"/>
  <c r="X110" s="1"/>
  <c r="F104"/>
  <c r="S104" s="1"/>
  <c r="S30" i="8"/>
  <c r="S41" s="1"/>
  <c r="O30"/>
  <c r="O41" s="1"/>
  <c r="K30"/>
  <c r="K41" s="1"/>
  <c r="G30"/>
  <c r="G41" s="1"/>
  <c r="S45"/>
  <c r="O45"/>
  <c r="K45"/>
  <c r="G45"/>
  <c r="S16" i="1"/>
  <c r="O16"/>
  <c r="U31"/>
  <c r="U35" s="1"/>
  <c r="S31"/>
  <c r="S35" s="1"/>
  <c r="Q31"/>
  <c r="Q35" s="1"/>
  <c r="O31"/>
  <c r="O35" s="1"/>
  <c r="U39"/>
  <c r="Q39"/>
  <c r="K114" i="11"/>
  <c r="X114" s="1"/>
  <c r="S14" i="8"/>
  <c r="O14"/>
  <c r="K14"/>
  <c r="G14"/>
  <c r="U30"/>
  <c r="U41" s="1"/>
  <c r="Q30"/>
  <c r="Q41" s="1"/>
  <c r="M30"/>
  <c r="M41" s="1"/>
  <c r="I30"/>
  <c r="I41" s="1"/>
  <c r="E30"/>
  <c r="E16" i="1"/>
  <c r="AY47" l="1"/>
  <c r="W26"/>
  <c r="X22" i="8"/>
  <c r="W59" i="1"/>
  <c r="W39"/>
  <c r="W16"/>
  <c r="W24" i="8"/>
  <c r="W15" i="1"/>
  <c r="BG47"/>
  <c r="AX47"/>
  <c r="F104" i="12"/>
  <c r="S104" s="1"/>
  <c r="F114"/>
  <c r="S114" s="1"/>
  <c r="F110"/>
  <c r="S110" s="1"/>
  <c r="K114"/>
  <c r="X114" s="1"/>
  <c r="K104"/>
  <c r="X104" s="1"/>
  <c r="K110"/>
  <c r="X110" s="1"/>
  <c r="N108" i="11"/>
  <c r="AA108" s="1"/>
  <c r="N107"/>
  <c r="AA107" s="1"/>
  <c r="H115"/>
  <c r="U115" s="1"/>
  <c r="H111"/>
  <c r="U111" s="1"/>
  <c r="H105"/>
  <c r="U105" s="1"/>
  <c r="H107"/>
  <c r="U107" s="1"/>
  <c r="H108"/>
  <c r="U108" s="1"/>
  <c r="W36" i="1"/>
  <c r="W30" i="8"/>
  <c r="E41"/>
  <c r="W41" s="1"/>
  <c r="F99" i="12"/>
  <c r="S99" s="1"/>
  <c r="F102"/>
  <c r="S102" s="1"/>
  <c r="F101"/>
  <c r="S101" s="1"/>
  <c r="F100"/>
  <c r="S100" s="1"/>
  <c r="T36" i="13"/>
  <c r="T45"/>
  <c r="T26"/>
  <c r="T46"/>
  <c r="T14"/>
  <c r="N101" i="11"/>
  <c r="AA101" s="1"/>
  <c r="N103"/>
  <c r="AA103" s="1"/>
  <c r="N100"/>
  <c r="AA100" s="1"/>
  <c r="N102"/>
  <c r="AA102" s="1"/>
  <c r="H99"/>
  <c r="U99" s="1"/>
  <c r="H97"/>
  <c r="U97" s="1"/>
  <c r="H98"/>
  <c r="U98" s="1"/>
  <c r="S26" i="13"/>
  <c r="S46"/>
  <c r="S45"/>
  <c r="S14"/>
  <c r="S36"/>
  <c r="W35" i="1"/>
  <c r="F105" i="11"/>
  <c r="S105" s="1"/>
  <c r="F115"/>
  <c r="S115" s="1"/>
  <c r="F111"/>
  <c r="S111" s="1"/>
  <c r="K106" i="12"/>
  <c r="X106" s="1"/>
  <c r="K107"/>
  <c r="X107" s="1"/>
  <c r="J103" i="11"/>
  <c r="W103" s="1"/>
  <c r="J100"/>
  <c r="W100" s="1"/>
  <c r="J102"/>
  <c r="W102" s="1"/>
  <c r="J101"/>
  <c r="W101" s="1"/>
  <c r="W22" i="8"/>
  <c r="X30"/>
  <c r="F101" i="11"/>
  <c r="S101" s="1"/>
  <c r="F100"/>
  <c r="S100" s="1"/>
  <c r="F103"/>
  <c r="S103" s="1"/>
  <c r="F102"/>
  <c r="S102" s="1"/>
  <c r="K102"/>
  <c r="X102" s="1"/>
  <c r="K100"/>
  <c r="X100" s="1"/>
  <c r="K101"/>
  <c r="X101" s="1"/>
  <c r="K103"/>
  <c r="X103" s="1"/>
  <c r="K108"/>
  <c r="X108" s="1"/>
  <c r="K107"/>
  <c r="X107" s="1"/>
  <c r="K100" i="12"/>
  <c r="X100" s="1"/>
  <c r="K99"/>
  <c r="X99" s="1"/>
  <c r="K101"/>
  <c r="X101" s="1"/>
  <c r="K102"/>
  <c r="X102" s="1"/>
  <c r="F98"/>
  <c r="S98" s="1"/>
  <c r="F97"/>
  <c r="S97" s="1"/>
  <c r="F96"/>
  <c r="S96" s="1"/>
  <c r="H103" i="11"/>
  <c r="U103" s="1"/>
  <c r="H100"/>
  <c r="U100" s="1"/>
  <c r="H102"/>
  <c r="U102" s="1"/>
  <c r="H101"/>
  <c r="U101" s="1"/>
  <c r="N115"/>
  <c r="AA115" s="1"/>
  <c r="N111"/>
  <c r="AA111" s="1"/>
  <c r="N105"/>
  <c r="AA105" s="1"/>
  <c r="W23" i="8"/>
  <c r="W31" i="1"/>
  <c r="S40" i="13" l="1"/>
  <c r="S10"/>
  <c r="S30"/>
  <c r="S20"/>
  <c r="S41"/>
  <c r="S19"/>
  <c r="S32"/>
  <c r="S31"/>
  <c r="S22"/>
  <c r="S21"/>
  <c r="S18"/>
  <c r="T12"/>
  <c r="T43"/>
  <c r="T34"/>
  <c r="T24"/>
  <c r="T49"/>
  <c r="T50"/>
  <c r="T31"/>
  <c r="T22"/>
  <c r="T21"/>
  <c r="T41"/>
  <c r="T32"/>
  <c r="T10"/>
  <c r="T19"/>
  <c r="T18"/>
  <c r="T20"/>
  <c r="T40"/>
  <c r="T30"/>
  <c r="S39"/>
  <c r="S17"/>
  <c r="S29"/>
</calcChain>
</file>

<file path=xl/comments1.xml><?xml version="1.0" encoding="utf-8"?>
<comments xmlns="http://schemas.openxmlformats.org/spreadsheetml/2006/main">
  <authors>
    <author>Charlie Grist</author>
  </authors>
  <commentList>
    <comment ref="R9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4300 placeholder.  Check CBSA for subspace lighting hours estimate for outdoor by Btype</t>
        </r>
      </text>
    </comment>
  </commentList>
</comments>
</file>

<file path=xl/comments2.xml><?xml version="1.0" encoding="utf-8"?>
<comments xmlns="http://schemas.openxmlformats.org/spreadsheetml/2006/main">
  <authors>
    <author>Charlie Grist</author>
  </authors>
  <commentList>
    <comment ref="C105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Ratio of University LPD to average LPD.
</t>
        </r>
      </text>
    </comment>
    <comment ref="C111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Ratio of Hospital LPD to average building LPD</t>
        </r>
      </text>
    </comment>
  </commentList>
</comments>
</file>

<file path=xl/comments3.xml><?xml version="1.0" encoding="utf-8"?>
<comments xmlns="http://schemas.openxmlformats.org/spreadsheetml/2006/main">
  <authors>
    <author>Charlie Grist</author>
  </authors>
  <commentList>
    <comment ref="L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University estimates from other data sources.  No data in CBSA 2014.</t>
        </r>
      </text>
    </comment>
    <comment ref="R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Hospital estimates from other data sources.  No data in CBSA 2014.</t>
        </r>
      </text>
    </comment>
    <comment ref="AH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AI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AJ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AQ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AR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B7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B10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B11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B21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Based on same ending LPD as New Buildings.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No single whole-building code level applies.  Use 1.0 as placeholder</t>
        </r>
      </text>
    </comment>
    <comment ref="T23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No single whole-building code level applies.  Use 1.0 as placeholder</t>
        </r>
      </text>
    </comment>
    <comment ref="U23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No single whole-building code level applies.  Use 1.0 as placeholder</t>
        </r>
      </text>
    </comment>
    <comment ref="L65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University estimates from other data sources.  No data in CBSA 2014.</t>
        </r>
      </text>
    </comment>
    <comment ref="R65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Hospital estimates from other data sources.  No data in CBSA 2014.</t>
        </r>
      </text>
    </comment>
    <comment ref="W6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Value includes estimate for University and Hospital so is different than reported in CBSA</t>
        </r>
      </text>
    </comment>
    <comment ref="D203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E203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F203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G203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H203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Source CBSA 2014, All vintages, all sizes, urban &amp; rural</t>
        </r>
      </text>
    </comment>
    <comment ref="B212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University estimates from other data sources.  No data in CBSA 2014.</t>
        </r>
      </text>
    </comment>
    <comment ref="B218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Hospital estimates from other data sources.  No data in CBSA 2014.</t>
        </r>
      </text>
    </comment>
  </commentList>
</comments>
</file>

<file path=xl/comments4.xml><?xml version="1.0" encoding="utf-8"?>
<comments xmlns="http://schemas.openxmlformats.org/spreadsheetml/2006/main">
  <authors>
    <author>Charlie Grist</author>
  </authors>
  <commentList>
    <comment ref="E71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From NEEA study by Mike Kennedy.  
Kennedy codeLPD and UASF and WinU_7PBaseline.xlsm
</t>
        </r>
      </text>
    </comment>
    <comment ref="C104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Ratio of University LPD to average LPD.
</t>
        </r>
      </text>
    </comment>
    <comment ref="C110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Ratio of Hospital LPD to average building LPD</t>
        </r>
      </text>
    </comment>
  </commentList>
</comments>
</file>

<file path=xl/comments5.xml><?xml version="1.0" encoding="utf-8"?>
<comments xmlns="http://schemas.openxmlformats.org/spreadsheetml/2006/main">
  <authors>
    <author>Charlie Grist</author>
  </authors>
  <commentList>
    <comment ref="L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No CBSA data.  Use estimate from 6P
</t>
        </r>
      </text>
    </comment>
    <comment ref="R6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No CBSA data.  Use estimate from 2002-2004 and Kennedy code analysis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From CBSA 2004-2014 vintage cohort as proxy</t>
        </r>
      </text>
    </comment>
  </commentList>
</comments>
</file>

<file path=xl/comments6.xml><?xml version="1.0" encoding="utf-8"?>
<comments xmlns="http://schemas.openxmlformats.org/spreadsheetml/2006/main">
  <authors>
    <author>Charlie Grist</author>
  </authors>
  <commentList>
    <comment ref="M9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Use to assign existing stock to NR or Retrofit Pool.
</t>
        </r>
      </text>
    </comment>
  </commentList>
</comments>
</file>

<file path=xl/comments7.xml><?xml version="1.0" encoding="utf-8"?>
<comments xmlns="http://schemas.openxmlformats.org/spreadsheetml/2006/main">
  <authors>
    <author>Charlie Grist</author>
  </authors>
  <commentList>
    <comment ref="O9" authorId="0">
      <text>
        <r>
          <rPr>
            <b/>
            <sz val="9"/>
            <color indexed="81"/>
            <rFont val="Tahoma"/>
            <family val="2"/>
          </rPr>
          <t>Charlie Grist:</t>
        </r>
        <r>
          <rPr>
            <sz val="9"/>
            <color indexed="81"/>
            <rFont val="Tahoma"/>
            <family val="2"/>
          </rPr>
          <t xml:space="preserve">
Method:  For all, assume 10% specialty and niche applications where EE products are limited. For some additional removals due </t>
        </r>
      </text>
    </comment>
  </commentList>
</comments>
</file>

<file path=xl/sharedStrings.xml><?xml version="1.0" encoding="utf-8"?>
<sst xmlns="http://schemas.openxmlformats.org/spreadsheetml/2006/main" count="4481" uniqueCount="719">
  <si>
    <t>LPD Delta Mean to Target</t>
  </si>
  <si>
    <t>LPDDeltaAPPLIC</t>
  </si>
  <si>
    <t>Target LPD</t>
  </si>
  <si>
    <t>Upper Quartile</t>
  </si>
  <si>
    <t>Lower Quartile</t>
  </si>
  <si>
    <t>Mean LPD for Stock</t>
  </si>
  <si>
    <t>Hours</t>
  </si>
  <si>
    <t>HOURSLght</t>
  </si>
  <si>
    <t>All</t>
  </si>
  <si>
    <t>Other</t>
  </si>
  <si>
    <t>Assembly</t>
  </si>
  <si>
    <t>Res Care</t>
  </si>
  <si>
    <t>Hospital</t>
  </si>
  <si>
    <t>Lodging</t>
  </si>
  <si>
    <t>Restaurant</t>
  </si>
  <si>
    <t>Supermarket</t>
  </si>
  <si>
    <t>Warehouse</t>
  </si>
  <si>
    <t>University</t>
  </si>
  <si>
    <t>K-12</t>
  </si>
  <si>
    <t>Small Box</t>
  </si>
  <si>
    <t>Big Box</t>
  </si>
  <si>
    <t>Small Off</t>
  </si>
  <si>
    <t>Medium Off</t>
  </si>
  <si>
    <t>Large Off</t>
  </si>
  <si>
    <t>Measure LPD Delta</t>
  </si>
  <si>
    <t>Variable</t>
  </si>
  <si>
    <t>Look Up Name</t>
  </si>
  <si>
    <t>Health</t>
  </si>
  <si>
    <t>Grocery</t>
  </si>
  <si>
    <t>School</t>
  </si>
  <si>
    <t>Retail</t>
  </si>
  <si>
    <t>Office</t>
  </si>
  <si>
    <t>HID-CMH BASELINE</t>
  </si>
  <si>
    <t>HID</t>
  </si>
  <si>
    <t>HPT8 BASELINE</t>
  </si>
  <si>
    <t>T8</t>
  </si>
  <si>
    <t>Sum</t>
  </si>
  <si>
    <t>HID-MH</t>
  </si>
  <si>
    <t>HID-CMH</t>
  </si>
  <si>
    <t>MISC</t>
  </si>
  <si>
    <t>INC</t>
  </si>
  <si>
    <t>CFL</t>
  </si>
  <si>
    <t>T5/HPT8</t>
  </si>
  <si>
    <t>T12</t>
  </si>
  <si>
    <t>Total</t>
  </si>
  <si>
    <t>OtherHeal</t>
  </si>
  <si>
    <t>Restauran</t>
  </si>
  <si>
    <t>Universit</t>
  </si>
  <si>
    <t>nppclamp</t>
  </si>
  <si>
    <t>..\Measure Data\Lighting\CBSA 2008 New Supplemental Data\LPD and LampProfile-New.xls</t>
  </si>
  <si>
    <t>Xlarge Retail</t>
  </si>
  <si>
    <t>Large Retail</t>
  </si>
  <si>
    <t>Medium Retail</t>
  </si>
  <si>
    <t>Small Retail</t>
  </si>
  <si>
    <t>MiniMart</t>
  </si>
  <si>
    <t>Median LPD</t>
  </si>
  <si>
    <t>n</t>
  </si>
  <si>
    <t>Sum of mw.pnw.frac</t>
  </si>
  <si>
    <t>Column Labels</t>
  </si>
  <si>
    <t>Row Labels</t>
  </si>
  <si>
    <t>Food
Service</t>
  </si>
  <si>
    <t>Residential
Care</t>
  </si>
  <si>
    <t>Grand Total</t>
  </si>
  <si>
    <t>Fluorescent T12</t>
  </si>
  <si>
    <t>Fluorescent T8/T5</t>
  </si>
  <si>
    <t>Incandescent</t>
  </si>
  <si>
    <t>LED</t>
  </si>
  <si>
    <t>Frequency</t>
  </si>
  <si>
    <t>Table of LPD_Ind by Bldg_Type</t>
  </si>
  <si>
    <t>LPD_Ind</t>
  </si>
  <si>
    <t>Bldg_Type</t>
  </si>
  <si>
    <t>Residential Ca</t>
  </si>
  <si>
    <t>Retail/Service</t>
  </si>
  <si>
    <t>School K-12</t>
  </si>
  <si>
    <t>0-&lt;0.1</t>
  </si>
  <si>
    <t>0.1-&lt;0.2</t>
  </si>
  <si>
    <t>0.2-&lt;0.3</t>
  </si>
  <si>
    <t>0.3-&lt;0.4</t>
  </si>
  <si>
    <t>0.4-&lt;0.5</t>
  </si>
  <si>
    <t>0.5-&lt;0.6</t>
  </si>
  <si>
    <t>0.6-&lt;0.7</t>
  </si>
  <si>
    <t>0.7-&lt;0.8</t>
  </si>
  <si>
    <t>0.8-&lt;0.9</t>
  </si>
  <si>
    <t>0.9-&lt;1</t>
  </si>
  <si>
    <t>1-&lt;1.1</t>
  </si>
  <si>
    <t>1.1-&lt;1.2</t>
  </si>
  <si>
    <t>1.2-&lt;1.3</t>
  </si>
  <si>
    <t>1.3-&lt;1.4</t>
  </si>
  <si>
    <t>1.4-&lt;1.5</t>
  </si>
  <si>
    <t>1.5-&lt;1.6</t>
  </si>
  <si>
    <t>1.6-&lt;1.7</t>
  </si>
  <si>
    <t>1.7-&lt;1.8</t>
  </si>
  <si>
    <t>1.8-&lt;1.9</t>
  </si>
  <si>
    <t>1.9-&lt;2</t>
  </si>
  <si>
    <t>2-&lt;2.1</t>
  </si>
  <si>
    <t>2.1-&lt;2.2</t>
  </si>
  <si>
    <t>2.2-&lt;2.3</t>
  </si>
  <si>
    <t>2.3-&lt;2.4</t>
  </si>
  <si>
    <t>2.4-&lt;2.5</t>
  </si>
  <si>
    <t>2.6-&lt;2.7</t>
  </si>
  <si>
    <t>3.2+</t>
  </si>
  <si>
    <t>Mean</t>
  </si>
  <si>
    <t>Lower Q</t>
  </si>
  <si>
    <t>Upper Q</t>
  </si>
  <si>
    <t>Office by Size</t>
  </si>
  <si>
    <t>_Bldg_Type</t>
  </si>
  <si>
    <t>_Size_Group</t>
  </si>
  <si>
    <t>_Wt_PNW</t>
  </si>
  <si>
    <t>_Sf_PNW</t>
  </si>
  <si>
    <t>Raw_LPD_Ind</t>
  </si>
  <si>
    <t>&lt;5,001</t>
  </si>
  <si>
    <t>20,001-50,000</t>
  </si>
  <si>
    <t>50,001-100,000</t>
  </si>
  <si>
    <t>100,001+</t>
  </si>
  <si>
    <t>5,001-20,000</t>
  </si>
  <si>
    <t>Retail by Size</t>
  </si>
  <si>
    <t>mean</t>
  </si>
  <si>
    <t>Linear
Fluorescent</t>
  </si>
  <si>
    <t>High/Low
Bay</t>
  </si>
  <si>
    <t>Display Track/
Surface Mount</t>
  </si>
  <si>
    <t>Recessed
Can</t>
  </si>
  <si>
    <t>Sum of kw.pnw.frac</t>
  </si>
  <si>
    <t>HP-25W</t>
  </si>
  <si>
    <t>HP-28W</t>
  </si>
  <si>
    <t>HP-30W</t>
  </si>
  <si>
    <t>HP-32W</t>
  </si>
  <si>
    <t>SP-32W</t>
  </si>
  <si>
    <t>R_INC</t>
  </si>
  <si>
    <t>LF_T8_SP</t>
  </si>
  <si>
    <t>LF_ T8_HP</t>
  </si>
  <si>
    <t>LF_T12</t>
  </si>
  <si>
    <t>G_INC</t>
  </si>
  <si>
    <t>D_INC</t>
  </si>
  <si>
    <t>Reflector</t>
  </si>
  <si>
    <t>General</t>
  </si>
  <si>
    <t>Decorative</t>
  </si>
  <si>
    <t>OTH</t>
  </si>
  <si>
    <t>Halogen -
Decorative</t>
  </si>
  <si>
    <t>Halogen -
General</t>
  </si>
  <si>
    <t>Halogen -
Reflector</t>
  </si>
  <si>
    <t>Incand -
Decorative</t>
  </si>
  <si>
    <t>Incand -
General</t>
  </si>
  <si>
    <t>Incand -
Reflector</t>
  </si>
  <si>
    <t>Halogen</t>
  </si>
  <si>
    <t>Incand</t>
  </si>
  <si>
    <t>Fixture_Type</t>
  </si>
  <si>
    <t>(All)</t>
  </si>
  <si>
    <t>Location</t>
  </si>
  <si>
    <t>Indoor</t>
  </si>
  <si>
    <t>Sum of Wt_PNW_Site_Watts</t>
  </si>
  <si>
    <t>Fluorescent T5</t>
  </si>
  <si>
    <t>Fluorescent T8</t>
  </si>
  <si>
    <t>Misc</t>
  </si>
  <si>
    <t>Other Fluorescent</t>
  </si>
  <si>
    <t>Display Track/Surface Mount</t>
  </si>
  <si>
    <t>High/Low Bay</t>
  </si>
  <si>
    <t>Linear Fluorescent</t>
  </si>
  <si>
    <t>Recessed Can</t>
  </si>
  <si>
    <t>Residential Care</t>
  </si>
  <si>
    <t>Delta in kWh/sf</t>
  </si>
  <si>
    <t>building_type</t>
  </si>
  <si>
    <t>msf.pnw.tot</t>
  </si>
  <si>
    <t>msf.pnw.frac</t>
  </si>
  <si>
    <t>Small Office LPD</t>
  </si>
  <si>
    <t>Medium Office LPD</t>
  </si>
  <si>
    <t>Large Office LPD</t>
  </si>
  <si>
    <t>Code Baseline LPD (OR Whole Building)</t>
  </si>
  <si>
    <t>Savings as Fracion of Code Minimum</t>
  </si>
  <si>
    <t>Raw_Year_Majority_Built</t>
  </si>
  <si>
    <t>Raw_Vintage_Detailed</t>
  </si>
  <si>
    <t>Raw_LPD_Out</t>
  </si>
  <si>
    <t>2004-2013</t>
  </si>
  <si>
    <t>Pre-1980</t>
  </si>
  <si>
    <t>1981-2003</t>
  </si>
  <si>
    <t>NA</t>
  </si>
  <si>
    <t>Median</t>
  </si>
  <si>
    <t>Pre_2004_Office</t>
  </si>
  <si>
    <t>Post_2004_Office</t>
  </si>
  <si>
    <t>Pre-2004</t>
  </si>
  <si>
    <t>Post-2004</t>
  </si>
  <si>
    <t>Sumproduct with Floor Area</t>
  </si>
  <si>
    <t>Interior Lighting kWh/Year</t>
  </si>
  <si>
    <t>Exterior Lighting kWh/Year</t>
  </si>
  <si>
    <t>Values</t>
  </si>
  <si>
    <t>Sum of _Sf_PNW</t>
  </si>
  <si>
    <t>Sum of Sf_PNW_Annual Lighting Hours</t>
  </si>
  <si>
    <t xml:space="preserve">Sf_PNW Annual Hrs_Lighting </t>
  </si>
  <si>
    <t>Data from CBSA Detailed Site Database Oct 31 Version</t>
  </si>
  <si>
    <t>Count of Sf_PNW_Annual Lighting Hours2</t>
  </si>
  <si>
    <t>Count of Sf_PNW_LPD_Ind2</t>
  </si>
  <si>
    <t>Sum of Sf_PNW_LPD_Ind</t>
  </si>
  <si>
    <t>Sum of Sf_PNW_HeatSys_Electricity_Pct</t>
  </si>
  <si>
    <t>Sum of Sf_PNW_Electric_EUI_Normalized</t>
  </si>
  <si>
    <t>Use in 7P</t>
  </si>
  <si>
    <t>Source CBSA 2014 (October 31, 2014 Dataset)</t>
  </si>
  <si>
    <t>Does not include Hospitals and Universities</t>
  </si>
  <si>
    <t>Indoor Lighting</t>
  </si>
  <si>
    <t>Outdoor Lighting</t>
  </si>
  <si>
    <t>Building Type</t>
  </si>
  <si>
    <t>Electric EUI from CBSA (WT by SF)</t>
  </si>
  <si>
    <t>Calculated Lighting Indoor (exclude parking) EUI from CBSA (WT by SF)</t>
  </si>
  <si>
    <t>Calculated Lighting Indoor EUI from CBSA (include parking) (WT by SF)</t>
  </si>
  <si>
    <t>Indoor Lighting as Fraction Electric EUI</t>
  </si>
  <si>
    <t xml:space="preserve">Calculated Lighting Hours per Year </t>
  </si>
  <si>
    <t>Outdoor Lighting per Indoor SF</t>
  </si>
  <si>
    <t>Includes Indoor Parking</t>
  </si>
  <si>
    <t>elec.eui.n.mean</t>
  </si>
  <si>
    <t>eb</t>
  </si>
  <si>
    <t>Upper</t>
  </si>
  <si>
    <t>Lower</t>
  </si>
  <si>
    <t>%</t>
  </si>
  <si>
    <t>hrs</t>
  </si>
  <si>
    <t>lpd.o.mean</t>
  </si>
  <si>
    <t>Outdoor Lighting Hours</t>
  </si>
  <si>
    <t>Outdoor Lighting: kWh/SF indoor space</t>
  </si>
  <si>
    <t>Indoor Lighting EUI kWh/SF</t>
  </si>
  <si>
    <t>Indoor plus Outdoor Lighting EUI</t>
  </si>
  <si>
    <t>Lighting as Fraction of Total EUI (%)</t>
  </si>
  <si>
    <t>Total Floor Area 2014 (million SF)</t>
  </si>
  <si>
    <t>Total Site Energy 2014 in aMW</t>
  </si>
  <si>
    <t>Indoor Lighting Site Energy 2014 in aMW</t>
  </si>
  <si>
    <t>Outdoor Lighting Site Energy 2014 in aMW</t>
  </si>
  <si>
    <t>Total Site Lighting Energy 2014 in aMW</t>
  </si>
  <si>
    <t>Lighting Indoor</t>
  </si>
  <si>
    <t>Lighting Outdoor</t>
  </si>
  <si>
    <t>Other Site Energy</t>
  </si>
  <si>
    <t>From CBSA Site Database</t>
  </si>
  <si>
    <t>Sum of Sf_PNW_Lighting_EUI_IndPark</t>
  </si>
  <si>
    <t>Lighting EUI Weighted</t>
  </si>
  <si>
    <t>Lighting Hours Weighted</t>
  </si>
  <si>
    <t>Embedded Parking kWh/Year</t>
  </si>
  <si>
    <t>Code to Target Savings in w/SF</t>
  </si>
  <si>
    <t>Code to Target</t>
  </si>
  <si>
    <t>Existing Mean to Target</t>
  </si>
  <si>
    <t>Floor Area 2013 from CBSA</t>
  </si>
  <si>
    <t>Pasted Values</t>
  </si>
  <si>
    <t>New Floor Area 2035 from 7P Forecast</t>
  </si>
  <si>
    <t>Calc</t>
  </si>
  <si>
    <t>Import</t>
  </si>
  <si>
    <t>High End</t>
  </si>
  <si>
    <t>Anchor</t>
  </si>
  <si>
    <t>MIniMart</t>
  </si>
  <si>
    <t>OtherHealth</t>
  </si>
  <si>
    <t>Vacant</t>
  </si>
  <si>
    <t>Mean LPD for New</t>
  </si>
  <si>
    <t>CostMatrix</t>
  </si>
  <si>
    <t>Weighted ILPD above Target</t>
  </si>
  <si>
    <t>Baseline Fraction Below Target</t>
  </si>
  <si>
    <t>Fraction Above Target</t>
  </si>
  <si>
    <t xml:space="preserve">Total Distribution Check </t>
  </si>
  <si>
    <t>LPD Delta Target Population to Target</t>
  </si>
  <si>
    <t>IFT12_WPCT</t>
  </si>
  <si>
    <t>Indoor Percent T12 by Watts</t>
  </si>
  <si>
    <t>IFT8_WPCT</t>
  </si>
  <si>
    <t>Indoor Percent T8 by Watts</t>
  </si>
  <si>
    <t>IFOTH_WPCT</t>
  </si>
  <si>
    <t>Indoor Percent CFL by Watts</t>
  </si>
  <si>
    <t>II_WPCT</t>
  </si>
  <si>
    <t>Indoor Percent Incandescent by Watts</t>
  </si>
  <si>
    <t>IMISC_WPCT</t>
  </si>
  <si>
    <t>Indoor Percent Misc by Watts</t>
  </si>
  <si>
    <t>IHID_WPCT</t>
  </si>
  <si>
    <t>Indoor Percent HID by Watts</t>
  </si>
  <si>
    <t>Indoor Watts Check</t>
  </si>
  <si>
    <t>FloorA%TYP</t>
  </si>
  <si>
    <t>POST2006</t>
  </si>
  <si>
    <t>From Kennedy</t>
  </si>
  <si>
    <t>NEEA  New Building Baseline 2002-2004 New Construction</t>
  </si>
  <si>
    <t>Exterior</t>
  </si>
  <si>
    <t>LPD_Out_IndoorSF</t>
  </si>
  <si>
    <t>Source:  CBSA Report Lighitng Tables 2014-11-26.xlsx</t>
  </si>
  <si>
    <t>LPD_Out_ParkingLot_IndoorSF</t>
  </si>
  <si>
    <t>LPD_Out_Facade_IndoorSF</t>
  </si>
  <si>
    <t>LPD_Out_Walkway_IndoorSF</t>
  </si>
  <si>
    <t>LPD_ExteriorSales_IndoorSF</t>
  </si>
  <si>
    <t>LPD_Out_Signage_IndoorSF</t>
  </si>
  <si>
    <t>LPD_Out_SportingField_IndoorSF</t>
  </si>
  <si>
    <t>LPD_Out_Other_IndoorSF</t>
  </si>
  <si>
    <t>Building
Facade</t>
  </si>
  <si>
    <t>Exterior
Sales</t>
  </si>
  <si>
    <t>Parking
Lot</t>
  </si>
  <si>
    <t>Signage</t>
  </si>
  <si>
    <t>Sporting
Field</t>
  </si>
  <si>
    <t>Walkway/
Area</t>
  </si>
  <si>
    <t>Out_ParkingLot_HID_PercentWatt</t>
  </si>
  <si>
    <t>Out_ParkingLot_LF_PercentWatt</t>
  </si>
  <si>
    <t>Out_ParkingLot_LED_PercentWatt</t>
  </si>
  <si>
    <t>Out_Facade_HID_PercentWatt</t>
  </si>
  <si>
    <t>Out_Facade_LED_PercentWatt</t>
  </si>
  <si>
    <t>Out_Facade_CFL_PercentWatt</t>
  </si>
  <si>
    <t>Out_Facade_INC_PercentWatt</t>
  </si>
  <si>
    <t>Out_Walkway_HID_PercentWatt</t>
  </si>
  <si>
    <t>Out_Walkway_CFL_PercentWatt</t>
  </si>
  <si>
    <t>Out_Walkway_INC_PercentWatt</t>
  </si>
  <si>
    <t>Out_Walkway_LED_PercentWatt</t>
  </si>
  <si>
    <t>Use "All" values at right for 7P analysis for Exterior</t>
  </si>
  <si>
    <t>Sum of Sf_State</t>
  </si>
  <si>
    <t>From Grist CBSA State Case Weights 2014-12-19.xlsx</t>
  </si>
  <si>
    <t>Average of Total Levelized Cost</t>
  </si>
  <si>
    <t>Proxy Measure Name</t>
  </si>
  <si>
    <t>BType</t>
  </si>
  <si>
    <t>CFL to LED DL</t>
  </si>
  <si>
    <t>F96T12 to T8HP</t>
  </si>
  <si>
    <t>INC to CFL</t>
  </si>
  <si>
    <t>INC to CMH35</t>
  </si>
  <si>
    <t>Inc-PAR-IRL to CMH25</t>
  </si>
  <si>
    <t>Inc-PAR-IRL to Inc-PAR-HIR</t>
  </si>
  <si>
    <t>Inc-R to LED DL</t>
  </si>
  <si>
    <t>Large MH to T5HO</t>
  </si>
  <si>
    <t>Med MH to T5HO</t>
  </si>
  <si>
    <t>Med MH to T8HP</t>
  </si>
  <si>
    <t>None</t>
  </si>
  <si>
    <t>Small MH to CF-R</t>
  </si>
  <si>
    <t>T12-3 to T8HP-2</t>
  </si>
  <si>
    <t>T8-2 to T8HP-2</t>
  </si>
  <si>
    <t>T8-2 to T8HP-2 &amp; Adv Pendant</t>
  </si>
  <si>
    <t>T8-2 to T8HP-2 &amp; Adv Troffer</t>
  </si>
  <si>
    <t>T8-3 to T8HP-2</t>
  </si>
  <si>
    <t>T8-4 to T8HP-3</t>
  </si>
  <si>
    <t>T8-4 to T8HP-4</t>
  </si>
  <si>
    <t>From Pivot Map in PC-LPD-Package-6p-D16</t>
  </si>
  <si>
    <t>Sum Check</t>
  </si>
  <si>
    <t>Distribution of Outdoor Watts</t>
  </si>
  <si>
    <t>Univeristy</t>
  </si>
  <si>
    <t>Calc kWh/sf (from Mean)</t>
  </si>
  <si>
    <t>Calc kWh/sf (from Median)</t>
  </si>
  <si>
    <t>Sum of Sf_PNW</t>
  </si>
  <si>
    <t>Sum of Sf_PNW_Gas_EUI_Normalized</t>
  </si>
  <si>
    <t xml:space="preserve">Sf_PNW Weather Normalized Electric EUI </t>
  </si>
  <si>
    <t xml:space="preserve">Sf_PNW Weather Normalized Gas EUI </t>
  </si>
  <si>
    <t>(from initial December Data)</t>
  </si>
  <si>
    <t>Grand Total with Hosp and Univ</t>
  </si>
  <si>
    <t>Whole Building Electric EUI from CBSA</t>
  </si>
  <si>
    <t>Whole Building Gas &amp; Electric EUI CBSA</t>
  </si>
  <si>
    <t>HeatSys_Primary_PrimFuel</t>
  </si>
  <si>
    <t>Count of Bldg_Name</t>
  </si>
  <si>
    <t>Sum of Sf_PNW (New Data)</t>
  </si>
  <si>
    <t>Sum of Chiller_Qty</t>
  </si>
  <si>
    <t>Average of LPD_Ind</t>
  </si>
  <si>
    <t>WT Average of LPD_Ind</t>
  </si>
  <si>
    <t>WT Average of Annual Hrs_Light</t>
  </si>
  <si>
    <t>Average of HeatSys_ Electricity_Pct</t>
  </si>
  <si>
    <t>WT Average of HeatSys_ Electricity_Pct</t>
  </si>
  <si>
    <t>Average of Hrs_Occupied</t>
  </si>
  <si>
    <t>New EUIs</t>
  </si>
  <si>
    <t>Average of HeatSys_Electricity_Pct</t>
  </si>
  <si>
    <t>Large</t>
  </si>
  <si>
    <t>Small</t>
  </si>
  <si>
    <t>Medium</t>
  </si>
  <si>
    <t>Xlarge</t>
  </si>
  <si>
    <t>Watts per SF Non-Park</t>
  </si>
  <si>
    <t>Sum of msf.pnw.tot</t>
  </si>
  <si>
    <t>Non-Park SF</t>
  </si>
  <si>
    <t>Total Watt/Total SF</t>
  </si>
  <si>
    <t>From Chris Newton</t>
  </si>
  <si>
    <t>From CBSA Detailed Lighting</t>
  </si>
  <si>
    <t>GRISTv1_CBSA Public Detailed Lighting Table 2014-10-31.xlsx</t>
  </si>
  <si>
    <t>FloorA%REG</t>
  </si>
  <si>
    <t>(Multiple Items)</t>
  </si>
  <si>
    <t>Sum of Sf_PNW_LPD_IndPark</t>
  </si>
  <si>
    <t>Statistically Significant</t>
  </si>
  <si>
    <t>New Stock</t>
  </si>
  <si>
    <t>Total Savings Potential</t>
  </si>
  <si>
    <t>aMW</t>
  </si>
  <si>
    <t>Post 2004</t>
  </si>
  <si>
    <t>Count of Sf_PNW_LPD_IndPark2</t>
  </si>
  <si>
    <t>Indoor LPD Non-Park</t>
  </si>
  <si>
    <t>From CBSA</t>
  </si>
  <si>
    <t>Code LPD</t>
  </si>
  <si>
    <t>Watts per KSF</t>
  </si>
  <si>
    <t>Step 2: Collapse to Analysis Bins.  This step combines some lamp types and removes some connected Watts from potential assessment. For example Watts altready LED.</t>
  </si>
  <si>
    <t>Incandescent Adjust</t>
  </si>
  <si>
    <t>Linear Fluorescent Adjust</t>
  </si>
  <si>
    <t xml:space="preserve">Step 3: Adjustment for impact of federal standards.  From Navigant Lighting Model for 2013 (CBSA) baseline - no shift. </t>
  </si>
  <si>
    <t>Step 4:  Parse to 7P Btypes and add Hospital and University</t>
  </si>
  <si>
    <t>Xlarge Ret</t>
  </si>
  <si>
    <t>Large Ret</t>
  </si>
  <si>
    <t>Medium Ret</t>
  </si>
  <si>
    <t>Small Ret</t>
  </si>
  <si>
    <t>Weighted Avg Bldg</t>
  </si>
  <si>
    <t>Base Lamp Type</t>
  </si>
  <si>
    <t>Fixt ID</t>
  </si>
  <si>
    <t>LF</t>
  </si>
  <si>
    <t>CAN</t>
  </si>
  <si>
    <t>Display or Track Lighting</t>
  </si>
  <si>
    <t>DISP</t>
  </si>
  <si>
    <t>HIGHBAY</t>
  </si>
  <si>
    <t>OTHER</t>
  </si>
  <si>
    <t>LF2018</t>
  </si>
  <si>
    <t>INC_HAL</t>
  </si>
  <si>
    <t>HID_CMH</t>
  </si>
  <si>
    <t>LF_LF2018</t>
  </si>
  <si>
    <t>CAN_CFL</t>
  </si>
  <si>
    <t>CAN_INC_HAL</t>
  </si>
  <si>
    <t>DISP_CFL</t>
  </si>
  <si>
    <t>DISP_INC_HAL</t>
  </si>
  <si>
    <t>HIGHBAY_LF2018</t>
  </si>
  <si>
    <t>HIGHBAY_HID</t>
  </si>
  <si>
    <t>OTHER_CFL</t>
  </si>
  <si>
    <t>OTHER_INC_HAL</t>
  </si>
  <si>
    <t>Base System Spec Lookup ID</t>
  </si>
  <si>
    <t>LPD by Base System Spec Lookup ID in W/SF for Existing Buildings</t>
  </si>
  <si>
    <t>LPD by Base System Spec Lookup ID in W/KSF for Existing Buildings</t>
  </si>
  <si>
    <t>Step 1: Start with existing stock in 2013 before adjustment for standards, all vintages</t>
  </si>
  <si>
    <t>Step 1: Start with existing stock in 2013 before adjustment for standards, NEW vintages (2004-2014)</t>
  </si>
  <si>
    <t>Max Savings in aMW</t>
  </si>
  <si>
    <t>MSF</t>
  </si>
  <si>
    <t>aMW Savings</t>
  </si>
  <si>
    <t>Savings as Fracion of Existing LPD</t>
  </si>
  <si>
    <t>Initial Assessment</t>
  </si>
  <si>
    <t>Pre _2014 Indoor Lighting Characteristics</t>
  </si>
  <si>
    <t>Post_2014 Indoor Lighting Characteristics</t>
  </si>
  <si>
    <t>LPD from CBSA 2004-2014 cohort</t>
  </si>
  <si>
    <t>LPD Post 2004 Stock/Code</t>
  </si>
  <si>
    <t>LPD by Base System Spec Lookup ID in W/KSF for NEW Buildings</t>
  </si>
  <si>
    <t>Assign Indoor Lighing Power to Base System Fixture and Lamp Type</t>
  </si>
  <si>
    <t>New</t>
  </si>
  <si>
    <t>Existing</t>
  </si>
  <si>
    <t>Hours of Lighitng Operation</t>
  </si>
  <si>
    <t>LPD Distributions from CBSA</t>
  </si>
  <si>
    <t>CBSA Lighting Tables</t>
  </si>
  <si>
    <t>Parse CBSA Lilghitng Data to Energy Use by Building Type</t>
  </si>
  <si>
    <t>Building Code Adjustment</t>
  </si>
  <si>
    <t>Step 3: Adjustment for impact of federal standards AND Building Codes.  From Navigant Lighting Model for 2013 (CBSA) baseline - no shift. AND NEEA Code analysis by Mike Kennedy.</t>
  </si>
  <si>
    <t>IDX</t>
  </si>
  <si>
    <t>MOPP</t>
  </si>
  <si>
    <t>FIX/LAMP</t>
  </si>
  <si>
    <t>EE Measure</t>
  </si>
  <si>
    <t>EE System Spec Lookup ID</t>
  </si>
  <si>
    <t>Redux</t>
  </si>
  <si>
    <t>Sales Pen</t>
  </si>
  <si>
    <t>Feas</t>
  </si>
  <si>
    <t>Measrure Overlap</t>
  </si>
  <si>
    <t>MOverlap</t>
  </si>
  <si>
    <t>NRShare</t>
  </si>
  <si>
    <t>RetroShare</t>
  </si>
  <si>
    <t>FIX_REPL</t>
  </si>
  <si>
    <t>LED_FIX_KIT</t>
  </si>
  <si>
    <t>LF_LED_FIX_KIT</t>
  </si>
  <si>
    <t>CAN_LED_FIX_KIT</t>
  </si>
  <si>
    <t>DISP_LED_FIX_KIT</t>
  </si>
  <si>
    <t>HIGHBAY_LED_FIX_KIT</t>
  </si>
  <si>
    <t>x</t>
  </si>
  <si>
    <t>NR</t>
  </si>
  <si>
    <t>LED_FIX_KIT_RDX</t>
  </si>
  <si>
    <t>LF_FIX_KIT_RDX</t>
  </si>
  <si>
    <t>TLED_PIN</t>
  </si>
  <si>
    <t>LF_TLED_PIN_DIRECT_LINE_V</t>
  </si>
  <si>
    <t>TLED_PIN_RDX</t>
  </si>
  <si>
    <t>Retro</t>
  </si>
  <si>
    <t>LAMP_REPL</t>
  </si>
  <si>
    <t>LF_TLED_PIN_OVER_BALLAST</t>
  </si>
  <si>
    <t>LED_CAN_LAMP</t>
  </si>
  <si>
    <t>CAN_LED_CAN_LAMP</t>
  </si>
  <si>
    <t>LED_PAR_MR</t>
  </si>
  <si>
    <t>DISP_LED_PAR_MR</t>
  </si>
  <si>
    <t>DISP_HID_CMH</t>
  </si>
  <si>
    <t>LED_OMNI</t>
  </si>
  <si>
    <t>CFL_OMNI</t>
  </si>
  <si>
    <t>OTHER_HID</t>
  </si>
  <si>
    <t>deltaW</t>
  </si>
  <si>
    <t>Applicability</t>
  </si>
  <si>
    <t>Fixture Class</t>
  </si>
  <si>
    <t>Measure</t>
  </si>
  <si>
    <t>Measure Competes</t>
  </si>
  <si>
    <t>Lamp &amp; Fitxure Compete?</t>
  </si>
  <si>
    <t>Levelized Cost</t>
  </si>
  <si>
    <t>Delat W</t>
  </si>
  <si>
    <t>Measure Overlap</t>
  </si>
  <si>
    <t>NR_Retro Overlap</t>
  </si>
  <si>
    <t>M Overlap Note</t>
  </si>
  <si>
    <t>NR/Retro Split Note</t>
  </si>
  <si>
    <t>LED Fixt</t>
  </si>
  <si>
    <t>Retro is expensive</t>
  </si>
  <si>
    <t>Split with line V TLED</t>
  </si>
  <si>
    <t>LED Fixt, Rdx</t>
  </si>
  <si>
    <t>Limit Redux to 30% of applications</t>
  </si>
  <si>
    <t>http://apps1.eere.energy.gov/buildings/publications/pdfs/ssl/led_troffer-upgrades_fs.pdf</t>
  </si>
  <si>
    <t>LF Fixt, Rdx</t>
  </si>
  <si>
    <t>TLED</t>
  </si>
  <si>
    <t>Line-V TLED, Split with Fixt</t>
  </si>
  <si>
    <t>TLED, Rdx</t>
  </si>
  <si>
    <t>Drop due to cost</t>
  </si>
  <si>
    <t xml:space="preserve">Lamp over ballst. Limit to newer ballast </t>
  </si>
  <si>
    <t>LED Fixt, INC Base</t>
  </si>
  <si>
    <t>Pin Based</t>
  </si>
  <si>
    <t>LED Fixt, CFL Base</t>
  </si>
  <si>
    <t>Split with retro</t>
  </si>
  <si>
    <t>Sum of Wt_PNW_Site_Watts2</t>
  </si>
  <si>
    <t>Sum of Wt_PNW_Calc_Site_Lamps</t>
  </si>
  <si>
    <t>Most to lamp replace</t>
  </si>
  <si>
    <t>Retro expensive</t>
  </si>
  <si>
    <t>P</t>
  </si>
  <si>
    <t>LED Lamp, INC Base</t>
  </si>
  <si>
    <t>LED Lamp, CFL Base</t>
  </si>
  <si>
    <t>Helen Lamp' Limit to newer ballast (60%), lower wattages (90%), pin based (80%)</t>
  </si>
  <si>
    <t>S</t>
  </si>
  <si>
    <t>Most is retrofit market now</t>
  </si>
  <si>
    <t>CMH Lamp, INC Base</t>
  </si>
  <si>
    <t>Preserve some for CMH applications</t>
  </si>
  <si>
    <t>LED Lamp, CMH Base</t>
  </si>
  <si>
    <t>High Bay</t>
  </si>
  <si>
    <t>LED Fixt, HID Base</t>
  </si>
  <si>
    <t>Favor LED due to delta W</t>
  </si>
  <si>
    <t>HO LF Fixt, HID Base</t>
  </si>
  <si>
    <t>LED Fixt, HO LF Base</t>
  </si>
  <si>
    <t>Favor NR due to cost</t>
  </si>
  <si>
    <t>Lamps all Retro</t>
  </si>
  <si>
    <t>CFL Lamp, INC Base</t>
  </si>
  <si>
    <t>Preserve some for CFL applications</t>
  </si>
  <si>
    <t>LED Lamp, HID Base</t>
  </si>
  <si>
    <t>DOE 2014 SSL Assessment</t>
  </si>
  <si>
    <t>Sales Penetration Estimates for Solid State Lighting</t>
  </si>
  <si>
    <t>Type</t>
  </si>
  <si>
    <t>Sub Type</t>
  </si>
  <si>
    <t>DOE Forecast for 2015</t>
  </si>
  <si>
    <t>NEEA/BPA Sales Estimates 2014</t>
  </si>
  <si>
    <t>Council FC Forecast Baseline (2016)</t>
  </si>
  <si>
    <t>Notes</t>
  </si>
  <si>
    <t>General Service</t>
  </si>
  <si>
    <t>?</t>
  </si>
  <si>
    <t>Directional</t>
  </si>
  <si>
    <t>PAR Lamp</t>
  </si>
  <si>
    <t>MR Lamp</t>
  </si>
  <si>
    <t>PAR Fixture</t>
  </si>
  <si>
    <t>MR Fixture</t>
  </si>
  <si>
    <t>Downlight</t>
  </si>
  <si>
    <t>DL Lamp</t>
  </si>
  <si>
    <t>DL Luminaire</t>
  </si>
  <si>
    <t>Linear Fluorescent Fixture</t>
  </si>
  <si>
    <t>Commercial</t>
  </si>
  <si>
    <t>Industrtial</t>
  </si>
  <si>
    <t>Low/High Bay</t>
  </si>
  <si>
    <t>Street &amp; Roadway</t>
  </si>
  <si>
    <t>Parking</t>
  </si>
  <si>
    <t>Lot</t>
  </si>
  <si>
    <t>Garage</t>
  </si>
  <si>
    <t>Base Applicable LPD New (W/KSF)</t>
  </si>
  <si>
    <t>Base Applicable LPD NR/Retro (W/KSF)</t>
  </si>
  <si>
    <t>LPD by Base System Spec Lookup ID in W/SF for NEW Buildings</t>
  </si>
  <si>
    <t>NEW</t>
  </si>
  <si>
    <t>EXISTING</t>
  </si>
  <si>
    <t>MOPP Measure Name</t>
  </si>
  <si>
    <t>New_LF_FIX_REPL_from LF2018 to LED_FIX_KIT</t>
  </si>
  <si>
    <t>New_CAN_FIX_REPL_from CFL to LED_FIX_KIT</t>
  </si>
  <si>
    <t>New_CAN_FIX_REPL_from INC_HAL to LED_FIX_KIT</t>
  </si>
  <si>
    <t>New_DISP_FIX_REPL_from CFL to LED_FIX_KIT</t>
  </si>
  <si>
    <t>New_DISP_FIX_REPL_from INC_HAL to LED_FIX_KIT</t>
  </si>
  <si>
    <t>New_HIGHBAY_FIX_REPL_from HID to LED_FIX_KIT</t>
  </si>
  <si>
    <t>New_HIGHBAY_FIX_REPL_from HID to LF2018</t>
  </si>
  <si>
    <t>New_HIGHBAY_FIX_REPL_from LF2018 to LED_FIX_KIT</t>
  </si>
  <si>
    <t>NR_LF_FIX_REPL_from LF2018 to LED_FIX_KIT</t>
  </si>
  <si>
    <t>NR_LF_FIX_REPL_from LF2018 to LED_FIX_KIT_RDX</t>
  </si>
  <si>
    <t>NR_LF_FIX_REPL_from LF2018 to LF_FIX_KIT_RDX</t>
  </si>
  <si>
    <t>NR_LF_FIX_REPL_from LF2018 to TLED_PIN</t>
  </si>
  <si>
    <t>NR_LF_FIX_REPL_from LF2018 to TLED_PIN_RDX</t>
  </si>
  <si>
    <t>NR_CAN_FIX_REPL_from CFL to LED_FIX_KIT</t>
  </si>
  <si>
    <t>NR_CAN_FIX_REPL_from INC_HAL to LED_FIX_KIT</t>
  </si>
  <si>
    <t>NR_DISP_FIX_REPL_from CFL to LED_FIX_KIT</t>
  </si>
  <si>
    <t>NR_DISP_FIX_REPL_from INC_HAL to LED_FIX_KIT</t>
  </si>
  <si>
    <t>NR_HIGHBAY_FIX_REPL_from HID to LED_FIX_KIT</t>
  </si>
  <si>
    <t>NR_HIGHBAY_FIX_REPL_from HID to LF2018</t>
  </si>
  <si>
    <t>NR_HIGHBAY_FIX_REPL_from LF2018 to LED_FIX_KIT</t>
  </si>
  <si>
    <t>Retro_LF_FIX_REPL_from LF2018 to LED_FIX_KIT</t>
  </si>
  <si>
    <t>Retro_LF_FIX_REPL_from LF2018 to LED_FIX_KIT_RDX</t>
  </si>
  <si>
    <t>Retro_LF_FIX_REPL_from LF2018 to LF_FIX_KIT_RDX</t>
  </si>
  <si>
    <t>Retro_CAN_FIX_REPL_from CFL to LED_FIX_KIT</t>
  </si>
  <si>
    <t>Retro_CAN_FIX_REPL_from INC_HAL to LED_FIX_KIT</t>
  </si>
  <si>
    <t>Retro_DISP_FIX_REPL_from CFL to LED_FIX_KIT</t>
  </si>
  <si>
    <t>Retro_DISP_FIX_REPL_from INC_HAL to LED_FIX_KIT</t>
  </si>
  <si>
    <t>Retro_HIGHBAY_FIX_REPL_from HID to LED_FIX_KIT</t>
  </si>
  <si>
    <t>Retro_HIGHBAY_FIX_REPL_from HID to LF2018</t>
  </si>
  <si>
    <t>Retro_HIGHBAY_FIX_REPL_from LF2018 to LED_FIX_KIT</t>
  </si>
  <si>
    <t>Retro_LF_LAMP_REPL_from LF2018 to TLED_PIN</t>
  </si>
  <si>
    <t>Retro_LF_LAMP_REPL_from LF2018 to TLED_PIN_RDX</t>
  </si>
  <si>
    <t>Retro_CAN_LAMP_REPL_from CFL to LED_CAN_LAMP</t>
  </si>
  <si>
    <t>Retro_CAN_LAMP_REPL_from INC_HAL to LED_CAN_LAMP</t>
  </si>
  <si>
    <t>Retro_DISP_LAMP_REPL_from CFL to LED_PAR_MR</t>
  </si>
  <si>
    <t>Retro_DISP_LAMP_REPL_from INC_HAL to LED_PAR_MR</t>
  </si>
  <si>
    <t>Retro_DISP_LAMP_REPL_from INC_HAL to HID_CMH</t>
  </si>
  <si>
    <t>Retro_DISP_LAMP_REPL_from HID_CMH to LED_PAR_MR</t>
  </si>
  <si>
    <t>Retro_OTHER_LAMP_REPL_from CFL to LED_OMNI</t>
  </si>
  <si>
    <t>Retro_OTHER_LAMP_REPL_from INC_HAL to LED_OMNI</t>
  </si>
  <si>
    <t>Retro_OTHER_LAMP_REPL_from INC_HAL to CFL_OMNI</t>
  </si>
  <si>
    <t>Retro_OTHER_LAMP_REPL_from HID to LED_OMNI</t>
  </si>
  <si>
    <t>Lookup Value</t>
  </si>
  <si>
    <t>Turnover Rate</t>
  </si>
  <si>
    <t>&lt;= measure not used</t>
  </si>
  <si>
    <t>Mean LPD for Stock (V2004-2014)</t>
  </si>
  <si>
    <t>Code Baseline LPD (OR&amp;WA Max allowed)</t>
  </si>
  <si>
    <t>Simple Lighting EUI Code (kWh/sf)</t>
  </si>
  <si>
    <t>Simple Lighting EUI Target (kWh/sf)</t>
  </si>
  <si>
    <t>Simple Lighting EUI (V2004-2014)</t>
  </si>
  <si>
    <t>Indoor Watts per SF Non-Park</t>
  </si>
  <si>
    <t>n=517</t>
  </si>
  <si>
    <t>n=295</t>
  </si>
  <si>
    <t>Pre Count</t>
  </si>
  <si>
    <t>Post Count</t>
  </si>
  <si>
    <t>Savings Delta in kWh/sf Code to Target</t>
  </si>
  <si>
    <t>Feasibility</t>
  </si>
  <si>
    <t>Feasibility Note</t>
  </si>
  <si>
    <t>No limit in New</t>
  </si>
  <si>
    <t>Fixture_Category</t>
  </si>
  <si>
    <t>Sum of Wt_PNW_Site_Fixture_Qty</t>
  </si>
  <si>
    <t>Sum of Wt_PNW_Site_Fixture_Qty2</t>
  </si>
  <si>
    <t>Sum of Wt_PNW_Calc_Site_Lamps2</t>
  </si>
  <si>
    <t>D</t>
  </si>
  <si>
    <t>G</t>
  </si>
  <si>
    <t>H-D</t>
  </si>
  <si>
    <t>H-G</t>
  </si>
  <si>
    <t>H-R</t>
  </si>
  <si>
    <t>R</t>
  </si>
  <si>
    <t>Un</t>
  </si>
  <si>
    <t>Limited product for high lumen applications</t>
  </si>
  <si>
    <t>CBSA 'Other' Incandescent</t>
  </si>
  <si>
    <t>Exclude half of decorative incadescent</t>
  </si>
  <si>
    <t>CBSA Recessed Can with CFL</t>
  </si>
  <si>
    <t>Existing Mean to Code</t>
  </si>
  <si>
    <t>Delta Stock Mean LPD to Code (W/sf)</t>
  </si>
  <si>
    <t>Delta Stock Mean LPD to Code (%)</t>
  </si>
  <si>
    <t>This table moved to Com-Lighting Interior</t>
  </si>
  <si>
    <t>This table also embeeded in Com-LightInterior</t>
  </si>
  <si>
    <t>Supporting data from CBSA Oct 31 Dataset.  Derrived from pivot tablers on Site file and Detailed Lighitng file.</t>
  </si>
  <si>
    <t>Other data</t>
  </si>
  <si>
    <t>CBSA Recessed Can with CFL Pin based</t>
  </si>
  <si>
    <t>Source:  CBSA Lighting Tables 2014-11-26  from Chris Newton from Navigant</t>
  </si>
  <si>
    <t>Pre2014 LPD Post Standards and Code Excludes LED</t>
  </si>
  <si>
    <t>Remainder</t>
  </si>
  <si>
    <t>Baseline kWh/sf (Pre)</t>
  </si>
  <si>
    <t>Savings kWh/sf (Post)</t>
  </si>
  <si>
    <t>EE Case Use kWh/sf (Post)</t>
  </si>
  <si>
    <t>Savings (%)</t>
  </si>
  <si>
    <t>LPD Reduction by Lixture Class</t>
  </si>
  <si>
    <t xml:space="preserve"> 4 ft x  1 ft, Pendant</t>
  </si>
  <si>
    <t>4 ft x 1 ft Linear Fluorescent</t>
  </si>
  <si>
    <t>Pendants</t>
  </si>
  <si>
    <t xml:space="preserve"> 4 ft x  1 ft, Pendant-Both</t>
  </si>
  <si>
    <t xml:space="preserve"> 4 ft x  1 ft, Pendant-Direct</t>
  </si>
  <si>
    <t xml:space="preserve"> 4 ft x  1 ft, Pendant-Indirect</t>
  </si>
  <si>
    <t xml:space="preserve"> 4 ft x  1 ft, Recessed</t>
  </si>
  <si>
    <t>Recessed</t>
  </si>
  <si>
    <t xml:space="preserve"> 4 ft x  1 ft, Recessed-Both</t>
  </si>
  <si>
    <t xml:space="preserve"> 4 ft x  1 ft, Recessed-Direct</t>
  </si>
  <si>
    <t xml:space="preserve"> 4 ft x  1 ft, Recessed-Indirect</t>
  </si>
  <si>
    <t xml:space="preserve"> 4 ft x  1 ft, Surface</t>
  </si>
  <si>
    <t>Surface</t>
  </si>
  <si>
    <t xml:space="preserve"> 4 ft x  1 ft, Surface-Both</t>
  </si>
  <si>
    <t xml:space="preserve"> 4 ft x  1 ft, Surface-Direct</t>
  </si>
  <si>
    <t xml:space="preserve"> 4 ft x  1 ft, Surface-Indirect</t>
  </si>
  <si>
    <t xml:space="preserve"> 4 ft x  1 ft, Unknown Mount</t>
  </si>
  <si>
    <t>Unknown</t>
  </si>
  <si>
    <t xml:space="preserve"> 4 ft x  2 ft, Pendant</t>
  </si>
  <si>
    <t>4 ft x 2 ft Linear Fluorescent</t>
  </si>
  <si>
    <t xml:space="preserve"> 4 ft x  2 ft, Pendant-Both</t>
  </si>
  <si>
    <t xml:space="preserve"> 4 ft x  2 ft, Pendant-Direct</t>
  </si>
  <si>
    <t xml:space="preserve"> 4 ft x  2 ft, Pendant-Indirect</t>
  </si>
  <si>
    <t xml:space="preserve"> 4 ft x  2 ft, Recessed</t>
  </si>
  <si>
    <t xml:space="preserve"> 4 ft x  2 ft, Recessed-Both</t>
  </si>
  <si>
    <t xml:space="preserve"> 4 ft x  2 ft, Recessed-Direct</t>
  </si>
  <si>
    <t xml:space="preserve"> 4 ft x  2 ft, Recessed-Indirect</t>
  </si>
  <si>
    <t xml:space="preserve"> 4 ft x  2 ft, Surface</t>
  </si>
  <si>
    <t xml:space="preserve"> 4 ft x  2 ft, Surface-Both</t>
  </si>
  <si>
    <t xml:space="preserve"> 4 ft x  2 ft, Surface-Direct</t>
  </si>
  <si>
    <t xml:space="preserve"> 4 ft x  2 ft, Surface-Indirect</t>
  </si>
  <si>
    <t xml:space="preserve"> 4 ft x  2 ft, Unknown Mount</t>
  </si>
  <si>
    <t>Pendant</t>
  </si>
  <si>
    <t>Pendant-Both</t>
  </si>
  <si>
    <t>Pendant-Direct</t>
  </si>
  <si>
    <t>Pendant-Indirect</t>
  </si>
  <si>
    <t>Recessed-Both</t>
  </si>
  <si>
    <t>Recessed-Direct</t>
  </si>
  <si>
    <t>Recessed-Indirect</t>
  </si>
  <si>
    <t>Surface-Both</t>
  </si>
  <si>
    <t>Surface-Direct</t>
  </si>
  <si>
    <t>Surface-Indirect</t>
  </si>
  <si>
    <t>Unknown Mount</t>
  </si>
  <si>
    <t>From CBSA:  GRISTv1_CBSA Public Detailed Lighting Table 2014-10-31.xlsx</t>
  </si>
  <si>
    <t xml:space="preserve">Four foot linear fluorescent fixtures comprose about 83% of connected LF Watts. </t>
  </si>
  <si>
    <t>Four foot LF:  Pendant 18%, Recessed 38%, 24% Surface.  Surface direct about 20%.  Some of those are bare strip with high fixture efficacy.</t>
  </si>
  <si>
    <t>Share</t>
  </si>
  <si>
    <t>Weighted Average</t>
  </si>
  <si>
    <t>Fixture Efficacy Estimate</t>
  </si>
  <si>
    <t>About 10% of incandescent is decorative</t>
  </si>
  <si>
    <t>About 80% Pin Based</t>
  </si>
  <si>
    <t>About 10% of pin based is greater than 32W</t>
  </si>
  <si>
    <t>Luminaires favored for most applications</t>
  </si>
  <si>
    <t>Ceiling access a significant limitation in NR cases so those favor kits or Line-V tubes</t>
  </si>
  <si>
    <t>Line V tubes limited by fixture efficacy and lumen output</t>
  </si>
  <si>
    <t>Weighted by Floor Area</t>
  </si>
  <si>
    <t>Average Over Years</t>
  </si>
  <si>
    <t>Year_1&amp;2_Ago</t>
  </si>
  <si>
    <t>Year_1&amp;2&amp;3_Ago</t>
  </si>
  <si>
    <t>Year_1thru5_Ago</t>
  </si>
  <si>
    <t>Year_0&amp;1&amp;2_Ago</t>
  </si>
  <si>
    <t>Fixtures Impacted</t>
  </si>
  <si>
    <t>Fixture Renovation data</t>
  </si>
  <si>
    <t>From:   Fixture Ballast Ren Tables.xlsx</t>
  </si>
  <si>
    <t>Ren_Ballast_YearsAgo</t>
  </si>
  <si>
    <t>Ballasts Impacted</t>
  </si>
  <si>
    <t>Ballast Renovation data</t>
  </si>
  <si>
    <t>EECase LPD (w/sf)</t>
  </si>
  <si>
    <t>EECase Lighting EUI (kWh/sf)</t>
  </si>
  <si>
    <t>Post EE Case</t>
  </si>
  <si>
    <t>Post EE Case Target</t>
  </si>
  <si>
    <t>Post EE Case Fixt</t>
  </si>
  <si>
    <t>Item</t>
  </si>
  <si>
    <t>LPDAdjust</t>
  </si>
  <si>
    <t>LPD Adjustment</t>
  </si>
  <si>
    <t>Adjust for Prog Accomp 2014-15</t>
  </si>
  <si>
    <t>Year</t>
  </si>
  <si>
    <t>Achieved aMW (Busbar)</t>
  </si>
  <si>
    <t>Sector and End Use</t>
  </si>
  <si>
    <t>From Six Going on Seven Database</t>
  </si>
  <si>
    <t>Forecast</t>
  </si>
  <si>
    <t>Floor Area</t>
  </si>
  <si>
    <t>kWh/sf</t>
  </si>
  <si>
    <t>Lighting 9 (aMW)</t>
  </si>
  <si>
    <t>million kWh</t>
  </si>
  <si>
    <t>Change in Base LPD (W/Ksf)</t>
  </si>
</sst>
</file>

<file path=xl/styles.xml><?xml version="1.0" encoding="utf-8"?>
<styleSheet xmlns="http://schemas.openxmlformats.org/spreadsheetml/2006/main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* #,##0_);_(* \(#,##0\);_(* &quot;-&quot;??_);_(@_)"/>
    <numFmt numFmtId="167" formatCode="_(* #,##0.0_);_(* \(#,##0.0\);_(* &quot;-&quot;??_);_(@_)"/>
    <numFmt numFmtId="168" formatCode="0.0%"/>
    <numFmt numFmtId="169" formatCode="mm/dd/yyyy\ hh:mm:ss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</numFmts>
  <fonts count="4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i/>
      <sz val="12"/>
      <color theme="1"/>
      <name val="Arial"/>
      <family val="2"/>
    </font>
    <font>
      <sz val="18"/>
      <color theme="1"/>
      <name val="Arial"/>
      <family val="2"/>
    </font>
    <font>
      <i/>
      <sz val="18"/>
      <color theme="1"/>
      <name val="Arial"/>
      <family val="2"/>
    </font>
    <font>
      <sz val="10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1"/>
      <color theme="1"/>
      <name val="bri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9"/>
      <color theme="1"/>
      <name val="Arial"/>
      <family val="2"/>
    </font>
    <font>
      <sz val="10"/>
      <color theme="4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6"/>
      <color theme="1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6" fillId="4" borderId="0">
      <alignment wrapText="1"/>
    </xf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169" fontId="6" fillId="0" borderId="0">
      <alignment wrapText="1"/>
    </xf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3" fillId="0" borderId="0">
      <alignment readingOrder="1"/>
    </xf>
    <xf numFmtId="0" fontId="26" fillId="0" borderId="0" applyNumberFormat="0" applyFill="0" applyBorder="0" applyAlignment="0" applyProtection="0"/>
    <xf numFmtId="0" fontId="18" fillId="0" borderId="0"/>
    <xf numFmtId="0" fontId="27" fillId="0" borderId="31" applyNumberFormat="0" applyFill="0" applyAlignment="0" applyProtection="0"/>
    <xf numFmtId="0" fontId="28" fillId="0" borderId="32" applyNumberFormat="0" applyFill="0" applyAlignment="0" applyProtection="0"/>
    <xf numFmtId="0" fontId="29" fillId="0" borderId="33" applyNumberFormat="0" applyFill="0" applyAlignment="0" applyProtection="0"/>
    <xf numFmtId="0" fontId="29" fillId="0" borderId="0" applyNumberFormat="0" applyFill="0" applyBorder="0" applyAlignment="0" applyProtection="0"/>
    <xf numFmtId="0" fontId="30" fillId="27" borderId="0" applyNumberFormat="0" applyBorder="0" applyAlignment="0" applyProtection="0"/>
    <xf numFmtId="0" fontId="31" fillId="28" borderId="0" applyNumberFormat="0" applyBorder="0" applyAlignment="0" applyProtection="0"/>
    <xf numFmtId="0" fontId="32" fillId="29" borderId="0" applyNumberFormat="0" applyBorder="0" applyAlignment="0" applyProtection="0"/>
    <xf numFmtId="0" fontId="33" fillId="30" borderId="34" applyNumberFormat="0" applyAlignment="0" applyProtection="0"/>
    <xf numFmtId="0" fontId="34" fillId="31" borderId="35" applyNumberFormat="0" applyAlignment="0" applyProtection="0"/>
    <xf numFmtId="0" fontId="35" fillId="31" borderId="34" applyNumberFormat="0" applyAlignment="0" applyProtection="0"/>
    <xf numFmtId="0" fontId="36" fillId="0" borderId="36" applyNumberFormat="0" applyFill="0" applyAlignment="0" applyProtection="0"/>
    <xf numFmtId="0" fontId="37" fillId="32" borderId="37" applyNumberFormat="0" applyAlignment="0" applyProtection="0"/>
    <xf numFmtId="0" fontId="38" fillId="0" borderId="0" applyNumberFormat="0" applyFill="0" applyBorder="0" applyAlignment="0" applyProtection="0"/>
    <xf numFmtId="0" fontId="18" fillId="33" borderId="38" applyNumberFormat="0" applyFont="0" applyAlignment="0" applyProtection="0"/>
    <xf numFmtId="0" fontId="39" fillId="0" borderId="0" applyNumberFormat="0" applyFill="0" applyBorder="0" applyAlignment="0" applyProtection="0"/>
    <xf numFmtId="0" fontId="17" fillId="0" borderId="39" applyNumberFormat="0" applyFill="0" applyAlignment="0" applyProtection="0"/>
    <xf numFmtId="0" fontId="19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8" fillId="47" borderId="0" applyNumberFormat="0" applyBorder="0" applyAlignment="0" applyProtection="0"/>
    <xf numFmtId="0" fontId="18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8" fillId="55" borderId="0" applyNumberFormat="0" applyBorder="0" applyAlignment="0" applyProtection="0"/>
    <xf numFmtId="0" fontId="18" fillId="56" borderId="0" applyNumberFormat="0" applyBorder="0" applyAlignment="0" applyProtection="0"/>
    <xf numFmtId="0" fontId="19" fillId="57" borderId="0" applyNumberFormat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</cellStyleXfs>
  <cellXfs count="555">
    <xf numFmtId="0" fontId="0" fillId="0" borderId="0" xfId="0"/>
    <xf numFmtId="0" fontId="3" fillId="0" borderId="0" xfId="3"/>
    <xf numFmtId="9" fontId="3" fillId="0" borderId="0" xfId="2" applyFont="1"/>
    <xf numFmtId="9" fontId="3" fillId="0" borderId="0" xfId="2" applyFont="1" applyFill="1"/>
    <xf numFmtId="0" fontId="3" fillId="2" borderId="0" xfId="3" applyFill="1"/>
    <xf numFmtId="0" fontId="3" fillId="0" borderId="0" xfId="3" applyFill="1"/>
    <xf numFmtId="2" fontId="3" fillId="0" borderId="0" xfId="3" applyNumberFormat="1" applyFill="1"/>
    <xf numFmtId="0" fontId="3" fillId="0" borderId="0" xfId="3" applyFont="1"/>
    <xf numFmtId="164" fontId="3" fillId="0" borderId="0" xfId="3" applyNumberFormat="1" applyFill="1"/>
    <xf numFmtId="0" fontId="3" fillId="3" borderId="2" xfId="3" applyFill="1" applyBorder="1"/>
    <xf numFmtId="0" fontId="3" fillId="3" borderId="2" xfId="3" applyFont="1" applyFill="1" applyBorder="1"/>
    <xf numFmtId="0" fontId="3" fillId="3" borderId="2" xfId="3" applyFill="1" applyBorder="1" applyAlignment="1">
      <alignment wrapText="1"/>
    </xf>
    <xf numFmtId="1" fontId="3" fillId="0" borderId="0" xfId="3" applyNumberFormat="1"/>
    <xf numFmtId="1" fontId="3" fillId="0" borderId="0" xfId="3" applyNumberFormat="1" applyFill="1"/>
    <xf numFmtId="0" fontId="3" fillId="0" borderId="5" xfId="3" applyFill="1" applyBorder="1"/>
    <xf numFmtId="0" fontId="3" fillId="0" borderId="6" xfId="3" applyFill="1" applyBorder="1"/>
    <xf numFmtId="0" fontId="3" fillId="0" borderId="7" xfId="3" applyFill="1" applyBorder="1"/>
    <xf numFmtId="0" fontId="3" fillId="0" borderId="8" xfId="3" applyFill="1" applyBorder="1"/>
    <xf numFmtId="0" fontId="3" fillId="0" borderId="0" xfId="3" applyFill="1" applyBorder="1"/>
    <xf numFmtId="0" fontId="3" fillId="0" borderId="9" xfId="3" applyFill="1" applyBorder="1"/>
    <xf numFmtId="0" fontId="3" fillId="0" borderId="10" xfId="3" applyFill="1" applyBorder="1"/>
    <xf numFmtId="0" fontId="3" fillId="0" borderId="1" xfId="3" applyFill="1" applyBorder="1"/>
    <xf numFmtId="0" fontId="3" fillId="0" borderId="1" xfId="3" applyFont="1" applyFill="1" applyBorder="1"/>
    <xf numFmtId="0" fontId="3" fillId="0" borderId="11" xfId="3" applyFill="1" applyBorder="1"/>
    <xf numFmtId="0" fontId="0" fillId="0" borderId="0" xfId="0">
      <alignment readingOrder="1"/>
    </xf>
    <xf numFmtId="2" fontId="3" fillId="6" borderId="0" xfId="3" applyNumberFormat="1" applyFill="1"/>
    <xf numFmtId="164" fontId="3" fillId="6" borderId="0" xfId="3" applyNumberFormat="1" applyFill="1"/>
    <xf numFmtId="9" fontId="0" fillId="0" borderId="0" xfId="0" applyNumberFormat="1"/>
    <xf numFmtId="0" fontId="0" fillId="0" borderId="12" xfId="0" applyNumberFormat="1" applyFont="1" applyFill="1" applyBorder="1" applyAlignment="1" applyProtection="1">
      <alignment horizontal="left" vertical="top" wrapText="1"/>
    </xf>
    <xf numFmtId="0" fontId="0" fillId="7" borderId="0" xfId="0" applyNumberFormat="1" applyFont="1" applyFill="1" applyBorder="1" applyAlignment="1" applyProtection="1"/>
    <xf numFmtId="0" fontId="0" fillId="0" borderId="12" xfId="0" applyNumberFormat="1" applyFont="1" applyFill="1" applyBorder="1" applyAlignment="1" applyProtection="1">
      <alignment horizontal="right" wrapText="1"/>
    </xf>
    <xf numFmtId="0" fontId="0" fillId="0" borderId="12" xfId="0" applyNumberFormat="1" applyFont="1" applyFill="1" applyBorder="1" applyAlignment="1" applyProtection="1">
      <alignment horizontal="right" vertical="top" wrapText="1"/>
    </xf>
    <xf numFmtId="9" fontId="0" fillId="8" borderId="12" xfId="2" applyFont="1" applyFill="1" applyBorder="1" applyAlignment="1" applyProtection="1">
      <alignment horizontal="right" vertical="top" wrapText="1"/>
    </xf>
    <xf numFmtId="9" fontId="0" fillId="0" borderId="12" xfId="2" applyFont="1" applyFill="1" applyBorder="1" applyAlignment="1" applyProtection="1">
      <alignment horizontal="right" vertical="top" wrapText="1"/>
    </xf>
    <xf numFmtId="9" fontId="0" fillId="9" borderId="12" xfId="2" applyFont="1" applyFill="1" applyBorder="1" applyAlignment="1" applyProtection="1">
      <alignment horizontal="right" vertical="top" wrapText="1"/>
    </xf>
    <xf numFmtId="0" fontId="0" fillId="7" borderId="0" xfId="0" applyNumberFormat="1" applyFill="1" applyBorder="1" applyAlignment="1" applyProtection="1"/>
    <xf numFmtId="0" fontId="0" fillId="7" borderId="0" xfId="0" applyFont="1" applyFill="1" applyBorder="1" applyAlignment="1" applyProtection="1"/>
    <xf numFmtId="164" fontId="0" fillId="7" borderId="0" xfId="0" applyNumberFormat="1" applyFont="1" applyFill="1" applyBorder="1" applyAlignment="1" applyProtection="1"/>
    <xf numFmtId="164" fontId="0" fillId="10" borderId="0" xfId="0" applyNumberFormat="1" applyFont="1" applyFill="1" applyBorder="1" applyAlignment="1" applyProtection="1"/>
    <xf numFmtId="166" fontId="0" fillId="7" borderId="0" xfId="0" applyNumberFormat="1" applyFont="1" applyFill="1" applyBorder="1" applyAlignment="1" applyProtection="1"/>
    <xf numFmtId="2" fontId="0" fillId="5" borderId="0" xfId="0" applyNumberFormat="1" applyFont="1" applyFill="1" applyBorder="1" applyAlignment="1" applyProtection="1"/>
    <xf numFmtId="2" fontId="0" fillId="10" borderId="0" xfId="0" applyNumberFormat="1" applyFont="1" applyFill="1" applyBorder="1" applyAlignment="1" applyProtection="1"/>
    <xf numFmtId="2" fontId="0" fillId="7" borderId="0" xfId="0" applyNumberFormat="1" applyFont="1" applyFill="1" applyBorder="1" applyAlignment="1" applyProtection="1"/>
    <xf numFmtId="164" fontId="0" fillId="9" borderId="0" xfId="0" applyNumberFormat="1" applyFont="1" applyFill="1" applyBorder="1" applyAlignment="1" applyProtection="1"/>
    <xf numFmtId="2" fontId="0" fillId="11" borderId="0" xfId="0" applyNumberFormat="1" applyFont="1" applyFill="1" applyBorder="1" applyAlignment="1" applyProtection="1"/>
    <xf numFmtId="2" fontId="0" fillId="9" borderId="0" xfId="0" applyNumberFormat="1" applyFont="1" applyFill="1" applyBorder="1" applyAlignment="1" applyProtection="1"/>
    <xf numFmtId="164" fontId="0" fillId="7" borderId="2" xfId="0" applyNumberFormat="1" applyFont="1" applyFill="1" applyBorder="1" applyAlignment="1" applyProtection="1"/>
    <xf numFmtId="164" fontId="0" fillId="11" borderId="0" xfId="0" applyNumberFormat="1" applyFont="1" applyFill="1" applyBorder="1" applyAlignment="1" applyProtection="1"/>
    <xf numFmtId="164" fontId="2" fillId="7" borderId="0" xfId="0" applyNumberFormat="1" applyFont="1" applyFill="1" applyBorder="1" applyAlignment="1" applyProtection="1"/>
    <xf numFmtId="165" fontId="0" fillId="7" borderId="2" xfId="0" applyNumberFormat="1" applyFont="1" applyFill="1" applyBorder="1" applyAlignment="1" applyProtection="1"/>
    <xf numFmtId="0" fontId="0" fillId="0" borderId="0" xfId="0" applyBorder="1"/>
    <xf numFmtId="0" fontId="0" fillId="12" borderId="0" xfId="0" applyFill="1"/>
    <xf numFmtId="0" fontId="0" fillId="12" borderId="0" xfId="0" applyFill="1" applyBorder="1"/>
    <xf numFmtId="9" fontId="0" fillId="0" borderId="0" xfId="0" applyNumberFormat="1" applyBorder="1"/>
    <xf numFmtId="0" fontId="0" fillId="12" borderId="0" xfId="0" applyFill="1" applyAlignment="1">
      <alignment wrapText="1"/>
    </xf>
    <xf numFmtId="0" fontId="0" fillId="12" borderId="0" xfId="0" applyFill="1" applyBorder="1" applyAlignment="1">
      <alignment wrapText="1"/>
    </xf>
    <xf numFmtId="166" fontId="0" fillId="0" borderId="0" xfId="0" applyNumberFormat="1"/>
    <xf numFmtId="166" fontId="0" fillId="12" borderId="0" xfId="0" applyNumberFormat="1" applyFill="1"/>
    <xf numFmtId="166" fontId="0" fillId="12" borderId="0" xfId="0" applyNumberFormat="1" applyFill="1" applyAlignment="1">
      <alignment wrapText="1"/>
    </xf>
    <xf numFmtId="166" fontId="0" fillId="5" borderId="0" xfId="0" applyNumberFormat="1" applyFill="1"/>
    <xf numFmtId="0" fontId="0" fillId="3" borderId="0" xfId="0" applyFill="1"/>
    <xf numFmtId="167" fontId="3" fillId="0" borderId="0" xfId="1" applyNumberFormat="1" applyFont="1" applyFill="1"/>
    <xf numFmtId="166" fontId="3" fillId="0" borderId="0" xfId="1" applyNumberFormat="1" applyFont="1" applyFill="1"/>
    <xf numFmtId="0" fontId="6" fillId="0" borderId="0" xfId="6" applyAlignment="1"/>
    <xf numFmtId="164" fontId="0" fillId="10" borderId="2" xfId="0" applyNumberFormat="1" applyFont="1" applyFill="1" applyBorder="1" applyAlignment="1" applyProtection="1"/>
    <xf numFmtId="2" fontId="0" fillId="5" borderId="2" xfId="0" applyNumberFormat="1" applyFont="1" applyFill="1" applyBorder="1" applyAlignment="1" applyProtection="1"/>
    <xf numFmtId="2" fontId="0" fillId="10" borderId="2" xfId="0" applyNumberFormat="1" applyFont="1" applyFill="1" applyBorder="1" applyAlignment="1" applyProtection="1"/>
    <xf numFmtId="2" fontId="0" fillId="7" borderId="2" xfId="0" applyNumberFormat="1" applyFont="1" applyFill="1" applyBorder="1" applyAlignment="1" applyProtection="1"/>
    <xf numFmtId="2" fontId="3" fillId="0" borderId="0" xfId="3" applyNumberFormat="1" applyFill="1" applyBorder="1"/>
    <xf numFmtId="1" fontId="0" fillId="7" borderId="0" xfId="0" applyNumberFormat="1" applyFont="1" applyFill="1" applyBorder="1" applyAlignment="1" applyProtection="1"/>
    <xf numFmtId="0" fontId="0" fillId="3" borderId="0" xfId="0" applyFont="1" applyFill="1" applyBorder="1" applyAlignment="1" applyProtection="1">
      <alignment wrapText="1"/>
    </xf>
    <xf numFmtId="0" fontId="0" fillId="3" borderId="0" xfId="0" applyNumberFormat="1" applyFont="1" applyFill="1" applyBorder="1" applyAlignment="1" applyProtection="1">
      <alignment wrapText="1"/>
    </xf>
    <xf numFmtId="0" fontId="0" fillId="3" borderId="0" xfId="0" applyNumberFormat="1" applyFont="1" applyFill="1" applyBorder="1" applyAlignment="1" applyProtection="1"/>
    <xf numFmtId="0" fontId="0" fillId="3" borderId="0" xfId="0" applyNumberFormat="1" applyFill="1" applyBorder="1" applyAlignment="1" applyProtection="1">
      <alignment wrapText="1"/>
    </xf>
    <xf numFmtId="0" fontId="3" fillId="0" borderId="0" xfId="3" applyFont="1" applyFill="1"/>
    <xf numFmtId="43" fontId="0" fillId="0" borderId="0" xfId="0" applyNumberFormat="1"/>
    <xf numFmtId="0" fontId="3" fillId="3" borderId="0" xfId="3" applyFill="1" applyBorder="1"/>
    <xf numFmtId="0" fontId="3" fillId="0" borderId="0" xfId="3" applyBorder="1"/>
    <xf numFmtId="0" fontId="3" fillId="3" borderId="0" xfId="3" applyFill="1" applyBorder="1" applyAlignment="1">
      <alignment wrapText="1"/>
    </xf>
    <xf numFmtId="0" fontId="3" fillId="6" borderId="0" xfId="3" applyFill="1" applyBorder="1"/>
    <xf numFmtId="2" fontId="3" fillId="6" borderId="0" xfId="3" applyNumberFormat="1" applyFill="1" applyBorder="1"/>
    <xf numFmtId="0" fontId="3" fillId="3" borderId="0" xfId="3" applyFont="1" applyFill="1" applyBorder="1"/>
    <xf numFmtId="166" fontId="0" fillId="0" borderId="0" xfId="1" applyNumberFormat="1" applyFont="1" applyFill="1" applyBorder="1"/>
    <xf numFmtId="0" fontId="7" fillId="0" borderId="0" xfId="0" applyFont="1"/>
    <xf numFmtId="164" fontId="0" fillId="0" borderId="0" xfId="0" applyNumberFormat="1"/>
    <xf numFmtId="1" fontId="0" fillId="0" borderId="0" xfId="0" applyNumberFormat="1"/>
    <xf numFmtId="0" fontId="0" fillId="3" borderId="0" xfId="0" applyFill="1" applyAlignment="1">
      <alignment wrapText="1"/>
    </xf>
    <xf numFmtId="2" fontId="0" fillId="0" borderId="0" xfId="0" applyNumberFormat="1"/>
    <xf numFmtId="0" fontId="0" fillId="0" borderId="0" xfId="0" applyAlignment="1">
      <alignment wrapText="1"/>
    </xf>
    <xf numFmtId="0" fontId="10" fillId="12" borderId="0" xfId="0" applyFont="1" applyFill="1"/>
    <xf numFmtId="0" fontId="11" fillId="12" borderId="0" xfId="0" applyFont="1" applyFill="1"/>
    <xf numFmtId="0" fontId="0" fillId="3" borderId="1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3" borderId="16" xfId="0" applyFill="1" applyBorder="1" applyAlignment="1">
      <alignment wrapText="1"/>
    </xf>
    <xf numFmtId="0" fontId="0" fillId="3" borderId="0" xfId="0" applyFill="1" applyBorder="1" applyAlignment="1">
      <alignment wrapText="1"/>
    </xf>
    <xf numFmtId="0" fontId="0" fillId="0" borderId="12" xfId="0" applyBorder="1"/>
    <xf numFmtId="0" fontId="0" fillId="0" borderId="12" xfId="0" applyBorder="1" applyAlignment="1">
      <alignment wrapText="1"/>
    </xf>
    <xf numFmtId="9" fontId="0" fillId="13" borderId="12" xfId="0" applyNumberFormat="1" applyFill="1" applyBorder="1" applyAlignment="1">
      <alignment horizontal="center" vertical="center"/>
    </xf>
    <xf numFmtId="0" fontId="6" fillId="3" borderId="12" xfId="4" applyFill="1" applyBorder="1" applyAlignment="1"/>
    <xf numFmtId="0" fontId="6" fillId="3" borderId="12" xfId="4" applyFill="1" applyBorder="1" applyAlignment="1">
      <alignment wrapText="1"/>
    </xf>
    <xf numFmtId="0" fontId="6" fillId="0" borderId="0" xfId="4" applyFill="1" applyBorder="1" applyAlignment="1">
      <alignment wrapText="1"/>
    </xf>
    <xf numFmtId="0" fontId="12" fillId="0" borderId="0" xfId="6" applyFont="1" applyAlignment="1"/>
    <xf numFmtId="164" fontId="12" fillId="0" borderId="0" xfId="5" applyNumberFormat="1" applyFont="1" applyAlignment="1"/>
    <xf numFmtId="0" fontId="12" fillId="0" borderId="0" xfId="5" applyFont="1" applyAlignment="1"/>
    <xf numFmtId="2" fontId="12" fillId="0" borderId="0" xfId="5" applyNumberFormat="1" applyFont="1" applyFill="1" applyAlignment="1"/>
    <xf numFmtId="1" fontId="12" fillId="0" borderId="0" xfId="5" applyNumberFormat="1" applyFont="1" applyFill="1" applyAlignment="1"/>
    <xf numFmtId="9" fontId="1" fillId="0" borderId="0" xfId="2" applyFont="1"/>
    <xf numFmtId="0" fontId="12" fillId="0" borderId="0" xfId="5" applyFont="1" applyFill="1" applyAlignment="1"/>
    <xf numFmtId="1" fontId="12" fillId="11" borderId="0" xfId="5" applyNumberFormat="1" applyFont="1" applyFill="1" applyAlignment="1"/>
    <xf numFmtId="164" fontId="12" fillId="0" borderId="0" xfId="5" applyNumberFormat="1" applyFont="1" applyFill="1" applyAlignment="1"/>
    <xf numFmtId="9" fontId="12" fillId="0" borderId="0" xfId="2" applyFont="1" applyFill="1" applyAlignment="1"/>
    <xf numFmtId="1" fontId="0" fillId="12" borderId="0" xfId="0" applyNumberFormat="1" applyFill="1"/>
    <xf numFmtId="9" fontId="0" fillId="0" borderId="0" xfId="2" applyFont="1"/>
    <xf numFmtId="0" fontId="1" fillId="0" borderId="0" xfId="0" applyFont="1"/>
    <xf numFmtId="0" fontId="2" fillId="0" borderId="0" xfId="0" applyFont="1"/>
    <xf numFmtId="43" fontId="0" fillId="0" borderId="0" xfId="1" applyFont="1"/>
    <xf numFmtId="43" fontId="3" fillId="0" borderId="0" xfId="1" applyNumberFormat="1" applyFont="1" applyFill="1"/>
    <xf numFmtId="0" fontId="3" fillId="5" borderId="0" xfId="3" applyFill="1"/>
    <xf numFmtId="2" fontId="3" fillId="5" borderId="0" xfId="3" applyNumberFormat="1" applyFill="1"/>
    <xf numFmtId="0" fontId="3" fillId="14" borderId="0" xfId="3" applyFill="1"/>
    <xf numFmtId="2" fontId="3" fillId="15" borderId="0" xfId="3" applyNumberFormat="1" applyFill="1"/>
    <xf numFmtId="0" fontId="3" fillId="15" borderId="0" xfId="3" applyFill="1"/>
    <xf numFmtId="164" fontId="3" fillId="15" borderId="0" xfId="3" applyNumberFormat="1" applyFill="1"/>
    <xf numFmtId="9" fontId="3" fillId="15" borderId="0" xfId="2" applyFont="1" applyFill="1"/>
    <xf numFmtId="9" fontId="3" fillId="0" borderId="0" xfId="3" applyNumberFormat="1"/>
    <xf numFmtId="0" fontId="3" fillId="2" borderId="12" xfId="3" applyFill="1" applyBorder="1"/>
    <xf numFmtId="0" fontId="3" fillId="2" borderId="0" xfId="3" applyFont="1" applyFill="1"/>
    <xf numFmtId="0" fontId="3" fillId="3" borderId="0" xfId="3" applyFill="1"/>
    <xf numFmtId="0" fontId="3" fillId="3" borderId="12" xfId="3" applyFill="1" applyBorder="1"/>
    <xf numFmtId="0" fontId="3" fillId="3" borderId="12" xfId="3" applyFill="1" applyBorder="1" applyAlignment="1">
      <alignment wrapText="1"/>
    </xf>
    <xf numFmtId="0" fontId="3" fillId="3" borderId="12" xfId="3" applyFont="1" applyFill="1" applyBorder="1"/>
    <xf numFmtId="0" fontId="0" fillId="16" borderId="0" xfId="0" applyFill="1"/>
    <xf numFmtId="0" fontId="8" fillId="16" borderId="0" xfId="0" applyFont="1" applyFill="1"/>
    <xf numFmtId="0" fontId="3" fillId="3" borderId="9" xfId="3" applyFill="1" applyBorder="1"/>
    <xf numFmtId="43" fontId="0" fillId="5" borderId="0" xfId="0" applyNumberFormat="1" applyFill="1"/>
    <xf numFmtId="0" fontId="3" fillId="0" borderId="0" xfId="3" applyFill="1" applyAlignment="1"/>
    <xf numFmtId="0" fontId="3" fillId="0" borderId="0" xfId="3" applyAlignment="1"/>
    <xf numFmtId="0" fontId="3" fillId="6" borderId="0" xfId="3" applyFill="1" applyAlignment="1"/>
    <xf numFmtId="0" fontId="0" fillId="0" borderId="0" xfId="0" applyAlignment="1"/>
    <xf numFmtId="166" fontId="0" fillId="0" borderId="0" xfId="0" applyNumberFormat="1" applyAlignment="1"/>
    <xf numFmtId="0" fontId="3" fillId="3" borderId="0" xfId="3" applyFill="1" applyBorder="1" applyAlignment="1"/>
    <xf numFmtId="0" fontId="3" fillId="0" borderId="0" xfId="3" applyFill="1" applyBorder="1" applyAlignment="1"/>
    <xf numFmtId="2" fontId="3" fillId="0" borderId="0" xfId="3" applyNumberFormat="1" applyFill="1" applyAlignment="1"/>
    <xf numFmtId="164" fontId="3" fillId="0" borderId="0" xfId="3" applyNumberFormat="1" applyFill="1" applyAlignment="1"/>
    <xf numFmtId="2" fontId="3" fillId="6" borderId="0" xfId="3" applyNumberFormat="1" applyFill="1" applyAlignment="1"/>
    <xf numFmtId="164" fontId="3" fillId="6" borderId="0" xfId="3" applyNumberFormat="1" applyFill="1" applyAlignment="1"/>
    <xf numFmtId="43" fontId="0" fillId="0" borderId="0" xfId="0" applyNumberFormat="1" applyAlignment="1"/>
    <xf numFmtId="2" fontId="3" fillId="0" borderId="0" xfId="3" applyNumberFormat="1" applyFill="1" applyBorder="1" applyAlignment="1"/>
    <xf numFmtId="164" fontId="0" fillId="0" borderId="0" xfId="0" applyNumberFormat="1" applyAlignment="1"/>
    <xf numFmtId="164" fontId="3" fillId="0" borderId="0" xfId="3" applyNumberFormat="1" applyFill="1" applyBorder="1" applyAlignment="1"/>
    <xf numFmtId="1" fontId="3" fillId="0" borderId="0" xfId="3" applyNumberFormat="1" applyFill="1" applyAlignment="1"/>
    <xf numFmtId="165" fontId="0" fillId="0" borderId="0" xfId="0" applyNumberFormat="1"/>
    <xf numFmtId="0" fontId="6" fillId="3" borderId="0" xfId="7" applyFill="1" applyAlignment="1">
      <alignment wrapText="1"/>
    </xf>
    <xf numFmtId="0" fontId="13" fillId="0" borderId="0" xfId="0" applyFont="1"/>
    <xf numFmtId="0" fontId="6" fillId="0" borderId="0" xfId="7" applyAlignment="1">
      <alignment horizontal="left"/>
    </xf>
    <xf numFmtId="0" fontId="6" fillId="3" borderId="0" xfId="7" applyFill="1"/>
    <xf numFmtId="9" fontId="6" fillId="0" borderId="0" xfId="7" applyNumberFormat="1"/>
    <xf numFmtId="0" fontId="0" fillId="8" borderId="0" xfId="0" applyFill="1"/>
    <xf numFmtId="2" fontId="0" fillId="8" borderId="0" xfId="0" applyNumberFormat="1" applyFill="1"/>
    <xf numFmtId="165" fontId="0" fillId="8" borderId="0" xfId="0" applyNumberFormat="1" applyFill="1"/>
    <xf numFmtId="0" fontId="13" fillId="8" borderId="0" xfId="0" applyFont="1" applyFill="1"/>
    <xf numFmtId="1" fontId="0" fillId="0" borderId="0" xfId="0" applyNumberFormat="1" applyAlignment="1"/>
    <xf numFmtId="0" fontId="0" fillId="0" borderId="18" xfId="0" applyBorder="1">
      <alignment readingOrder="1"/>
    </xf>
    <xf numFmtId="0" fontId="0" fillId="0" borderId="19" xfId="0" applyBorder="1">
      <alignment readingOrder="1"/>
    </xf>
    <xf numFmtId="0" fontId="0" fillId="0" borderId="20" xfId="0" applyBorder="1">
      <alignment readingOrder="1"/>
    </xf>
    <xf numFmtId="0" fontId="0" fillId="0" borderId="18" xfId="0" applyBorder="1" applyAlignment="1">
      <alignment wrapText="1" readingOrder="1"/>
    </xf>
    <xf numFmtId="0" fontId="0" fillId="0" borderId="21" xfId="0" applyBorder="1" applyAlignment="1">
      <alignment wrapText="1" readingOrder="1"/>
    </xf>
    <xf numFmtId="0" fontId="0" fillId="0" borderId="22" xfId="0" applyBorder="1" applyAlignment="1">
      <alignment wrapText="1" readingOrder="1"/>
    </xf>
    <xf numFmtId="166" fontId="0" fillId="0" borderId="18" xfId="0" applyNumberFormat="1" applyBorder="1">
      <alignment readingOrder="1"/>
    </xf>
    <xf numFmtId="166" fontId="0" fillId="0" borderId="21" xfId="0" applyNumberFormat="1" applyBorder="1">
      <alignment readingOrder="1"/>
    </xf>
    <xf numFmtId="166" fontId="0" fillId="0" borderId="22" xfId="0" applyNumberFormat="1" applyBorder="1">
      <alignment readingOrder="1"/>
    </xf>
    <xf numFmtId="0" fontId="0" fillId="0" borderId="23" xfId="0" applyBorder="1">
      <alignment readingOrder="1"/>
    </xf>
    <xf numFmtId="166" fontId="0" fillId="0" borderId="23" xfId="0" applyNumberFormat="1" applyBorder="1">
      <alignment readingOrder="1"/>
    </xf>
    <xf numFmtId="166" fontId="0" fillId="0" borderId="0" xfId="0" applyNumberFormat="1">
      <alignment readingOrder="1"/>
    </xf>
    <xf numFmtId="166" fontId="0" fillId="0" borderId="24" xfId="0" applyNumberFormat="1" applyBorder="1">
      <alignment readingOrder="1"/>
    </xf>
    <xf numFmtId="0" fontId="0" fillId="0" borderId="25" xfId="0" applyBorder="1">
      <alignment readingOrder="1"/>
    </xf>
    <xf numFmtId="166" fontId="0" fillId="0" borderId="25" xfId="0" applyNumberFormat="1" applyBorder="1">
      <alignment readingOrder="1"/>
    </xf>
    <xf numFmtId="166" fontId="0" fillId="0" borderId="26" xfId="0" applyNumberFormat="1" applyBorder="1">
      <alignment readingOrder="1"/>
    </xf>
    <xf numFmtId="166" fontId="0" fillId="0" borderId="27" xfId="0" applyNumberFormat="1" applyBorder="1">
      <alignment readingOrder="1"/>
    </xf>
    <xf numFmtId="170" fontId="0" fillId="0" borderId="0" xfId="1" applyNumberFormat="1" applyFont="1"/>
    <xf numFmtId="170" fontId="0" fillId="0" borderId="0" xfId="0" applyNumberFormat="1"/>
    <xf numFmtId="171" fontId="0" fillId="0" borderId="0" xfId="0" applyNumberFormat="1"/>
    <xf numFmtId="171" fontId="0" fillId="0" borderId="0" xfId="1" applyNumberFormat="1" applyFont="1"/>
    <xf numFmtId="167" fontId="0" fillId="0" borderId="0" xfId="0" applyNumberFormat="1" applyAlignment="1"/>
    <xf numFmtId="0" fontId="0" fillId="3" borderId="12" xfId="0" applyFill="1" applyBorder="1"/>
    <xf numFmtId="0" fontId="0" fillId="5" borderId="11" xfId="0" applyFill="1" applyBorder="1"/>
    <xf numFmtId="166" fontId="0" fillId="5" borderId="1" xfId="0" applyNumberFormat="1" applyFill="1" applyBorder="1"/>
    <xf numFmtId="164" fontId="0" fillId="5" borderId="1" xfId="0" applyNumberFormat="1" applyFill="1" applyBorder="1"/>
    <xf numFmtId="2" fontId="0" fillId="5" borderId="10" xfId="0" applyNumberFormat="1" applyFill="1" applyBorder="1"/>
    <xf numFmtId="0" fontId="0" fillId="0" borderId="9" xfId="0" applyBorder="1"/>
    <xf numFmtId="166" fontId="0" fillId="0" borderId="0" xfId="0" applyNumberFormat="1" applyBorder="1"/>
    <xf numFmtId="164" fontId="0" fillId="0" borderId="0" xfId="0" applyNumberFormat="1" applyBorder="1"/>
    <xf numFmtId="2" fontId="0" fillId="0" borderId="8" xfId="0" applyNumberFormat="1" applyBorder="1"/>
    <xf numFmtId="0" fontId="0" fillId="0" borderId="7" xfId="0" applyBorder="1"/>
    <xf numFmtId="166" fontId="0" fillId="0" borderId="6" xfId="0" applyNumberFormat="1" applyBorder="1"/>
    <xf numFmtId="164" fontId="0" fillId="0" borderId="6" xfId="0" applyNumberFormat="1" applyBorder="1"/>
    <xf numFmtId="2" fontId="0" fillId="0" borderId="5" xfId="0" applyNumberFormat="1" applyBorder="1"/>
    <xf numFmtId="0" fontId="0" fillId="3" borderId="11" xfId="0" applyFill="1" applyBorder="1"/>
    <xf numFmtId="0" fontId="0" fillId="3" borderId="1" xfId="0" applyFill="1" applyBorder="1"/>
    <xf numFmtId="0" fontId="0" fillId="3" borderId="10" xfId="0" applyFill="1" applyBorder="1"/>
    <xf numFmtId="0" fontId="0" fillId="3" borderId="11" xfId="0" applyFill="1" applyBorder="1" applyAlignment="1">
      <alignment wrapText="1"/>
    </xf>
    <xf numFmtId="0" fontId="0" fillId="3" borderId="10" xfId="0" applyFill="1" applyBorder="1" applyAlignment="1">
      <alignment wrapText="1"/>
    </xf>
    <xf numFmtId="0" fontId="0" fillId="10" borderId="9" xfId="0" applyFill="1" applyBorder="1"/>
    <xf numFmtId="166" fontId="0" fillId="10" borderId="0" xfId="0" applyNumberFormat="1" applyFill="1" applyBorder="1"/>
    <xf numFmtId="166" fontId="0" fillId="10" borderId="8" xfId="0" applyNumberFormat="1" applyFill="1" applyBorder="1"/>
    <xf numFmtId="164" fontId="0" fillId="10" borderId="9" xfId="0" applyNumberFormat="1" applyFill="1" applyBorder="1"/>
    <xf numFmtId="2" fontId="0" fillId="10" borderId="8" xfId="0" applyNumberFormat="1" applyFill="1" applyBorder="1"/>
    <xf numFmtId="166" fontId="0" fillId="0" borderId="8" xfId="0" applyNumberFormat="1" applyBorder="1"/>
    <xf numFmtId="164" fontId="0" fillId="0" borderId="9" xfId="0" applyNumberFormat="1" applyBorder="1"/>
    <xf numFmtId="0" fontId="15" fillId="0" borderId="9" xfId="0" applyFont="1" applyBorder="1"/>
    <xf numFmtId="166" fontId="15" fillId="0" borderId="0" xfId="0" applyNumberFormat="1" applyFont="1" applyBorder="1"/>
    <xf numFmtId="166" fontId="15" fillId="0" borderId="8" xfId="0" applyNumberFormat="1" applyFont="1" applyBorder="1"/>
    <xf numFmtId="164" fontId="15" fillId="0" borderId="9" xfId="0" applyNumberFormat="1" applyFont="1" applyBorder="1"/>
    <xf numFmtId="2" fontId="15" fillId="0" borderId="8" xfId="0" applyNumberFormat="1" applyFont="1" applyBorder="1"/>
    <xf numFmtId="166" fontId="0" fillId="0" borderId="5" xfId="0" applyNumberFormat="1" applyBorder="1"/>
    <xf numFmtId="164" fontId="0" fillId="0" borderId="7" xfId="0" applyNumberFormat="1" applyBorder="1"/>
    <xf numFmtId="164" fontId="0" fillId="0" borderId="12" xfId="0" applyNumberFormat="1" applyBorder="1"/>
    <xf numFmtId="164" fontId="0" fillId="0" borderId="16" xfId="0" applyNumberFormat="1" applyBorder="1"/>
    <xf numFmtId="164" fontId="0" fillId="0" borderId="28" xfId="0" applyNumberFormat="1" applyBorder="1"/>
    <xf numFmtId="164" fontId="0" fillId="0" borderId="17" xfId="0" applyNumberFormat="1" applyBorder="1"/>
    <xf numFmtId="0" fontId="14" fillId="17" borderId="13" xfId="0" applyFont="1" applyFill="1" applyBorder="1"/>
    <xf numFmtId="0" fontId="0" fillId="0" borderId="13" xfId="0" applyBorder="1"/>
    <xf numFmtId="0" fontId="0" fillId="12" borderId="12" xfId="0" applyFill="1" applyBorder="1" applyAlignment="1">
      <alignment wrapText="1"/>
    </xf>
    <xf numFmtId="0" fontId="0" fillId="0" borderId="12" xfId="0" applyFill="1" applyBorder="1" applyAlignment="1">
      <alignment wrapText="1"/>
    </xf>
    <xf numFmtId="0" fontId="0" fillId="18" borderId="15" xfId="0" applyFill="1" applyBorder="1" applyAlignment="1">
      <alignment horizontal="left"/>
    </xf>
    <xf numFmtId="0" fontId="0" fillId="18" borderId="12" xfId="0" applyNumberFormat="1" applyFill="1" applyBorder="1"/>
    <xf numFmtId="166" fontId="0" fillId="18" borderId="12" xfId="0" applyNumberFormat="1" applyFill="1" applyBorder="1"/>
    <xf numFmtId="43" fontId="0" fillId="18" borderId="12" xfId="0" applyNumberFormat="1" applyFill="1" applyBorder="1"/>
    <xf numFmtId="1" fontId="0" fillId="18" borderId="12" xfId="0" applyNumberFormat="1" applyFill="1" applyBorder="1"/>
    <xf numFmtId="1" fontId="0" fillId="18" borderId="12" xfId="0" applyNumberFormat="1" applyFill="1" applyBorder="1" applyAlignment="1">
      <alignment horizontal="center" vertical="center"/>
    </xf>
    <xf numFmtId="43" fontId="16" fillId="18" borderId="12" xfId="1" applyFont="1" applyFill="1" applyBorder="1" applyAlignment="1">
      <alignment wrapText="1"/>
    </xf>
    <xf numFmtId="0" fontId="0" fillId="10" borderId="15" xfId="0" applyFill="1" applyBorder="1" applyAlignment="1">
      <alignment horizontal="left"/>
    </xf>
    <xf numFmtId="0" fontId="0" fillId="10" borderId="12" xfId="0" applyNumberFormat="1" applyFill="1" applyBorder="1"/>
    <xf numFmtId="166" fontId="0" fillId="10" borderId="12" xfId="0" applyNumberFormat="1" applyFill="1" applyBorder="1"/>
    <xf numFmtId="43" fontId="0" fillId="10" borderId="12" xfId="0" applyNumberFormat="1" applyFill="1" applyBorder="1"/>
    <xf numFmtId="1" fontId="0" fillId="10" borderId="12" xfId="0" applyNumberFormat="1" applyFill="1" applyBorder="1"/>
    <xf numFmtId="43" fontId="16" fillId="0" borderId="12" xfId="1" applyFont="1" applyBorder="1" applyAlignment="1">
      <alignment wrapText="1"/>
    </xf>
    <xf numFmtId="0" fontId="0" fillId="19" borderId="15" xfId="0" applyFill="1" applyBorder="1" applyAlignment="1">
      <alignment horizontal="left"/>
    </xf>
    <xf numFmtId="0" fontId="0" fillId="19" borderId="12" xfId="0" applyNumberFormat="1" applyFill="1" applyBorder="1"/>
    <xf numFmtId="166" fontId="0" fillId="19" borderId="12" xfId="0" applyNumberFormat="1" applyFill="1" applyBorder="1"/>
    <xf numFmtId="43" fontId="0" fillId="19" borderId="12" xfId="0" applyNumberFormat="1" applyFill="1" applyBorder="1"/>
    <xf numFmtId="1" fontId="0" fillId="19" borderId="12" xfId="0" applyNumberFormat="1" applyFill="1" applyBorder="1"/>
    <xf numFmtId="0" fontId="0" fillId="0" borderId="12" xfId="0" applyBorder="1" applyAlignment="1">
      <alignment horizontal="left"/>
    </xf>
    <xf numFmtId="0" fontId="0" fillId="0" borderId="12" xfId="0" applyNumberFormat="1" applyBorder="1"/>
    <xf numFmtId="166" fontId="0" fillId="0" borderId="12" xfId="0" applyNumberFormat="1" applyBorder="1"/>
    <xf numFmtId="43" fontId="0" fillId="0" borderId="12" xfId="0" applyNumberFormat="1" applyBorder="1"/>
    <xf numFmtId="1" fontId="0" fillId="0" borderId="12" xfId="0" applyNumberFormat="1" applyBorder="1"/>
    <xf numFmtId="0" fontId="0" fillId="20" borderId="15" xfId="0" applyFill="1" applyBorder="1"/>
    <xf numFmtId="0" fontId="0" fillId="20" borderId="12" xfId="0" applyFill="1" applyBorder="1"/>
    <xf numFmtId="166" fontId="0" fillId="20" borderId="12" xfId="1" applyNumberFormat="1" applyFont="1" applyFill="1" applyBorder="1"/>
    <xf numFmtId="43" fontId="0" fillId="20" borderId="12" xfId="1" applyFont="1" applyFill="1" applyBorder="1"/>
    <xf numFmtId="1" fontId="0" fillId="20" borderId="12" xfId="1" applyNumberFormat="1" applyFont="1" applyFill="1" applyBorder="1"/>
    <xf numFmtId="43" fontId="16" fillId="20" borderId="12" xfId="1" applyFont="1" applyFill="1" applyBorder="1" applyAlignment="1">
      <alignment wrapText="1"/>
    </xf>
    <xf numFmtId="0" fontId="0" fillId="21" borderId="15" xfId="0" applyFill="1" applyBorder="1"/>
    <xf numFmtId="0" fontId="0" fillId="21" borderId="12" xfId="0" applyFill="1" applyBorder="1"/>
    <xf numFmtId="166" fontId="0" fillId="21" borderId="12" xfId="1" applyNumberFormat="1" applyFont="1" applyFill="1" applyBorder="1"/>
    <xf numFmtId="43" fontId="0" fillId="21" borderId="12" xfId="1" applyFont="1" applyFill="1" applyBorder="1"/>
    <xf numFmtId="1" fontId="0" fillId="21" borderId="12" xfId="1" applyNumberFormat="1" applyFont="1" applyFill="1" applyBorder="1"/>
    <xf numFmtId="43" fontId="16" fillId="21" borderId="12" xfId="1" applyFont="1" applyFill="1" applyBorder="1" applyAlignment="1">
      <alignment wrapText="1"/>
    </xf>
    <xf numFmtId="0" fontId="0" fillId="5" borderId="15" xfId="0" applyFill="1" applyBorder="1"/>
    <xf numFmtId="0" fontId="0" fillId="5" borderId="12" xfId="0" applyFill="1" applyBorder="1"/>
    <xf numFmtId="166" fontId="0" fillId="5" borderId="12" xfId="1" applyNumberFormat="1" applyFont="1" applyFill="1" applyBorder="1"/>
    <xf numFmtId="43" fontId="0" fillId="5" borderId="12" xfId="1" applyFont="1" applyFill="1" applyBorder="1"/>
    <xf numFmtId="1" fontId="0" fillId="5" borderId="12" xfId="1" applyNumberFormat="1" applyFont="1" applyFill="1" applyBorder="1"/>
    <xf numFmtId="43" fontId="16" fillId="5" borderId="12" xfId="1" applyFont="1" applyFill="1" applyBorder="1" applyAlignment="1">
      <alignment wrapText="1"/>
    </xf>
    <xf numFmtId="0" fontId="0" fillId="22" borderId="15" xfId="0" applyFill="1" applyBorder="1"/>
    <xf numFmtId="0" fontId="0" fillId="22" borderId="12" xfId="0" applyFill="1" applyBorder="1"/>
    <xf numFmtId="166" fontId="0" fillId="22" borderId="12" xfId="1" applyNumberFormat="1" applyFont="1" applyFill="1" applyBorder="1"/>
    <xf numFmtId="43" fontId="0" fillId="22" borderId="12" xfId="1" applyFont="1" applyFill="1" applyBorder="1"/>
    <xf numFmtId="1" fontId="0" fillId="22" borderId="12" xfId="1" applyNumberFormat="1" applyFont="1" applyFill="1" applyBorder="1"/>
    <xf numFmtId="43" fontId="16" fillId="22" borderId="12" xfId="1" applyFont="1" applyFill="1" applyBorder="1" applyAlignment="1">
      <alignment wrapText="1"/>
    </xf>
    <xf numFmtId="166" fontId="0" fillId="0" borderId="12" xfId="1" applyNumberFormat="1" applyFont="1" applyBorder="1"/>
    <xf numFmtId="43" fontId="0" fillId="0" borderId="12" xfId="1" applyFont="1" applyBorder="1"/>
    <xf numFmtId="1" fontId="0" fillId="0" borderId="12" xfId="1" applyNumberFormat="1" applyFont="1" applyBorder="1"/>
    <xf numFmtId="167" fontId="0" fillId="0" borderId="0" xfId="0" applyNumberFormat="1"/>
    <xf numFmtId="0" fontId="6" fillId="4" borderId="0" xfId="4" applyAlignment="1"/>
    <xf numFmtId="0" fontId="6" fillId="0" borderId="0" xfId="5" applyAlignment="1"/>
    <xf numFmtId="164" fontId="6" fillId="0" borderId="0" xfId="5" applyNumberFormat="1" applyAlignment="1"/>
    <xf numFmtId="0" fontId="3" fillId="3" borderId="0" xfId="3" applyFill="1" applyAlignment="1">
      <alignment wrapText="1"/>
    </xf>
    <xf numFmtId="0" fontId="3" fillId="3" borderId="0" xfId="3" applyFont="1" applyFill="1" applyAlignment="1">
      <alignment wrapText="1"/>
    </xf>
    <xf numFmtId="0" fontId="17" fillId="0" borderId="0" xfId="0" applyFont="1" applyFill="1" applyAlignment="1"/>
    <xf numFmtId="0" fontId="17" fillId="3" borderId="0" xfId="0" applyFont="1" applyFill="1"/>
    <xf numFmtId="0" fontId="17" fillId="3" borderId="0" xfId="0" applyFont="1" applyFill="1" applyAlignment="1">
      <alignment horizontal="center"/>
    </xf>
    <xf numFmtId="1" fontId="17" fillId="3" borderId="0" xfId="0" applyNumberFormat="1" applyFont="1" applyFill="1" applyAlignment="1">
      <alignment horizontal="center"/>
    </xf>
    <xf numFmtId="0" fontId="17" fillId="3" borderId="13" xfId="0" applyFont="1" applyFill="1" applyBorder="1"/>
    <xf numFmtId="1" fontId="17" fillId="3" borderId="14" xfId="0" applyNumberFormat="1" applyFont="1" applyFill="1" applyBorder="1" applyAlignment="1">
      <alignment horizontal="center"/>
    </xf>
    <xf numFmtId="1" fontId="17" fillId="3" borderId="15" xfId="0" applyNumberFormat="1" applyFont="1" applyFill="1" applyBorder="1" applyAlignment="1">
      <alignment horizontal="center"/>
    </xf>
    <xf numFmtId="0" fontId="17" fillId="0" borderId="29" xfId="0" applyFont="1" applyBorder="1" applyAlignment="1">
      <alignment horizontal="left"/>
    </xf>
    <xf numFmtId="43" fontId="17" fillId="0" borderId="29" xfId="0" applyNumberFormat="1" applyFont="1" applyBorder="1"/>
    <xf numFmtId="0" fontId="0" fillId="0" borderId="0" xfId="0" applyAlignment="1">
      <alignment horizontal="left" indent="1"/>
    </xf>
    <xf numFmtId="0" fontId="17" fillId="24" borderId="30" xfId="0" applyFont="1" applyFill="1" applyBorder="1" applyAlignment="1">
      <alignment horizontal="left"/>
    </xf>
    <xf numFmtId="43" fontId="17" fillId="24" borderId="30" xfId="0" applyNumberFormat="1" applyFont="1" applyFill="1" applyBorder="1"/>
    <xf numFmtId="0" fontId="0" fillId="0" borderId="6" xfId="0" applyBorder="1" applyAlignment="1">
      <alignment horizontal="left" indent="1"/>
    </xf>
    <xf numFmtId="43" fontId="0" fillId="0" borderId="6" xfId="0" applyNumberFormat="1" applyBorder="1" applyAlignment="1"/>
    <xf numFmtId="43" fontId="0" fillId="0" borderId="5" xfId="0" applyNumberFormat="1" applyBorder="1" applyAlignment="1"/>
    <xf numFmtId="0" fontId="17" fillId="3" borderId="0" xfId="0" applyFont="1" applyFill="1" applyAlignment="1">
      <alignment wrapText="1"/>
    </xf>
    <xf numFmtId="0" fontId="17" fillId="23" borderId="29" xfId="0" applyFont="1" applyFill="1" applyBorder="1" applyAlignment="1">
      <alignment wrapText="1"/>
    </xf>
    <xf numFmtId="0" fontId="0" fillId="0" borderId="0" xfId="0" applyFill="1" applyBorder="1"/>
    <xf numFmtId="2" fontId="0" fillId="5" borderId="13" xfId="0" applyNumberFormat="1" applyFill="1" applyBorder="1"/>
    <xf numFmtId="2" fontId="0" fillId="5" borderId="15" xfId="0" applyNumberFormat="1" applyFill="1" applyBorder="1"/>
    <xf numFmtId="166" fontId="17" fillId="0" borderId="29" xfId="0" applyNumberFormat="1" applyFont="1" applyBorder="1"/>
    <xf numFmtId="166" fontId="17" fillId="24" borderId="30" xfId="0" applyNumberFormat="1" applyFont="1" applyFill="1" applyBorder="1"/>
    <xf numFmtId="166" fontId="0" fillId="0" borderId="0" xfId="0" applyNumberFormat="1" applyFill="1" applyBorder="1"/>
    <xf numFmtId="2" fontId="0" fillId="0" borderId="0" xfId="0" applyNumberFormat="1" applyFill="1" applyBorder="1"/>
    <xf numFmtId="0" fontId="17" fillId="0" borderId="0" xfId="0" applyFont="1" applyFill="1" applyBorder="1" applyAlignment="1">
      <alignment horizontal="left"/>
    </xf>
    <xf numFmtId="166" fontId="17" fillId="0" borderId="0" xfId="0" applyNumberFormat="1" applyFont="1" applyFill="1" applyBorder="1"/>
    <xf numFmtId="0" fontId="0" fillId="0" borderId="0" xfId="0" applyFill="1" applyBorder="1" applyAlignment="1">
      <alignment horizontal="left" indent="1"/>
    </xf>
    <xf numFmtId="0" fontId="17" fillId="23" borderId="29" xfId="0" applyFont="1" applyFill="1" applyBorder="1"/>
    <xf numFmtId="0" fontId="0" fillId="21" borderId="0" xfId="0" applyFill="1"/>
    <xf numFmtId="0" fontId="2" fillId="18" borderId="0" xfId="0" applyFont="1" applyFill="1"/>
    <xf numFmtId="0" fontId="0" fillId="18" borderId="0" xfId="0" applyFill="1"/>
    <xf numFmtId="0" fontId="18" fillId="23" borderId="29" xfId="0" applyFont="1" applyFill="1" applyBorder="1" applyAlignment="1">
      <alignment wrapText="1"/>
    </xf>
    <xf numFmtId="0" fontId="19" fillId="25" borderId="0" xfId="0" applyFont="1" applyFill="1"/>
    <xf numFmtId="0" fontId="0" fillId="26" borderId="12" xfId="0" applyFill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indent="1"/>
    </xf>
    <xf numFmtId="0" fontId="20" fillId="0" borderId="29" xfId="0" applyFont="1" applyBorder="1" applyAlignment="1">
      <alignment horizontal="left"/>
    </xf>
    <xf numFmtId="166" fontId="0" fillId="0" borderId="0" xfId="1" applyNumberFormat="1" applyFont="1"/>
    <xf numFmtId="0" fontId="13" fillId="0" borderId="0" xfId="3" applyFont="1" applyFill="1"/>
    <xf numFmtId="0" fontId="7" fillId="18" borderId="0" xfId="0" applyFont="1" applyFill="1"/>
    <xf numFmtId="0" fontId="21" fillId="18" borderId="0" xfId="0" applyFont="1" applyFill="1"/>
    <xf numFmtId="0" fontId="0" fillId="0" borderId="0" xfId="0" applyNumberFormat="1" applyFont="1" applyFill="1" applyBorder="1" applyAlignment="1" applyProtection="1">
      <alignment horizontal="left" vertical="top" wrapText="1"/>
    </xf>
    <xf numFmtId="2" fontId="3" fillId="5" borderId="0" xfId="3" applyNumberFormat="1" applyFont="1" applyFill="1"/>
    <xf numFmtId="0" fontId="0" fillId="0" borderId="0" xfId="0" applyFill="1"/>
    <xf numFmtId="0" fontId="22" fillId="3" borderId="0" xfId="0" applyFont="1" applyFill="1" applyBorder="1" applyAlignment="1">
      <alignment wrapText="1"/>
    </xf>
    <xf numFmtId="0" fontId="23" fillId="3" borderId="0" xfId="14" applyFont="1" applyFill="1" applyBorder="1" applyAlignment="1">
      <alignment wrapText="1" readingOrder="1"/>
    </xf>
    <xf numFmtId="0" fontId="23" fillId="3" borderId="0" xfId="14" applyFont="1" applyFill="1" applyBorder="1" applyAlignment="1">
      <alignment horizontal="left" wrapText="1" readingOrder="1"/>
    </xf>
    <xf numFmtId="0" fontId="0" fillId="21" borderId="0" xfId="0" applyFill="1" applyBorder="1"/>
    <xf numFmtId="166" fontId="0" fillId="21" borderId="0" xfId="0" applyNumberFormat="1" applyFill="1"/>
    <xf numFmtId="9" fontId="0" fillId="21" borderId="0" xfId="0" applyNumberFormat="1" applyFill="1"/>
    <xf numFmtId="0" fontId="0" fillId="21" borderId="0" xfId="0" applyFill="1" applyAlignment="1">
      <alignment horizontal="center"/>
    </xf>
    <xf numFmtId="0" fontId="0" fillId="10" borderId="0" xfId="0" applyFill="1"/>
    <xf numFmtId="0" fontId="0" fillId="10" borderId="0" xfId="0" applyFill="1" applyBorder="1"/>
    <xf numFmtId="166" fontId="0" fillId="10" borderId="0" xfId="0" applyNumberFormat="1" applyFill="1"/>
    <xf numFmtId="9" fontId="0" fillId="10" borderId="0" xfId="2" applyFont="1" applyFill="1"/>
    <xf numFmtId="9" fontId="0" fillId="10" borderId="0" xfId="0" applyNumberFormat="1" applyFill="1"/>
    <xf numFmtId="0" fontId="0" fillId="10" borderId="0" xfId="0" applyFill="1" applyAlignment="1">
      <alignment horizontal="center"/>
    </xf>
    <xf numFmtId="9" fontId="0" fillId="21" borderId="0" xfId="2" applyFont="1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wrapText="1"/>
    </xf>
    <xf numFmtId="9" fontId="0" fillId="0" borderId="0" xfId="2" applyFont="1" applyFill="1" applyBorder="1"/>
    <xf numFmtId="9" fontId="0" fillId="0" borderId="0" xfId="0" applyNumberFormat="1" applyFill="1" applyBorder="1"/>
    <xf numFmtId="0" fontId="0" fillId="13" borderId="0" xfId="0" applyFill="1" applyBorder="1"/>
    <xf numFmtId="0" fontId="0" fillId="13" borderId="0" xfId="0" applyFill="1" applyBorder="1" applyAlignment="1">
      <alignment horizontal="center" vertical="center"/>
    </xf>
    <xf numFmtId="1" fontId="13" fillId="13" borderId="0" xfId="0" applyNumberFormat="1" applyFont="1" applyFill="1" applyBorder="1"/>
    <xf numFmtId="9" fontId="13" fillId="13" borderId="0" xfId="2" applyFont="1" applyFill="1" applyBorder="1"/>
    <xf numFmtId="9" fontId="0" fillId="13" borderId="0" xfId="0" applyNumberFormat="1" applyFill="1" applyBorder="1"/>
    <xf numFmtId="0" fontId="18" fillId="13" borderId="0" xfId="0" applyFont="1" applyFill="1" applyBorder="1"/>
    <xf numFmtId="0" fontId="18" fillId="13" borderId="0" xfId="0" applyFont="1" applyFill="1" applyBorder="1" applyAlignment="1">
      <alignment horizontal="center" vertical="center"/>
    </xf>
    <xf numFmtId="0" fontId="0" fillId="13" borderId="0" xfId="0" applyFont="1" applyFill="1" applyBorder="1" applyAlignment="1">
      <alignment horizontal="center" vertical="center"/>
    </xf>
    <xf numFmtId="9" fontId="0" fillId="13" borderId="0" xfId="2" applyFont="1" applyFill="1" applyBorder="1"/>
    <xf numFmtId="0" fontId="0" fillId="10" borderId="0" xfId="0" applyFill="1" applyBorder="1" applyAlignment="1">
      <alignment horizontal="center" vertical="center"/>
    </xf>
    <xf numFmtId="1" fontId="13" fillId="10" borderId="0" xfId="0" applyNumberFormat="1" applyFont="1" applyFill="1" applyBorder="1"/>
    <xf numFmtId="9" fontId="13" fillId="10" borderId="0" xfId="2" applyFont="1" applyFill="1" applyBorder="1"/>
    <xf numFmtId="9" fontId="0" fillId="10" borderId="0" xfId="2" applyFont="1" applyFill="1" applyBorder="1"/>
    <xf numFmtId="9" fontId="0" fillId="10" borderId="0" xfId="0" applyNumberFormat="1" applyFill="1" applyBorder="1"/>
    <xf numFmtId="166" fontId="24" fillId="3" borderId="0" xfId="0" applyNumberFormat="1" applyFont="1" applyFill="1"/>
    <xf numFmtId="0" fontId="24" fillId="3" borderId="0" xfId="0" applyFont="1" applyFill="1"/>
    <xf numFmtId="166" fontId="0" fillId="3" borderId="0" xfId="0" applyNumberFormat="1" applyFill="1"/>
    <xf numFmtId="166" fontId="24" fillId="0" borderId="0" xfId="0" applyNumberFormat="1" applyFont="1"/>
    <xf numFmtId="9" fontId="24" fillId="0" borderId="0" xfId="0" applyNumberFormat="1" applyFont="1"/>
    <xf numFmtId="0" fontId="0" fillId="10" borderId="0" xfId="0" quotePrefix="1" applyFill="1" applyBorder="1"/>
    <xf numFmtId="166" fontId="0" fillId="0" borderId="13" xfId="0" applyNumberFormat="1" applyBorder="1"/>
    <xf numFmtId="166" fontId="0" fillId="0" borderId="14" xfId="0" applyNumberFormat="1" applyBorder="1"/>
    <xf numFmtId="9" fontId="0" fillId="0" borderId="14" xfId="0" applyNumberFormat="1" applyBorder="1"/>
    <xf numFmtId="166" fontId="0" fillId="0" borderId="15" xfId="0" applyNumberFormat="1" applyBorder="1"/>
    <xf numFmtId="1" fontId="13" fillId="10" borderId="0" xfId="13" applyNumberFormat="1" applyFont="1" applyFill="1" applyBorder="1"/>
    <xf numFmtId="0" fontId="0" fillId="18" borderId="0" xfId="0" applyFill="1" applyBorder="1"/>
    <xf numFmtId="0" fontId="0" fillId="18" borderId="0" xfId="0" applyFill="1" applyBorder="1" applyAlignment="1">
      <alignment horizontal="center" vertical="center"/>
    </xf>
    <xf numFmtId="1" fontId="13" fillId="18" borderId="0" xfId="0" applyNumberFormat="1" applyFont="1" applyFill="1" applyBorder="1"/>
    <xf numFmtId="9" fontId="13" fillId="18" borderId="0" xfId="2" applyFont="1" applyFill="1" applyBorder="1"/>
    <xf numFmtId="9" fontId="0" fillId="18" borderId="0" xfId="2" applyFont="1" applyFill="1" applyBorder="1"/>
    <xf numFmtId="9" fontId="0" fillId="18" borderId="0" xfId="0" applyNumberFormat="1" applyFill="1" applyBorder="1"/>
    <xf numFmtId="0" fontId="0" fillId="0" borderId="11" xfId="0" applyBorder="1"/>
    <xf numFmtId="0" fontId="0" fillId="0" borderId="1" xfId="0" applyBorder="1"/>
    <xf numFmtId="0" fontId="0" fillId="0" borderId="10" xfId="0" applyBorder="1"/>
    <xf numFmtId="0" fontId="0" fillId="0" borderId="8" xfId="0" applyBorder="1"/>
    <xf numFmtId="0" fontId="0" fillId="3" borderId="0" xfId="0" applyFill="1" applyBorder="1"/>
    <xf numFmtId="0" fontId="0" fillId="3" borderId="8" xfId="0" applyFill="1" applyBorder="1" applyAlignment="1">
      <alignment wrapText="1"/>
    </xf>
    <xf numFmtId="0" fontId="13" fillId="0" borderId="9" xfId="0" applyFont="1" applyBorder="1"/>
    <xf numFmtId="0" fontId="0" fillId="0" borderId="0" xfId="0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13" fillId="0" borderId="0" xfId="0" applyFont="1" applyFill="1" applyBorder="1"/>
    <xf numFmtId="1" fontId="0" fillId="21" borderId="0" xfId="0" applyNumberFormat="1" applyFill="1"/>
    <xf numFmtId="1" fontId="0" fillId="10" borderId="0" xfId="0" applyNumberFormat="1" applyFill="1"/>
    <xf numFmtId="172" fontId="0" fillId="0" borderId="0" xfId="0" applyNumberFormat="1"/>
    <xf numFmtId="0" fontId="13" fillId="13" borderId="0" xfId="0" applyFont="1" applyFill="1" applyAlignment="1">
      <alignment horizontal="left"/>
    </xf>
    <xf numFmtId="1" fontId="0" fillId="13" borderId="0" xfId="0" applyNumberFormat="1" applyFill="1"/>
    <xf numFmtId="166" fontId="0" fillId="21" borderId="0" xfId="1" applyNumberFormat="1" applyFont="1" applyFill="1"/>
    <xf numFmtId="166" fontId="0" fillId="21" borderId="0" xfId="2" applyNumberFormat="1" applyFont="1" applyFill="1"/>
    <xf numFmtId="166" fontId="0" fillId="10" borderId="0" xfId="2" applyNumberFormat="1" applyFont="1" applyFill="1"/>
    <xf numFmtId="0" fontId="25" fillId="0" borderId="0" xfId="0" applyFont="1" applyFill="1"/>
    <xf numFmtId="2" fontId="0" fillId="5" borderId="0" xfId="0" applyNumberFormat="1" applyFill="1" applyBorder="1"/>
    <xf numFmtId="166" fontId="0" fillId="3" borderId="0" xfId="0" applyNumberFormat="1" applyFill="1" applyAlignment="1">
      <alignment wrapText="1"/>
    </xf>
    <xf numFmtId="166" fontId="0" fillId="3" borderId="0" xfId="0" applyNumberFormat="1" applyFill="1" applyAlignmen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166" fontId="24" fillId="0" borderId="0" xfId="0" applyNumberFormat="1" applyFont="1" applyFill="1"/>
    <xf numFmtId="166" fontId="0" fillId="0" borderId="0" xfId="0" applyNumberFormat="1" applyFill="1" applyAlignment="1">
      <alignment wrapText="1"/>
    </xf>
    <xf numFmtId="166" fontId="0" fillId="0" borderId="0" xfId="0" applyNumberFormat="1" applyFill="1" applyAlignment="1"/>
    <xf numFmtId="0" fontId="7" fillId="16" borderId="0" xfId="0" applyFont="1" applyFill="1"/>
    <xf numFmtId="0" fontId="0" fillId="58" borderId="0" xfId="0" applyFill="1"/>
    <xf numFmtId="0" fontId="7" fillId="58" borderId="0" xfId="0" applyFont="1" applyFill="1"/>
    <xf numFmtId="166" fontId="0" fillId="58" borderId="0" xfId="0" applyNumberFormat="1" applyFill="1"/>
    <xf numFmtId="9" fontId="0" fillId="58" borderId="0" xfId="0" applyNumberFormat="1" applyFill="1"/>
    <xf numFmtId="166" fontId="0" fillId="58" borderId="0" xfId="0" applyNumberFormat="1" applyFill="1" applyAlignment="1">
      <alignment wrapText="1"/>
    </xf>
    <xf numFmtId="166" fontId="0" fillId="58" borderId="0" xfId="0" applyNumberFormat="1" applyFill="1" applyAlignment="1"/>
    <xf numFmtId="0" fontId="18" fillId="0" borderId="0" xfId="16" applyFill="1"/>
    <xf numFmtId="0" fontId="17" fillId="0" borderId="29" xfId="16" applyFont="1" applyFill="1" applyBorder="1"/>
    <xf numFmtId="0" fontId="17" fillId="0" borderId="0" xfId="16" applyFont="1" applyFill="1" applyBorder="1"/>
    <xf numFmtId="0" fontId="17" fillId="0" borderId="29" xfId="16" applyFont="1" applyFill="1" applyBorder="1" applyAlignment="1">
      <alignment horizontal="center" wrapText="1"/>
    </xf>
    <xf numFmtId="0" fontId="18" fillId="0" borderId="0" xfId="16" applyFill="1" applyAlignment="1">
      <alignment horizontal="left"/>
    </xf>
    <xf numFmtId="166" fontId="18" fillId="0" borderId="0" xfId="16" applyNumberFormat="1" applyFill="1"/>
    <xf numFmtId="2" fontId="18" fillId="0" borderId="0" xfId="16" applyNumberFormat="1" applyFill="1"/>
    <xf numFmtId="2" fontId="18" fillId="0" borderId="13" xfId="16" applyNumberFormat="1" applyFill="1" applyBorder="1"/>
    <xf numFmtId="2" fontId="18" fillId="0" borderId="15" xfId="16" applyNumberFormat="1" applyFill="1" applyBorder="1"/>
    <xf numFmtId="0" fontId="17" fillId="0" borderId="30" xfId="16" applyFont="1" applyFill="1" applyBorder="1" applyAlignment="1">
      <alignment horizontal="left"/>
    </xf>
    <xf numFmtId="166" fontId="17" fillId="0" borderId="30" xfId="16" applyNumberFormat="1" applyFont="1" applyFill="1" applyBorder="1"/>
    <xf numFmtId="0" fontId="21" fillId="58" borderId="0" xfId="0" applyFont="1" applyFill="1"/>
    <xf numFmtId="0" fontId="7" fillId="0" borderId="0" xfId="0" applyFont="1" applyFill="1"/>
    <xf numFmtId="0" fontId="24" fillId="0" borderId="0" xfId="0" applyFont="1" applyFill="1"/>
    <xf numFmtId="166" fontId="0" fillId="0" borderId="0" xfId="0" applyNumberFormat="1" applyFill="1"/>
    <xf numFmtId="9" fontId="0" fillId="0" borderId="0" xfId="0" applyNumberFormat="1" applyFill="1"/>
    <xf numFmtId="9" fontId="24" fillId="0" borderId="0" xfId="0" applyNumberFormat="1" applyFont="1" applyFill="1"/>
    <xf numFmtId="166" fontId="0" fillId="0" borderId="13" xfId="0" applyNumberFormat="1" applyFill="1" applyBorder="1"/>
    <xf numFmtId="166" fontId="0" fillId="0" borderId="14" xfId="0" applyNumberFormat="1" applyFill="1" applyBorder="1"/>
    <xf numFmtId="9" fontId="0" fillId="0" borderId="14" xfId="0" applyNumberFormat="1" applyFill="1" applyBorder="1"/>
    <xf numFmtId="166" fontId="0" fillId="0" borderId="15" xfId="0" applyNumberFormat="1" applyFill="1" applyBorder="1"/>
    <xf numFmtId="166" fontId="0" fillId="0" borderId="0" xfId="0" applyNumberFormat="1" applyFill="1" applyAlignment="1">
      <alignment horizontal="left"/>
    </xf>
    <xf numFmtId="166" fontId="0" fillId="0" borderId="0" xfId="0" applyNumberFormat="1" applyFill="1" applyAlignment="1">
      <alignment horizontal="left" indent="1"/>
    </xf>
    <xf numFmtId="0" fontId="9" fillId="18" borderId="0" xfId="0" applyFont="1" applyFill="1" applyAlignment="1">
      <alignment vertical="center"/>
    </xf>
    <xf numFmtId="0" fontId="0" fillId="18" borderId="0" xfId="0" applyFill="1" applyAlignment="1">
      <alignment wrapText="1"/>
    </xf>
    <xf numFmtId="166" fontId="0" fillId="18" borderId="0" xfId="1" applyNumberFormat="1" applyFont="1" applyFill="1"/>
    <xf numFmtId="1" fontId="0" fillId="18" borderId="0" xfId="0" applyNumberFormat="1" applyFill="1"/>
    <xf numFmtId="166" fontId="0" fillId="18" borderId="0" xfId="0" applyNumberFormat="1" applyFill="1"/>
    <xf numFmtId="2" fontId="0" fillId="18" borderId="0" xfId="0" applyNumberFormat="1" applyFill="1"/>
    <xf numFmtId="0" fontId="21" fillId="0" borderId="0" xfId="0" applyFont="1" applyFill="1"/>
    <xf numFmtId="166" fontId="0" fillId="58" borderId="0" xfId="0" applyNumberFormat="1" applyFill="1" applyBorder="1"/>
    <xf numFmtId="43" fontId="2" fillId="0" borderId="0" xfId="0" applyNumberFormat="1" applyFont="1"/>
    <xf numFmtId="0" fontId="2" fillId="0" borderId="0" xfId="0" applyFont="1" applyAlignment="1">
      <alignment horizontal="left" indent="1"/>
    </xf>
    <xf numFmtId="166" fontId="0" fillId="0" borderId="1" xfId="0" applyNumberFormat="1" applyBorder="1"/>
    <xf numFmtId="9" fontId="0" fillId="8" borderId="17" xfId="0" applyNumberFormat="1" applyFill="1" applyBorder="1" applyAlignment="1">
      <alignment horizontal="center" vertical="center"/>
    </xf>
    <xf numFmtId="9" fontId="0" fillId="8" borderId="15" xfId="0" applyNumberForma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9" fontId="0" fillId="0" borderId="1" xfId="0" applyNumberFormat="1" applyBorder="1"/>
    <xf numFmtId="9" fontId="0" fillId="0" borderId="6" xfId="0" applyNumberFormat="1" applyBorder="1"/>
    <xf numFmtId="9" fontId="0" fillId="5" borderId="0" xfId="0" applyNumberFormat="1" applyFill="1" applyBorder="1"/>
    <xf numFmtId="0" fontId="0" fillId="5" borderId="0" xfId="0" applyFill="1" applyBorder="1"/>
    <xf numFmtId="9" fontId="0" fillId="8" borderId="12" xfId="0" applyNumberFormat="1" applyFill="1" applyBorder="1" applyAlignment="1">
      <alignment vertical="center"/>
    </xf>
    <xf numFmtId="0" fontId="2" fillId="3" borderId="11" xfId="0" applyFont="1" applyFill="1" applyBorder="1"/>
    <xf numFmtId="0" fontId="2" fillId="3" borderId="1" xfId="0" applyFont="1" applyFill="1" applyBorder="1"/>
    <xf numFmtId="0" fontId="2" fillId="3" borderId="10" xfId="0" applyFont="1" applyFill="1" applyBorder="1"/>
    <xf numFmtId="9" fontId="0" fillId="0" borderId="9" xfId="0" applyNumberFormat="1" applyBorder="1"/>
    <xf numFmtId="0" fontId="2" fillId="0" borderId="6" xfId="0" applyFont="1" applyBorder="1"/>
    <xf numFmtId="9" fontId="2" fillId="0" borderId="6" xfId="0" applyNumberFormat="1" applyFont="1" applyBorder="1"/>
    <xf numFmtId="9" fontId="0" fillId="5" borderId="0" xfId="0" applyNumberFormat="1" applyFill="1"/>
    <xf numFmtId="166" fontId="0" fillId="5" borderId="0" xfId="0" applyNumberFormat="1" applyFill="1" applyAlignment="1">
      <alignment horizontal="left" indent="1"/>
    </xf>
    <xf numFmtId="9" fontId="0" fillId="7" borderId="0" xfId="58" applyFont="1" applyFill="1" applyBorder="1" applyAlignment="1" applyProtection="1"/>
    <xf numFmtId="9" fontId="0" fillId="7" borderId="0" xfId="0" applyNumberFormat="1" applyFont="1" applyFill="1" applyBorder="1" applyAlignment="1" applyProtection="1"/>
    <xf numFmtId="9" fontId="0" fillId="10" borderId="42" xfId="0" applyNumberFormat="1" applyFont="1" applyFill="1" applyBorder="1" applyAlignment="1" applyProtection="1"/>
    <xf numFmtId="9" fontId="0" fillId="10" borderId="43" xfId="0" applyNumberFormat="1" applyFont="1" applyFill="1" applyBorder="1" applyAlignment="1" applyProtection="1"/>
    <xf numFmtId="0" fontId="0" fillId="3" borderId="0" xfId="0" applyFill="1" applyBorder="1" applyAlignment="1" applyProtection="1"/>
    <xf numFmtId="9" fontId="0" fillId="3" borderId="0" xfId="0" applyNumberFormat="1" applyFont="1" applyFill="1" applyBorder="1" applyAlignment="1" applyProtection="1">
      <alignment horizontal="center"/>
    </xf>
    <xf numFmtId="9" fontId="0" fillId="5" borderId="41" xfId="58" applyFont="1" applyFill="1" applyBorder="1" applyAlignment="1" applyProtection="1"/>
    <xf numFmtId="9" fontId="0" fillId="5" borderId="42" xfId="58" applyFont="1" applyFill="1" applyBorder="1" applyAlignment="1" applyProtection="1"/>
    <xf numFmtId="0" fontId="40" fillId="3" borderId="0" xfId="0" applyFont="1" applyFill="1" applyBorder="1" applyAlignment="1" applyProtection="1"/>
    <xf numFmtId="0" fontId="0" fillId="3" borderId="40" xfId="0" applyFont="1" applyFill="1" applyBorder="1" applyAlignment="1" applyProtection="1">
      <alignment horizontal="left" wrapText="1"/>
    </xf>
    <xf numFmtId="0" fontId="0" fillId="3" borderId="0" xfId="0" applyFont="1" applyFill="1" applyBorder="1" applyAlignment="1" applyProtection="1"/>
    <xf numFmtId="0" fontId="0" fillId="10" borderId="41" xfId="0" applyFill="1" applyBorder="1" applyAlignment="1" applyProtection="1"/>
    <xf numFmtId="9" fontId="0" fillId="5" borderId="43" xfId="58" applyFont="1" applyFill="1" applyBorder="1" applyAlignment="1" applyProtection="1"/>
    <xf numFmtId="9" fontId="0" fillId="7" borderId="40" xfId="58" applyFont="1" applyFill="1" applyBorder="1" applyAlignment="1" applyProtection="1"/>
    <xf numFmtId="9" fontId="0" fillId="7" borderId="42" xfId="0" applyNumberFormat="1" applyFont="1" applyFill="1" applyBorder="1" applyAlignment="1" applyProtection="1"/>
    <xf numFmtId="9" fontId="0" fillId="7" borderId="43" xfId="0" applyNumberFormat="1" applyFont="1" applyFill="1" applyBorder="1" applyAlignment="1" applyProtection="1"/>
    <xf numFmtId="168" fontId="0" fillId="7" borderId="0" xfId="58" applyNumberFormat="1" applyFont="1" applyFill="1" applyBorder="1" applyAlignment="1" applyProtection="1"/>
    <xf numFmtId="9" fontId="0" fillId="10" borderId="41" xfId="58" applyFont="1" applyFill="1" applyBorder="1" applyAlignment="1" applyProtection="1"/>
    <xf numFmtId="0" fontId="0" fillId="0" borderId="40" xfId="0" applyFont="1" applyFill="1" applyBorder="1" applyAlignment="1" applyProtection="1">
      <alignment horizontal="left" vertical="top" wrapText="1"/>
    </xf>
    <xf numFmtId="0" fontId="0" fillId="0" borderId="0" xfId="0" applyFont="1" applyFill="1" applyBorder="1" applyAlignment="1" applyProtection="1">
      <alignment horizontal="left" vertical="top" wrapText="1"/>
    </xf>
    <xf numFmtId="0" fontId="0" fillId="7" borderId="0" xfId="0" applyFill="1" applyBorder="1" applyAlignment="1" applyProtection="1"/>
    <xf numFmtId="0" fontId="0" fillId="7" borderId="41" xfId="0" applyFill="1" applyBorder="1" applyAlignment="1" applyProtection="1"/>
    <xf numFmtId="0" fontId="0" fillId="3" borderId="40" xfId="0" applyFont="1" applyFill="1" applyBorder="1" applyAlignment="1" applyProtection="1">
      <alignment wrapText="1"/>
    </xf>
    <xf numFmtId="0" fontId="0" fillId="3" borderId="40" xfId="0" applyFont="1" applyFill="1" applyBorder="1" applyAlignment="1" applyProtection="1">
      <alignment horizontal="right" wrapText="1"/>
    </xf>
    <xf numFmtId="43" fontId="3" fillId="0" borderId="0" xfId="3" applyNumberFormat="1" applyFill="1" applyBorder="1"/>
    <xf numFmtId="0" fontId="13" fillId="0" borderId="0" xfId="3" applyFont="1" applyFill="1" applyAlignment="1"/>
    <xf numFmtId="0" fontId="3" fillId="3" borderId="40" xfId="3" applyFill="1" applyBorder="1"/>
    <xf numFmtId="0" fontId="0" fillId="3" borderId="40" xfId="0" applyFill="1" applyBorder="1"/>
    <xf numFmtId="0" fontId="0" fillId="5" borderId="44" xfId="0" applyFill="1" applyBorder="1"/>
    <xf numFmtId="0" fontId="0" fillId="3" borderId="44" xfId="0" applyFill="1" applyBorder="1"/>
    <xf numFmtId="0" fontId="15" fillId="0" borderId="0" xfId="0" applyFont="1" applyBorder="1"/>
    <xf numFmtId="0" fontId="0" fillId="0" borderId="41" xfId="0" applyBorder="1"/>
    <xf numFmtId="0" fontId="0" fillId="0" borderId="40" xfId="0" applyBorder="1" applyAlignment="1">
      <alignment wrapText="1"/>
    </xf>
    <xf numFmtId="0" fontId="0" fillId="18" borderId="43" xfId="0" applyFill="1" applyBorder="1" applyAlignment="1">
      <alignment horizontal="left"/>
    </xf>
    <xf numFmtId="0" fontId="0" fillId="10" borderId="43" xfId="0" applyFill="1" applyBorder="1" applyAlignment="1">
      <alignment horizontal="left"/>
    </xf>
    <xf numFmtId="0" fontId="0" fillId="19" borderId="43" xfId="0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20" borderId="43" xfId="0" applyFill="1" applyBorder="1"/>
    <xf numFmtId="0" fontId="0" fillId="21" borderId="43" xfId="0" applyFill="1" applyBorder="1"/>
    <xf numFmtId="0" fontId="0" fillId="5" borderId="43" xfId="0" applyFill="1" applyBorder="1"/>
    <xf numFmtId="0" fontId="0" fillId="22" borderId="43" xfId="0" applyFill="1" applyBorder="1"/>
    <xf numFmtId="0" fontId="0" fillId="0" borderId="40" xfId="0" applyBorder="1"/>
    <xf numFmtId="0" fontId="17" fillId="0" borderId="0" xfId="0" applyFont="1" applyBorder="1" applyAlignment="1">
      <alignment horizontal="left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9" fontId="0" fillId="0" borderId="0" xfId="2" applyFont="1" applyAlignment="1">
      <alignment horizontal="center"/>
    </xf>
    <xf numFmtId="0" fontId="3" fillId="3" borderId="13" xfId="3" applyFill="1" applyBorder="1" applyAlignment="1">
      <alignment horizontal="center"/>
    </xf>
    <xf numFmtId="0" fontId="3" fillId="3" borderId="14" xfId="3" applyFill="1" applyBorder="1" applyAlignment="1">
      <alignment horizontal="center"/>
    </xf>
    <xf numFmtId="0" fontId="3" fillId="3" borderId="15" xfId="3" applyFill="1" applyBorder="1" applyAlignment="1">
      <alignment horizontal="center"/>
    </xf>
    <xf numFmtId="0" fontId="3" fillId="3" borderId="2" xfId="3" applyFill="1" applyBorder="1" applyAlignment="1">
      <alignment horizontal="center"/>
    </xf>
    <xf numFmtId="0" fontId="3" fillId="3" borderId="4" xfId="3" applyFill="1" applyBorder="1" applyAlignment="1">
      <alignment horizontal="center"/>
    </xf>
    <xf numFmtId="0" fontId="3" fillId="3" borderId="3" xfId="3" applyFill="1" applyBorder="1" applyAlignment="1">
      <alignment horizontal="center"/>
    </xf>
    <xf numFmtId="2" fontId="0" fillId="10" borderId="16" xfId="0" applyNumberFormat="1" applyFill="1" applyBorder="1" applyAlignment="1">
      <alignment horizontal="center" vertical="center"/>
    </xf>
    <xf numFmtId="2" fontId="0" fillId="10" borderId="17" xfId="0" applyNumberFormat="1" applyFill="1" applyBorder="1" applyAlignment="1">
      <alignment horizontal="center" vertical="center"/>
    </xf>
    <xf numFmtId="1" fontId="0" fillId="10" borderId="16" xfId="0" applyNumberFormat="1" applyFill="1" applyBorder="1" applyAlignment="1">
      <alignment horizontal="center" vertical="center"/>
    </xf>
    <xf numFmtId="1" fontId="0" fillId="10" borderId="17" xfId="0" applyNumberFormat="1" applyFill="1" applyBorder="1" applyAlignment="1">
      <alignment horizontal="center" vertical="center"/>
    </xf>
    <xf numFmtId="2" fontId="0" fillId="19" borderId="16" xfId="0" applyNumberFormat="1" applyFill="1" applyBorder="1" applyAlignment="1">
      <alignment horizontal="center" vertical="center"/>
    </xf>
    <xf numFmtId="2" fontId="0" fillId="19" borderId="17" xfId="0" applyNumberFormat="1" applyFill="1" applyBorder="1" applyAlignment="1">
      <alignment horizontal="center" vertical="center"/>
    </xf>
    <xf numFmtId="1" fontId="0" fillId="19" borderId="16" xfId="0" applyNumberFormat="1" applyFill="1" applyBorder="1" applyAlignment="1">
      <alignment horizontal="center" vertical="center"/>
    </xf>
    <xf numFmtId="1" fontId="0" fillId="19" borderId="17" xfId="0" applyNumberFormat="1" applyFill="1" applyBorder="1" applyAlignment="1">
      <alignment horizontal="center" vertical="center"/>
    </xf>
    <xf numFmtId="43" fontId="3" fillId="0" borderId="0" xfId="1" applyNumberFormat="1" applyFont="1" applyFill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12" borderId="12" xfId="0" applyFill="1" applyBorder="1" applyAlignment="1">
      <alignment horizontal="center" vertical="center" textRotation="90"/>
    </xf>
    <xf numFmtId="9" fontId="0" fillId="8" borderId="16" xfId="0" applyNumberFormat="1" applyFill="1" applyBorder="1" applyAlignment="1">
      <alignment horizontal="center" vertical="center"/>
    </xf>
    <xf numFmtId="9" fontId="0" fillId="8" borderId="28" xfId="0" applyNumberFormat="1" applyFill="1" applyBorder="1" applyAlignment="1">
      <alignment horizontal="center" vertical="center"/>
    </xf>
    <xf numFmtId="9" fontId="0" fillId="8" borderId="17" xfId="0" applyNumberFormat="1" applyFill="1" applyBorder="1" applyAlignment="1">
      <alignment horizontal="center" vertical="center"/>
    </xf>
    <xf numFmtId="9" fontId="0" fillId="12" borderId="16" xfId="0" applyNumberFormat="1" applyFill="1" applyBorder="1" applyAlignment="1">
      <alignment horizontal="center" vertical="center"/>
    </xf>
    <xf numFmtId="0" fontId="0" fillId="12" borderId="28" xfId="0" applyFill="1" applyBorder="1" applyAlignment="1">
      <alignment horizontal="center" vertical="center"/>
    </xf>
    <xf numFmtId="0" fontId="0" fillId="12" borderId="17" xfId="0" applyFill="1" applyBorder="1" applyAlignment="1">
      <alignment horizontal="center" vertical="center"/>
    </xf>
    <xf numFmtId="9" fontId="0" fillId="8" borderId="10" xfId="0" applyNumberFormat="1" applyFill="1" applyBorder="1" applyAlignment="1">
      <alignment horizontal="center" vertical="center"/>
    </xf>
    <xf numFmtId="9" fontId="0" fillId="8" borderId="8" xfId="0" applyNumberFormat="1" applyFill="1" applyBorder="1" applyAlignment="1">
      <alignment horizontal="center" vertical="center"/>
    </xf>
    <xf numFmtId="9" fontId="0" fillId="8" borderId="5" xfId="0" applyNumberForma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8" borderId="28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wrapText="1"/>
    </xf>
    <xf numFmtId="0" fontId="0" fillId="0" borderId="14" xfId="0" applyNumberFormat="1" applyFont="1" applyFill="1" applyBorder="1" applyAlignment="1" applyProtection="1">
      <alignment horizontal="center" wrapText="1"/>
    </xf>
    <xf numFmtId="0" fontId="0" fillId="0" borderId="15" xfId="0" applyNumberFormat="1" applyFont="1" applyFill="1" applyBorder="1" applyAlignment="1" applyProtection="1">
      <alignment horizontal="center" wrapText="1"/>
    </xf>
    <xf numFmtId="0" fontId="0" fillId="0" borderId="16" xfId="0" applyNumberFormat="1" applyFont="1" applyFill="1" applyBorder="1" applyAlignment="1" applyProtection="1">
      <alignment horizontal="center" wrapText="1"/>
    </xf>
    <xf numFmtId="0" fontId="0" fillId="0" borderId="17" xfId="0" applyNumberFormat="1" applyFont="1" applyFill="1" applyBorder="1" applyAlignment="1" applyProtection="1">
      <alignment horizontal="center" wrapText="1"/>
    </xf>
    <xf numFmtId="0" fontId="3" fillId="3" borderId="12" xfId="3" applyFill="1" applyBorder="1" applyAlignment="1">
      <alignment horizontal="center"/>
    </xf>
    <xf numFmtId="168" fontId="3" fillId="0" borderId="12" xfId="2" applyNumberFormat="1" applyFont="1" applyBorder="1" applyAlignment="1">
      <alignment horizontal="center"/>
    </xf>
    <xf numFmtId="9" fontId="3" fillId="0" borderId="12" xfId="2" applyFont="1" applyBorder="1" applyAlignment="1">
      <alignment horizontal="center"/>
    </xf>
    <xf numFmtId="168" fontId="3" fillId="0" borderId="1" xfId="3" applyNumberFormat="1" applyBorder="1" applyAlignment="1">
      <alignment horizontal="center"/>
    </xf>
    <xf numFmtId="0" fontId="3" fillId="0" borderId="1" xfId="3" applyBorder="1" applyAlignment="1">
      <alignment horizontal="center"/>
    </xf>
    <xf numFmtId="2" fontId="0" fillId="58" borderId="0" xfId="0" applyNumberFormat="1" applyFill="1"/>
    <xf numFmtId="1" fontId="0" fillId="0" borderId="0" xfId="0" applyNumberFormat="1" applyFill="1"/>
    <xf numFmtId="0" fontId="13" fillId="0" borderId="0" xfId="0" applyFont="1" applyFill="1"/>
    <xf numFmtId="166" fontId="0" fillId="58" borderId="0" xfId="1" applyNumberFormat="1" applyFont="1" applyFill="1"/>
    <xf numFmtId="43" fontId="0" fillId="58" borderId="0" xfId="0" applyNumberFormat="1" applyFill="1"/>
    <xf numFmtId="170" fontId="0" fillId="58" borderId="0" xfId="0" applyNumberFormat="1" applyFill="1"/>
    <xf numFmtId="10" fontId="0" fillId="0" borderId="0" xfId="0" applyNumberFormat="1"/>
  </cellXfs>
  <cellStyles count="60">
    <cellStyle name="20% - Accent1 2" xfId="34"/>
    <cellStyle name="20% - Accent2 2" xfId="38"/>
    <cellStyle name="20% - Accent3 2" xfId="42"/>
    <cellStyle name="20% - Accent4 2" xfId="46"/>
    <cellStyle name="20% - Accent5 2" xfId="50"/>
    <cellStyle name="20% - Accent6 2" xfId="54"/>
    <cellStyle name="40% - Accent1 2" xfId="35"/>
    <cellStyle name="40% - Accent2 2" xfId="39"/>
    <cellStyle name="40% - Accent3 2" xfId="43"/>
    <cellStyle name="40% - Accent4 2" xfId="47"/>
    <cellStyle name="40% - Accent5 2" xfId="51"/>
    <cellStyle name="40% - Accent6 2" xfId="55"/>
    <cellStyle name="60% - Accent1 2" xfId="36"/>
    <cellStyle name="60% - Accent2 2" xfId="40"/>
    <cellStyle name="60% - Accent3 2" xfId="44"/>
    <cellStyle name="60% - Accent4 2" xfId="48"/>
    <cellStyle name="60% - Accent5 2" xfId="52"/>
    <cellStyle name="60% - Accent6 2" xfId="56"/>
    <cellStyle name="Accent1 2" xfId="33"/>
    <cellStyle name="Accent2 2" xfId="37"/>
    <cellStyle name="Accent3 2" xfId="41"/>
    <cellStyle name="Accent4 2" xfId="45"/>
    <cellStyle name="Accent5 2" xfId="49"/>
    <cellStyle name="Accent6 2" xfId="53"/>
    <cellStyle name="Bad 2" xfId="22"/>
    <cellStyle name="Calculation 2" xfId="26"/>
    <cellStyle name="Check Cell 2" xfId="28"/>
    <cellStyle name="Comma" xfId="1" builtinId="3"/>
    <cellStyle name="Comma 2" xfId="10"/>
    <cellStyle name="Comma 3" xfId="57"/>
    <cellStyle name="Currency" xfId="13" builtinId="4"/>
    <cellStyle name="Currency 2" xfId="59"/>
    <cellStyle name="Explanatory Text 2" xfId="31"/>
    <cellStyle name="Good 2" xfId="21"/>
    <cellStyle name="Heading 1 2" xfId="17"/>
    <cellStyle name="Heading 2 2" xfId="18"/>
    <cellStyle name="Heading 3 2" xfId="19"/>
    <cellStyle name="Heading 4 2" xfId="20"/>
    <cellStyle name="Input 2" xfId="24"/>
    <cellStyle name="Linked Cell 2" xfId="27"/>
    <cellStyle name="Neutral 2" xfId="23"/>
    <cellStyle name="Normal" xfId="0" builtinId="0"/>
    <cellStyle name="Normal 13" xfId="14"/>
    <cellStyle name="Normal 2" xfId="12"/>
    <cellStyle name="Normal 3" xfId="7"/>
    <cellStyle name="Normal 4" xfId="16"/>
    <cellStyle name="Normal_PC-LPDPackageNew-5P" xfId="3"/>
    <cellStyle name="Note 2" xfId="30"/>
    <cellStyle name="Output 2" xfId="25"/>
    <cellStyle name="Percent" xfId="2" builtinId="5"/>
    <cellStyle name="Percent 2" xfId="11"/>
    <cellStyle name="Percent 3" xfId="58"/>
    <cellStyle name="Title" xfId="15" builtinId="15" customBuiltin="1"/>
    <cellStyle name="Total 2" xfId="32"/>
    <cellStyle name="Warning Text 2" xfId="29"/>
    <cellStyle name="XLConnect.Boolean" xfId="8"/>
    <cellStyle name="XLConnect.DateTime" xfId="9"/>
    <cellStyle name="XLConnect.Header" xfId="4"/>
    <cellStyle name="XLConnect.Numeric" xfId="5"/>
    <cellStyle name="XLConnect.String" xfId="6"/>
  </cellStyles>
  <dxfs count="0"/>
  <tableStyles count="0" defaultTableStyle="TableStyleMedium2" defaultPivotStyle="PivotStyleLight16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Flyover!$F$86</c:f>
              <c:strCache>
                <c:ptCount val="1"/>
                <c:pt idx="0">
                  <c:v>Lighting Hours Weighted</c:v>
                </c:pt>
              </c:strCache>
            </c:strRef>
          </c:tx>
          <c:cat>
            <c:strRef>
              <c:f>Flyover!$B$87:$B$97</c:f>
              <c:strCache>
                <c:ptCount val="11"/>
                <c:pt idx="0">
                  <c:v>Assembly</c:v>
                </c:pt>
                <c:pt idx="1">
                  <c:v>Grocery</c:v>
                </c:pt>
                <c:pt idx="2">
                  <c:v>Lodging</c:v>
                </c:pt>
                <c:pt idx="3">
                  <c:v>Office</c:v>
                </c:pt>
                <c:pt idx="4">
                  <c:v>Other</c:v>
                </c:pt>
                <c:pt idx="5">
                  <c:v>Residential Care</c:v>
                </c:pt>
                <c:pt idx="6">
                  <c:v>Restaurant</c:v>
                </c:pt>
                <c:pt idx="7">
                  <c:v>Retail/Service</c:v>
                </c:pt>
                <c:pt idx="8">
                  <c:v>School K-12</c:v>
                </c:pt>
                <c:pt idx="9">
                  <c:v>Warehouse</c:v>
                </c:pt>
                <c:pt idx="10">
                  <c:v>Grand Total</c:v>
                </c:pt>
              </c:strCache>
            </c:strRef>
          </c:cat>
          <c:val>
            <c:numRef>
              <c:f>Flyover!$F$87:$F$97</c:f>
              <c:numCache>
                <c:formatCode>0</c:formatCode>
                <c:ptCount val="11"/>
                <c:pt idx="0">
                  <c:v>2967.8627071516012</c:v>
                </c:pt>
                <c:pt idx="1">
                  <c:v>7180.9530695134035</c:v>
                </c:pt>
                <c:pt idx="2">
                  <c:v>2924.0724824030326</c:v>
                </c:pt>
                <c:pt idx="3">
                  <c:v>2996.929816600104</c:v>
                </c:pt>
                <c:pt idx="4">
                  <c:v>4049.7798031758457</c:v>
                </c:pt>
                <c:pt idx="5">
                  <c:v>5629.1089151696196</c:v>
                </c:pt>
                <c:pt idx="6">
                  <c:v>5405.868510801869</c:v>
                </c:pt>
                <c:pt idx="7">
                  <c:v>4224.9019225439497</c:v>
                </c:pt>
                <c:pt idx="8">
                  <c:v>2683.598548342979</c:v>
                </c:pt>
                <c:pt idx="9">
                  <c:v>2669.8160168503773</c:v>
                </c:pt>
                <c:pt idx="10">
                  <c:v>3505.4325425970278</c:v>
                </c:pt>
              </c:numCache>
            </c:numRef>
          </c:val>
        </c:ser>
        <c:axId val="367333760"/>
        <c:axId val="367335296"/>
      </c:barChart>
      <c:catAx>
        <c:axId val="367333760"/>
        <c:scaling>
          <c:orientation val="minMax"/>
        </c:scaling>
        <c:axPos val="b"/>
        <c:numFmt formatCode="General" sourceLinked="1"/>
        <c:tickLblPos val="nextTo"/>
        <c:crossAx val="367335296"/>
        <c:crosses val="autoZero"/>
        <c:auto val="1"/>
        <c:lblAlgn val="ctr"/>
        <c:lblOffset val="100"/>
      </c:catAx>
      <c:valAx>
        <c:axId val="367335296"/>
        <c:scaling>
          <c:orientation val="minMax"/>
        </c:scaling>
        <c:axPos val="l"/>
        <c:majorGridlines/>
        <c:numFmt formatCode="0" sourceLinked="1"/>
        <c:tickLblPos val="nextTo"/>
        <c:crossAx val="367333760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'CBSA LPD Dist t53'!$E$191</c:f>
          <c:strCache>
            <c:ptCount val="1"/>
            <c:pt idx="0">
              <c:v>Warehouse</c:v>
            </c:pt>
          </c:strCache>
        </c:strRef>
      </c:tx>
    </c:title>
    <c:plotArea>
      <c:layout/>
      <c:barChart>
        <c:barDir val="col"/>
        <c:grouping val="clustered"/>
        <c:ser>
          <c:idx val="0"/>
          <c:order val="0"/>
          <c:val>
            <c:numRef>
              <c:f>'CBSA LPD Dist t53'!$E$193:$E$235</c:f>
              <c:numCache>
                <c:formatCode>0.0</c:formatCode>
                <c:ptCount val="43"/>
                <c:pt idx="0">
                  <c:v>0.16285714285714301</c:v>
                </c:pt>
                <c:pt idx="1">
                  <c:v>0.21246628975265</c:v>
                </c:pt>
                <c:pt idx="2">
                  <c:v>0.21361384615384599</c:v>
                </c:pt>
                <c:pt idx="3">
                  <c:v>0.217113506493506</c:v>
                </c:pt>
                <c:pt idx="4">
                  <c:v>0.224</c:v>
                </c:pt>
                <c:pt idx="5">
                  <c:v>0.245754896331738</c:v>
                </c:pt>
                <c:pt idx="6">
                  <c:v>0.26984000000000002</c:v>
                </c:pt>
                <c:pt idx="7">
                  <c:v>0.28703395522388098</c:v>
                </c:pt>
                <c:pt idx="8">
                  <c:v>0.28879741594446201</c:v>
                </c:pt>
                <c:pt idx="9">
                  <c:v>0.35282394366197201</c:v>
                </c:pt>
                <c:pt idx="10">
                  <c:v>0.359410909090909</c:v>
                </c:pt>
                <c:pt idx="11">
                  <c:v>0.40701162615103698</c:v>
                </c:pt>
                <c:pt idx="12">
                  <c:v>0.44233055885850198</c:v>
                </c:pt>
                <c:pt idx="13">
                  <c:v>0.47248299549307399</c:v>
                </c:pt>
                <c:pt idx="14">
                  <c:v>0.53804074074074104</c:v>
                </c:pt>
                <c:pt idx="15">
                  <c:v>0.54502006847319295</c:v>
                </c:pt>
                <c:pt idx="16">
                  <c:v>0.57525203588423601</c:v>
                </c:pt>
                <c:pt idx="17">
                  <c:v>0.57838250961259297</c:v>
                </c:pt>
                <c:pt idx="18">
                  <c:v>0.58729457926684903</c:v>
                </c:pt>
                <c:pt idx="19">
                  <c:v>0.60250333669224998</c:v>
                </c:pt>
                <c:pt idx="20" formatCode="0.000">
                  <c:v>0.60279303730183997</c:v>
                </c:pt>
                <c:pt idx="21">
                  <c:v>0.68781482218731105</c:v>
                </c:pt>
                <c:pt idx="22">
                  <c:v>0.69428293923353801</c:v>
                </c:pt>
                <c:pt idx="23">
                  <c:v>0.702515959821429</c:v>
                </c:pt>
                <c:pt idx="24">
                  <c:v>0.74193486057062996</c:v>
                </c:pt>
                <c:pt idx="25">
                  <c:v>0.78751455472282705</c:v>
                </c:pt>
                <c:pt idx="26">
                  <c:v>0.80600571428571399</c:v>
                </c:pt>
                <c:pt idx="27">
                  <c:v>0.92740244020266305</c:v>
                </c:pt>
                <c:pt idx="28">
                  <c:v>0.95789744953605005</c:v>
                </c:pt>
                <c:pt idx="29">
                  <c:v>0.96925092095529597</c:v>
                </c:pt>
                <c:pt idx="30">
                  <c:v>0.98910921433061005</c:v>
                </c:pt>
                <c:pt idx="31">
                  <c:v>1.0062544791108301</c:v>
                </c:pt>
                <c:pt idx="32">
                  <c:v>1.0113497660687001</c:v>
                </c:pt>
                <c:pt idx="33">
                  <c:v>1.0121846604787501</c:v>
                </c:pt>
                <c:pt idx="34">
                  <c:v>1.03210810810811</c:v>
                </c:pt>
                <c:pt idx="35">
                  <c:v>1.07041641641642</c:v>
                </c:pt>
                <c:pt idx="36">
                  <c:v>1.07883470397328</c:v>
                </c:pt>
                <c:pt idx="37">
                  <c:v>1.09076115169221</c:v>
                </c:pt>
                <c:pt idx="38">
                  <c:v>1.1200000000000001</c:v>
                </c:pt>
                <c:pt idx="39">
                  <c:v>1.2248762321122</c:v>
                </c:pt>
                <c:pt idx="40">
                  <c:v>1.24328744939271</c:v>
                </c:pt>
                <c:pt idx="41">
                  <c:v>1.25</c:v>
                </c:pt>
                <c:pt idx="42">
                  <c:v>1.2942524495668299</c:v>
                </c:pt>
              </c:numCache>
            </c:numRef>
          </c:val>
        </c:ser>
        <c:axId val="468251776"/>
        <c:axId val="468253696"/>
      </c:barChart>
      <c:catAx>
        <c:axId val="468251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Site</a:t>
                </a:r>
              </a:p>
            </c:rich>
          </c:tx>
        </c:title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8253696"/>
        <c:crosses val="autoZero"/>
        <c:auto val="1"/>
        <c:lblAlgn val="ctr"/>
        <c:lblOffset val="100"/>
      </c:catAx>
      <c:valAx>
        <c:axId val="46825369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Lighting Power Density (Watt/SF)</a:t>
                </a:r>
              </a:p>
            </c:rich>
          </c:tx>
        </c:title>
        <c:numFmt formatCode="0.0" sourceLinked="1"/>
        <c:tickLblPos val="nextTo"/>
        <c:crossAx val="468251776"/>
        <c:crosses val="autoZero"/>
        <c:crossBetween val="between"/>
      </c:valAx>
    </c:plotArea>
    <c:plotVisOnly val="1"/>
  </c:chart>
  <c:txPr>
    <a:bodyPr/>
    <a:lstStyle/>
    <a:p>
      <a:pPr>
        <a:defRPr sz="1400"/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7905074365704294E-2"/>
          <c:y val="5.1400554097404488E-2"/>
          <c:w val="0.76629068241470544"/>
          <c:h val="0.7215084572761794"/>
        </c:manualLayout>
      </c:layout>
      <c:barChart>
        <c:barDir val="col"/>
        <c:grouping val="clustered"/>
        <c:ser>
          <c:idx val="0"/>
          <c:order val="0"/>
          <c:cat>
            <c:numRef>
              <c:f>'CBSA LPD Dist t53'!$G$192:$G$211</c:f>
              <c:numCache>
                <c:formatCode>General</c:formatCode>
                <c:ptCount val="2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 formatCode="0.0">
                  <c:v>1</c:v>
                </c:pt>
                <c:pt idx="10">
                  <c:v>1.1000000000000001</c:v>
                </c:pt>
                <c:pt idx="11">
                  <c:v>1.2</c:v>
                </c:pt>
                <c:pt idx="12">
                  <c:v>1.3</c:v>
                </c:pt>
                <c:pt idx="13">
                  <c:v>1.4</c:v>
                </c:pt>
                <c:pt idx="14">
                  <c:v>1.5</c:v>
                </c:pt>
                <c:pt idx="15">
                  <c:v>1.6</c:v>
                </c:pt>
                <c:pt idx="16">
                  <c:v>1.7</c:v>
                </c:pt>
                <c:pt idx="17">
                  <c:v>1.8</c:v>
                </c:pt>
                <c:pt idx="18">
                  <c:v>1.9</c:v>
                </c:pt>
                <c:pt idx="19">
                  <c:v>2</c:v>
                </c:pt>
              </c:numCache>
            </c:numRef>
          </c:cat>
          <c:val>
            <c:numRef>
              <c:f>'CBSA LPD Dist t53'!$H$192:$H$211</c:f>
              <c:numCache>
                <c:formatCode>General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4</c:v>
                </c:pt>
                <c:pt idx="10">
                  <c:v>7</c:v>
                </c:pt>
                <c:pt idx="11">
                  <c:v>1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471181952"/>
        <c:axId val="471183744"/>
      </c:barChart>
      <c:catAx>
        <c:axId val="471181952"/>
        <c:scaling>
          <c:orientation val="minMax"/>
        </c:scaling>
        <c:axPos val="b"/>
        <c:numFmt formatCode="General" sourceLinked="1"/>
        <c:tickLblPos val="nextTo"/>
        <c:txPr>
          <a:bodyPr rot="-2280000"/>
          <a:lstStyle/>
          <a:p>
            <a:pPr>
              <a:defRPr/>
            </a:pPr>
            <a:endParaRPr lang="en-US"/>
          </a:p>
        </c:txPr>
        <c:crossAx val="471183744"/>
        <c:crosses val="autoZero"/>
        <c:auto val="1"/>
        <c:lblAlgn val="ctr"/>
        <c:lblOffset val="100"/>
      </c:catAx>
      <c:valAx>
        <c:axId val="471183744"/>
        <c:scaling>
          <c:orientation val="minMax"/>
        </c:scaling>
        <c:axPos val="l"/>
        <c:majorGridlines/>
        <c:numFmt formatCode="General" sourceLinked="1"/>
        <c:tickLblPos val="nextTo"/>
        <c:crossAx val="47118195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strRef>
              <c:f>'CBSA LPD Dist t53'!$BA$81</c:f>
              <c:strCache>
                <c:ptCount val="1"/>
                <c:pt idx="0">
                  <c:v>Pre_2004_Office</c:v>
                </c:pt>
              </c:strCache>
            </c:strRef>
          </c:tx>
          <c:marker>
            <c:symbol val="none"/>
          </c:marker>
          <c:cat>
            <c:numRef>
              <c:f>'CBSA LPD Dist t53'!$AZ$82:$AZ$100</c:f>
              <c:numCache>
                <c:formatCode>General</c:formatCode>
                <c:ptCount val="19"/>
                <c:pt idx="0">
                  <c:v>0.4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 formatCode="0.0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1.6</c:v>
                </c:pt>
                <c:pt idx="13">
                  <c:v>1.7</c:v>
                </c:pt>
                <c:pt idx="14">
                  <c:v>1.8</c:v>
                </c:pt>
                <c:pt idx="15">
                  <c:v>1.9</c:v>
                </c:pt>
                <c:pt idx="16" formatCode="0.0">
                  <c:v>2</c:v>
                </c:pt>
                <c:pt idx="17">
                  <c:v>2.1</c:v>
                </c:pt>
                <c:pt idx="18">
                  <c:v>2.2000000000000002</c:v>
                </c:pt>
              </c:numCache>
            </c:numRef>
          </c:cat>
          <c:val>
            <c:numRef>
              <c:f>'CBSA LPD Dist t53'!$BA$82:$BA$100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  <c:pt idx="6">
                  <c:v>3</c:v>
                </c:pt>
                <c:pt idx="7">
                  <c:v>8</c:v>
                </c:pt>
                <c:pt idx="8">
                  <c:v>6</c:v>
                </c:pt>
                <c:pt idx="9">
                  <c:v>8</c:v>
                </c:pt>
                <c:pt idx="10">
                  <c:v>4</c:v>
                </c:pt>
                <c:pt idx="11">
                  <c:v>6</c:v>
                </c:pt>
                <c:pt idx="12">
                  <c:v>4</c:v>
                </c:pt>
                <c:pt idx="13">
                  <c:v>1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</c:ser>
        <c:ser>
          <c:idx val="1"/>
          <c:order val="1"/>
          <c:tx>
            <c:strRef>
              <c:f>'CBSA LPD Dist t53'!$BB$81</c:f>
              <c:strCache>
                <c:ptCount val="1"/>
                <c:pt idx="0">
                  <c:v>Post_2004_Office</c:v>
                </c:pt>
              </c:strCache>
            </c:strRef>
          </c:tx>
          <c:marker>
            <c:symbol val="none"/>
          </c:marker>
          <c:cat>
            <c:numRef>
              <c:f>'CBSA LPD Dist t53'!$AZ$82:$AZ$100</c:f>
              <c:numCache>
                <c:formatCode>General</c:formatCode>
                <c:ptCount val="19"/>
                <c:pt idx="0">
                  <c:v>0.4</c:v>
                </c:pt>
                <c:pt idx="1">
                  <c:v>0.5</c:v>
                </c:pt>
                <c:pt idx="2">
                  <c:v>0.6</c:v>
                </c:pt>
                <c:pt idx="3">
                  <c:v>0.7</c:v>
                </c:pt>
                <c:pt idx="4">
                  <c:v>0.8</c:v>
                </c:pt>
                <c:pt idx="5">
                  <c:v>0.9</c:v>
                </c:pt>
                <c:pt idx="6" formatCode="0.0">
                  <c:v>1</c:v>
                </c:pt>
                <c:pt idx="7">
                  <c:v>1.1000000000000001</c:v>
                </c:pt>
                <c:pt idx="8">
                  <c:v>1.2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1.6</c:v>
                </c:pt>
                <c:pt idx="13">
                  <c:v>1.7</c:v>
                </c:pt>
                <c:pt idx="14">
                  <c:v>1.8</c:v>
                </c:pt>
                <c:pt idx="15">
                  <c:v>1.9</c:v>
                </c:pt>
                <c:pt idx="16" formatCode="0.0">
                  <c:v>2</c:v>
                </c:pt>
                <c:pt idx="17">
                  <c:v>2.1</c:v>
                </c:pt>
                <c:pt idx="18">
                  <c:v>2.2000000000000002</c:v>
                </c:pt>
              </c:numCache>
            </c:numRef>
          </c:cat>
          <c:val>
            <c:numRef>
              <c:f>'CBSA LPD Dist t53'!$BB$82:$BB$100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</c:ser>
        <c:marker val="1"/>
        <c:axId val="471212416"/>
        <c:axId val="471213952"/>
      </c:lineChart>
      <c:catAx>
        <c:axId val="471212416"/>
        <c:scaling>
          <c:orientation val="minMax"/>
        </c:scaling>
        <c:axPos val="b"/>
        <c:numFmt formatCode="General" sourceLinked="1"/>
        <c:tickLblPos val="nextTo"/>
        <c:crossAx val="471213952"/>
        <c:crosses val="autoZero"/>
        <c:auto val="1"/>
        <c:lblAlgn val="ctr"/>
        <c:lblOffset val="100"/>
      </c:catAx>
      <c:valAx>
        <c:axId val="471213952"/>
        <c:scaling>
          <c:orientation val="minMax"/>
        </c:scaling>
        <c:axPos val="l"/>
        <c:majorGridlines/>
        <c:numFmt formatCode="General" sourceLinked="1"/>
        <c:tickLblPos val="nextTo"/>
        <c:crossAx val="471212416"/>
        <c:crosses val="autoZero"/>
        <c:crossBetween val="between"/>
      </c:valAx>
    </c:plotArea>
    <c:legend>
      <c:legendPos val="b"/>
    </c:legend>
    <c:plotVisOnly val="1"/>
  </c:chart>
  <c:txPr>
    <a:bodyPr/>
    <a:lstStyle/>
    <a:p>
      <a:pPr>
        <a:defRPr sz="1600"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LDP in Offices 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'CBSA LPD Dist t53'!$AO$80</c:f>
              <c:strCache>
                <c:ptCount val="1"/>
                <c:pt idx="0">
                  <c:v>Pre-2004</c:v>
                </c:pt>
              </c:strCache>
            </c:strRef>
          </c:tx>
          <c:cat>
            <c:multiLvlStrRef>
              <c:f>'Table 53 - Table LPD_Ind   Bldg'!#REF!</c:f>
            </c:multiLvlStrRef>
          </c:cat>
          <c:val>
            <c:numRef>
              <c:f>'CBSA LPD Dist t53'!$AO$82:$AO$151</c:f>
              <c:numCache>
                <c:formatCode>0.0</c:formatCode>
                <c:ptCount val="70"/>
                <c:pt idx="0">
                  <c:v>2.1242121027874599</c:v>
                </c:pt>
                <c:pt idx="1">
                  <c:v>2.0874999999999999</c:v>
                </c:pt>
                <c:pt idx="2">
                  <c:v>1.9847619047619001</c:v>
                </c:pt>
                <c:pt idx="3">
                  <c:v>1.95294021961756</c:v>
                </c:pt>
                <c:pt idx="4">
                  <c:v>1.86787330316742</c:v>
                </c:pt>
                <c:pt idx="5">
                  <c:v>1.86069143139139</c:v>
                </c:pt>
                <c:pt idx="6">
                  <c:v>1.82390109182392</c:v>
                </c:pt>
                <c:pt idx="7">
                  <c:v>1.80666666666667</c:v>
                </c:pt>
                <c:pt idx="8">
                  <c:v>1.7691011796860601</c:v>
                </c:pt>
                <c:pt idx="9">
                  <c:v>1.7418483692635101</c:v>
                </c:pt>
                <c:pt idx="10">
                  <c:v>1.73779715864728</c:v>
                </c:pt>
                <c:pt idx="11">
                  <c:v>1.6645885286783</c:v>
                </c:pt>
                <c:pt idx="12">
                  <c:v>1.5422153369481</c:v>
                </c:pt>
                <c:pt idx="13">
                  <c:v>1.53720068310998</c:v>
                </c:pt>
                <c:pt idx="14">
                  <c:v>1.52952638076022</c:v>
                </c:pt>
                <c:pt idx="15">
                  <c:v>1.5197946197181</c:v>
                </c:pt>
                <c:pt idx="16">
                  <c:v>1.4698181818181799</c:v>
                </c:pt>
                <c:pt idx="17">
                  <c:v>1.4603421461897399</c:v>
                </c:pt>
                <c:pt idx="18">
                  <c:v>1.45584255744256</c:v>
                </c:pt>
                <c:pt idx="19">
                  <c:v>1.4547834934395301</c:v>
                </c:pt>
                <c:pt idx="20">
                  <c:v>1.4536781426806</c:v>
                </c:pt>
                <c:pt idx="21">
                  <c:v>1.4120322006919199</c:v>
                </c:pt>
                <c:pt idx="22">
                  <c:v>1.38979132915881</c:v>
                </c:pt>
                <c:pt idx="23">
                  <c:v>1.3423789466790901</c:v>
                </c:pt>
                <c:pt idx="24">
                  <c:v>1.3392533333333301</c:v>
                </c:pt>
                <c:pt idx="25">
                  <c:v>1.3160000000000001</c:v>
                </c:pt>
                <c:pt idx="26">
                  <c:v>1.2873040437158501</c:v>
                </c:pt>
                <c:pt idx="27">
                  <c:v>1.2701123922219799</c:v>
                </c:pt>
                <c:pt idx="28">
                  <c:v>1.2462091260727299</c:v>
                </c:pt>
                <c:pt idx="29">
                  <c:v>1.2438095238095199</c:v>
                </c:pt>
                <c:pt idx="30">
                  <c:v>1.2289436619718299</c:v>
                </c:pt>
                <c:pt idx="31">
                  <c:v>1.2209248850281</c:v>
                </c:pt>
                <c:pt idx="32">
                  <c:v>1.2175069064539601</c:v>
                </c:pt>
                <c:pt idx="33">
                  <c:v>1.20715268225585</c:v>
                </c:pt>
                <c:pt idx="34">
                  <c:v>1.1977605228088899</c:v>
                </c:pt>
                <c:pt idx="35">
                  <c:v>1.1905808865048</c:v>
                </c:pt>
                <c:pt idx="36">
                  <c:v>1.1750274084124801</c:v>
                </c:pt>
                <c:pt idx="37">
                  <c:v>1.1725070440222201</c:v>
                </c:pt>
                <c:pt idx="38">
                  <c:v>1.1130539236474799</c:v>
                </c:pt>
                <c:pt idx="39">
                  <c:v>1.1024764780833001</c:v>
                </c:pt>
                <c:pt idx="40">
                  <c:v>1.09140121668635</c:v>
                </c:pt>
                <c:pt idx="41">
                  <c:v>1.05779358296816</c:v>
                </c:pt>
                <c:pt idx="42">
                  <c:v>1.04625817123233</c:v>
                </c:pt>
                <c:pt idx="43">
                  <c:v>1.0378157820460701</c:v>
                </c:pt>
                <c:pt idx="44">
                  <c:v>1.0329901187411801</c:v>
                </c:pt>
                <c:pt idx="45">
                  <c:v>1.01113148245155</c:v>
                </c:pt>
                <c:pt idx="46">
                  <c:v>1.0069581945985899</c:v>
                </c:pt>
                <c:pt idx="47">
                  <c:v>1.0030442905457799</c:v>
                </c:pt>
                <c:pt idx="48">
                  <c:v>0.93447620340209903</c:v>
                </c:pt>
                <c:pt idx="49">
                  <c:v>0.92727366515443199</c:v>
                </c:pt>
                <c:pt idx="50">
                  <c:v>0.92309425879976603</c:v>
                </c:pt>
                <c:pt idx="51">
                  <c:v>0.89148571428571399</c:v>
                </c:pt>
                <c:pt idx="52">
                  <c:v>0.87523962628980101</c:v>
                </c:pt>
                <c:pt idx="53">
                  <c:v>0.86896417869176801</c:v>
                </c:pt>
                <c:pt idx="54">
                  <c:v>0.856894758909853</c:v>
                </c:pt>
                <c:pt idx="55">
                  <c:v>0.83481043276108102</c:v>
                </c:pt>
                <c:pt idx="56">
                  <c:v>0.80878888720818798</c:v>
                </c:pt>
                <c:pt idx="57">
                  <c:v>0.77755235755471896</c:v>
                </c:pt>
                <c:pt idx="58">
                  <c:v>0.77625163083617599</c:v>
                </c:pt>
                <c:pt idx="59">
                  <c:v>0.70897065931247405</c:v>
                </c:pt>
                <c:pt idx="60">
                  <c:v>0.69984586782230995</c:v>
                </c:pt>
                <c:pt idx="61">
                  <c:v>0.69775401069518705</c:v>
                </c:pt>
                <c:pt idx="62">
                  <c:v>0.67529779058597506</c:v>
                </c:pt>
                <c:pt idx="63">
                  <c:v>0.66838154121632398</c:v>
                </c:pt>
                <c:pt idx="64">
                  <c:v>0.66390189477680295</c:v>
                </c:pt>
                <c:pt idx="65">
                  <c:v>0.655723787072651</c:v>
                </c:pt>
                <c:pt idx="66">
                  <c:v>0.56815371024734995</c:v>
                </c:pt>
                <c:pt idx="67">
                  <c:v>0.56714758751182603</c:v>
                </c:pt>
                <c:pt idx="68">
                  <c:v>0.53224938874613803</c:v>
                </c:pt>
                <c:pt idx="69">
                  <c:v>0.45817351900972603</c:v>
                </c:pt>
              </c:numCache>
            </c:numRef>
          </c:val>
        </c:ser>
        <c:ser>
          <c:idx val="1"/>
          <c:order val="1"/>
          <c:tx>
            <c:strRef>
              <c:f>'CBSA LPD Dist t53'!$AW$80</c:f>
              <c:strCache>
                <c:ptCount val="1"/>
                <c:pt idx="0">
                  <c:v>Post-2004</c:v>
                </c:pt>
              </c:strCache>
            </c:strRef>
          </c:tx>
          <c:spPr>
            <a:solidFill>
              <a:schemeClr val="accent2"/>
            </a:solidFill>
          </c:spPr>
          <c:cat>
            <c:multiLvlStrRef>
              <c:f>'Table 53 - Table LPD_Ind   Bldg'!#REF!</c:f>
            </c:multiLvlStrRef>
          </c:cat>
          <c:val>
            <c:numRef>
              <c:f>'CBSA LPD Dist t53'!$AW$82:$AW$128</c:f>
              <c:numCache>
                <c:formatCode>0.0</c:formatCode>
                <c:ptCount val="47"/>
                <c:pt idx="0">
                  <c:v>2.08119658119658</c:v>
                </c:pt>
                <c:pt idx="1">
                  <c:v>1.94228358506887</c:v>
                </c:pt>
                <c:pt idx="2">
                  <c:v>1.9059452778785</c:v>
                </c:pt>
                <c:pt idx="3">
                  <c:v>1.7731384829505901</c:v>
                </c:pt>
                <c:pt idx="4">
                  <c:v>1.7218523597995701</c:v>
                </c:pt>
                <c:pt idx="5">
                  <c:v>1.4531345819681101</c:v>
                </c:pt>
                <c:pt idx="6">
                  <c:v>1.3815107506174</c:v>
                </c:pt>
                <c:pt idx="7">
                  <c:v>1.3248015616800699</c:v>
                </c:pt>
                <c:pt idx="8">
                  <c:v>1.3239982516948099</c:v>
                </c:pt>
                <c:pt idx="9">
                  <c:v>1.2654825648938901</c:v>
                </c:pt>
                <c:pt idx="10">
                  <c:v>1.2313743444601699</c:v>
                </c:pt>
                <c:pt idx="11">
                  <c:v>1.1979661016949199</c:v>
                </c:pt>
                <c:pt idx="12">
                  <c:v>1.18276717709843</c:v>
                </c:pt>
                <c:pt idx="13">
                  <c:v>1.1592866192348501</c:v>
                </c:pt>
                <c:pt idx="14">
                  <c:v>1.1251691589422099</c:v>
                </c:pt>
                <c:pt idx="15">
                  <c:v>1.12362471310713</c:v>
                </c:pt>
                <c:pt idx="16">
                  <c:v>1.1226684226369701</c:v>
                </c:pt>
                <c:pt idx="17">
                  <c:v>1.12075226977951</c:v>
                </c:pt>
                <c:pt idx="18">
                  <c:v>1.11159561629393</c:v>
                </c:pt>
                <c:pt idx="19">
                  <c:v>1.08935300391042</c:v>
                </c:pt>
                <c:pt idx="20">
                  <c:v>1.0752677963851001</c:v>
                </c:pt>
                <c:pt idx="21">
                  <c:v>1.0502550899833101</c:v>
                </c:pt>
                <c:pt idx="22">
                  <c:v>1.0437207586528301</c:v>
                </c:pt>
                <c:pt idx="23">
                  <c:v>0.99647876571758898</c:v>
                </c:pt>
                <c:pt idx="24">
                  <c:v>0.99565253663354902</c:v>
                </c:pt>
                <c:pt idx="25">
                  <c:v>0.98644095128363696</c:v>
                </c:pt>
                <c:pt idx="26">
                  <c:v>0.977265248687055</c:v>
                </c:pt>
                <c:pt idx="27">
                  <c:v>0.94587704632532199</c:v>
                </c:pt>
                <c:pt idx="28">
                  <c:v>0.92426542734333506</c:v>
                </c:pt>
                <c:pt idx="29">
                  <c:v>0.89809482718708999</c:v>
                </c:pt>
                <c:pt idx="30">
                  <c:v>0.87857063584477402</c:v>
                </c:pt>
                <c:pt idx="31">
                  <c:v>0.86502276335360495</c:v>
                </c:pt>
                <c:pt idx="32">
                  <c:v>0.84252941870265197</c:v>
                </c:pt>
                <c:pt idx="33">
                  <c:v>0.84133333333333304</c:v>
                </c:pt>
                <c:pt idx="34">
                  <c:v>0.833324199642407</c:v>
                </c:pt>
                <c:pt idx="35">
                  <c:v>0.81599898682877403</c:v>
                </c:pt>
                <c:pt idx="36">
                  <c:v>0.81253128149162002</c:v>
                </c:pt>
                <c:pt idx="37">
                  <c:v>0.80077623922922403</c:v>
                </c:pt>
                <c:pt idx="38">
                  <c:v>0.77024317301583101</c:v>
                </c:pt>
                <c:pt idx="39">
                  <c:v>0.74289810097180697</c:v>
                </c:pt>
                <c:pt idx="40">
                  <c:v>0.72686881672571801</c:v>
                </c:pt>
                <c:pt idx="41">
                  <c:v>0.68074744494544404</c:v>
                </c:pt>
                <c:pt idx="42">
                  <c:v>0.63424346539461196</c:v>
                </c:pt>
                <c:pt idx="43">
                  <c:v>0.60164793349066403</c:v>
                </c:pt>
                <c:pt idx="44">
                  <c:v>0.59849899546974095</c:v>
                </c:pt>
                <c:pt idx="45">
                  <c:v>0.546912384885897</c:v>
                </c:pt>
                <c:pt idx="46">
                  <c:v>0.50658996484499796</c:v>
                </c:pt>
              </c:numCache>
            </c:numRef>
          </c:val>
        </c:ser>
        <c:gapWidth val="91"/>
        <c:axId val="471243008"/>
        <c:axId val="471248896"/>
      </c:barChart>
      <c:catAx>
        <c:axId val="471243008"/>
        <c:scaling>
          <c:orientation val="minMax"/>
        </c:scaling>
        <c:delete val="1"/>
        <c:axPos val="b"/>
        <c:numFmt formatCode="0.0" sourceLinked="1"/>
        <c:tickLblPos val="none"/>
        <c:crossAx val="471248896"/>
        <c:crosses val="autoZero"/>
        <c:auto val="1"/>
        <c:lblAlgn val="ctr"/>
        <c:lblOffset val="100"/>
      </c:catAx>
      <c:valAx>
        <c:axId val="471248896"/>
        <c:scaling>
          <c:orientation val="minMax"/>
          <c:max val="2.2000000000000002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LPD in W/sf</a:t>
                </a:r>
              </a:p>
            </c:rich>
          </c:tx>
        </c:title>
        <c:numFmt formatCode="0.0" sourceLinked="1"/>
        <c:tickLblPos val="nextTo"/>
        <c:crossAx val="471243008"/>
        <c:crosses val="autoZero"/>
        <c:crossBetween val="between"/>
        <c:majorUnit val="0.30000000000000032"/>
      </c:valAx>
    </c:plotArea>
    <c:legend>
      <c:legendPos val="b"/>
    </c:legend>
    <c:plotVisOnly val="1"/>
  </c:chart>
  <c:txPr>
    <a:bodyPr/>
    <a:lstStyle/>
    <a:p>
      <a:pPr>
        <a:defRPr sz="1600"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Flyover!$F$67</c:f>
              <c:strCache>
                <c:ptCount val="1"/>
                <c:pt idx="0">
                  <c:v>Lighting EUI Weighted</c:v>
                </c:pt>
              </c:strCache>
            </c:strRef>
          </c:tx>
          <c:cat>
            <c:strRef>
              <c:f>Flyover!$B$68:$B$78</c:f>
              <c:strCache>
                <c:ptCount val="11"/>
                <c:pt idx="0">
                  <c:v>Assembly</c:v>
                </c:pt>
                <c:pt idx="1">
                  <c:v>Grocery</c:v>
                </c:pt>
                <c:pt idx="2">
                  <c:v>Lodging</c:v>
                </c:pt>
                <c:pt idx="3">
                  <c:v>Office</c:v>
                </c:pt>
                <c:pt idx="4">
                  <c:v>Other</c:v>
                </c:pt>
                <c:pt idx="5">
                  <c:v>Residential Care</c:v>
                </c:pt>
                <c:pt idx="6">
                  <c:v>Restaurant</c:v>
                </c:pt>
                <c:pt idx="7">
                  <c:v>Retail/Service</c:v>
                </c:pt>
                <c:pt idx="8">
                  <c:v>School K-12</c:v>
                </c:pt>
                <c:pt idx="9">
                  <c:v>Warehouse</c:v>
                </c:pt>
                <c:pt idx="10">
                  <c:v>Grand Total</c:v>
                </c:pt>
              </c:strCache>
            </c:strRef>
          </c:cat>
          <c:val>
            <c:numRef>
              <c:f>Flyover!$F$68:$F$78</c:f>
              <c:numCache>
                <c:formatCode>0.0</c:formatCode>
                <c:ptCount val="11"/>
                <c:pt idx="0">
                  <c:v>2.9822316269028462</c:v>
                </c:pt>
                <c:pt idx="1">
                  <c:v>8.2846877579699569</c:v>
                </c:pt>
                <c:pt idx="2">
                  <c:v>2.6463220143590998</c:v>
                </c:pt>
                <c:pt idx="3">
                  <c:v>2.7289663261946573</c:v>
                </c:pt>
                <c:pt idx="4">
                  <c:v>3.4104514624963524</c:v>
                </c:pt>
                <c:pt idx="5">
                  <c:v>6.2875508772087194</c:v>
                </c:pt>
                <c:pt idx="6">
                  <c:v>6.3315049774065066</c:v>
                </c:pt>
                <c:pt idx="7">
                  <c:v>5.026786699731927</c:v>
                </c:pt>
                <c:pt idx="8">
                  <c:v>2.5102426991993956</c:v>
                </c:pt>
                <c:pt idx="9">
                  <c:v>1.5590237925303492</c:v>
                </c:pt>
                <c:pt idx="10">
                  <c:v>3.405651438928246</c:v>
                </c:pt>
              </c:numCache>
            </c:numRef>
          </c:val>
        </c:ser>
        <c:axId val="176880256"/>
        <c:axId val="217579904"/>
      </c:barChart>
      <c:catAx>
        <c:axId val="176880256"/>
        <c:scaling>
          <c:orientation val="minMax"/>
        </c:scaling>
        <c:axPos val="b"/>
        <c:numFmt formatCode="General" sourceLinked="1"/>
        <c:tickLblPos val="nextTo"/>
        <c:crossAx val="217579904"/>
        <c:crosses val="autoZero"/>
        <c:auto val="1"/>
        <c:lblAlgn val="ctr"/>
        <c:lblOffset val="100"/>
      </c:catAx>
      <c:valAx>
        <c:axId val="217579904"/>
        <c:scaling>
          <c:orientation val="minMax"/>
        </c:scaling>
        <c:axPos val="l"/>
        <c:majorGridlines/>
        <c:numFmt formatCode="0.0" sourceLinked="1"/>
        <c:tickLblPos val="nextTo"/>
        <c:crossAx val="176880256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Lighting Energy Intensity</a:t>
            </a:r>
          </a:p>
        </c:rich>
      </c:tx>
    </c:title>
    <c:plotArea>
      <c:layout/>
      <c:barChart>
        <c:barDir val="col"/>
        <c:grouping val="stacked"/>
        <c:ser>
          <c:idx val="0"/>
          <c:order val="0"/>
          <c:tx>
            <c:strRef>
              <c:f>Flyover!$V$9</c:f>
              <c:strCache>
                <c:ptCount val="1"/>
                <c:pt idx="0">
                  <c:v>Indoor Lighting EUI kWh/SF</c:v>
                </c:pt>
              </c:strCache>
            </c:strRef>
          </c:tx>
          <c:cat>
            <c:strRef>
              <c:f>Flyover!$U$10:$U$20</c:f>
              <c:strCache>
                <c:ptCount val="11"/>
                <c:pt idx="0">
                  <c:v>Assembly</c:v>
                </c:pt>
                <c:pt idx="1">
                  <c:v>Food
Service</c:v>
                </c:pt>
                <c:pt idx="2">
                  <c:v>Grocery</c:v>
                </c:pt>
                <c:pt idx="3">
                  <c:v>Lodging</c:v>
                </c:pt>
                <c:pt idx="4">
                  <c:v>Office</c:v>
                </c:pt>
                <c:pt idx="5">
                  <c:v>Residential
Care</c:v>
                </c:pt>
                <c:pt idx="6">
                  <c:v>Retail</c:v>
                </c:pt>
                <c:pt idx="7">
                  <c:v>School</c:v>
                </c:pt>
                <c:pt idx="8">
                  <c:v>Warehouse</c:v>
                </c:pt>
                <c:pt idx="9">
                  <c:v>Other</c:v>
                </c:pt>
                <c:pt idx="10">
                  <c:v>All</c:v>
                </c:pt>
              </c:strCache>
            </c:strRef>
          </c:cat>
          <c:val>
            <c:numRef>
              <c:f>Flyover!$V$10:$V$20</c:f>
              <c:numCache>
                <c:formatCode>0.0</c:formatCode>
                <c:ptCount val="11"/>
                <c:pt idx="0">
                  <c:v>2.9822316269028462</c:v>
                </c:pt>
                <c:pt idx="1">
                  <c:v>6.3315049774065066</c:v>
                </c:pt>
                <c:pt idx="2">
                  <c:v>8.2846877579699569</c:v>
                </c:pt>
                <c:pt idx="3">
                  <c:v>2.6463220143590998</c:v>
                </c:pt>
                <c:pt idx="4">
                  <c:v>2.7289663261946573</c:v>
                </c:pt>
                <c:pt idx="5">
                  <c:v>6.2875508772087194</c:v>
                </c:pt>
                <c:pt idx="6">
                  <c:v>5.026786699731927</c:v>
                </c:pt>
                <c:pt idx="7">
                  <c:v>2.5102426991993956</c:v>
                </c:pt>
                <c:pt idx="8">
                  <c:v>1.5590237925303492</c:v>
                </c:pt>
                <c:pt idx="9">
                  <c:v>3.4104514624963524</c:v>
                </c:pt>
                <c:pt idx="10">
                  <c:v>3.4</c:v>
                </c:pt>
              </c:numCache>
            </c:numRef>
          </c:val>
        </c:ser>
        <c:ser>
          <c:idx val="1"/>
          <c:order val="1"/>
          <c:tx>
            <c:strRef>
              <c:f>Flyover!$W$9</c:f>
              <c:strCache>
                <c:ptCount val="1"/>
                <c:pt idx="0">
                  <c:v>Outdoor Lighting: kWh/SF indoor space</c:v>
                </c:pt>
              </c:strCache>
            </c:strRef>
          </c:tx>
          <c:cat>
            <c:strRef>
              <c:f>Flyover!$U$10:$U$20</c:f>
              <c:strCache>
                <c:ptCount val="11"/>
                <c:pt idx="0">
                  <c:v>Assembly</c:v>
                </c:pt>
                <c:pt idx="1">
                  <c:v>Food
Service</c:v>
                </c:pt>
                <c:pt idx="2">
                  <c:v>Grocery</c:v>
                </c:pt>
                <c:pt idx="3">
                  <c:v>Lodging</c:v>
                </c:pt>
                <c:pt idx="4">
                  <c:v>Office</c:v>
                </c:pt>
                <c:pt idx="5">
                  <c:v>Residential
Care</c:v>
                </c:pt>
                <c:pt idx="6">
                  <c:v>Retail</c:v>
                </c:pt>
                <c:pt idx="7">
                  <c:v>School</c:v>
                </c:pt>
                <c:pt idx="8">
                  <c:v>Warehouse</c:v>
                </c:pt>
                <c:pt idx="9">
                  <c:v>Other</c:v>
                </c:pt>
                <c:pt idx="10">
                  <c:v>All</c:v>
                </c:pt>
              </c:strCache>
            </c:strRef>
          </c:cat>
          <c:val>
            <c:numRef>
              <c:f>Flyover!$W$10:$W$20</c:f>
              <c:numCache>
                <c:formatCode>0.0</c:formatCode>
                <c:ptCount val="11"/>
                <c:pt idx="0">
                  <c:v>0.67820832110846019</c:v>
                </c:pt>
                <c:pt idx="1">
                  <c:v>1.8775593473908787</c:v>
                </c:pt>
                <c:pt idx="2">
                  <c:v>1.1193846945256793</c:v>
                </c:pt>
                <c:pt idx="3">
                  <c:v>0.44117279579497287</c:v>
                </c:pt>
                <c:pt idx="4">
                  <c:v>0.5888506638244686</c:v>
                </c:pt>
                <c:pt idx="5">
                  <c:v>0.30259955809809952</c:v>
                </c:pt>
                <c:pt idx="6">
                  <c:v>1.2225584099512612</c:v>
                </c:pt>
                <c:pt idx="7">
                  <c:v>0.45757016017443591</c:v>
                </c:pt>
                <c:pt idx="8">
                  <c:v>0.35919032858327776</c:v>
                </c:pt>
                <c:pt idx="9">
                  <c:v>0.62576574787674721</c:v>
                </c:pt>
                <c:pt idx="10">
                  <c:v>0.69323078873680288</c:v>
                </c:pt>
              </c:numCache>
            </c:numRef>
          </c:val>
        </c:ser>
        <c:overlap val="100"/>
        <c:axId val="217606016"/>
        <c:axId val="217607552"/>
      </c:barChart>
      <c:catAx>
        <c:axId val="2176060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7607552"/>
        <c:crosses val="autoZero"/>
        <c:auto val="1"/>
        <c:lblAlgn val="ctr"/>
        <c:lblOffset val="100"/>
      </c:catAx>
      <c:valAx>
        <c:axId val="21760755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kWh/SF</a:t>
                </a:r>
              </a:p>
            </c:rich>
          </c:tx>
        </c:title>
        <c:numFmt formatCode="0.0" sourceLinked="1"/>
        <c:tickLblPos val="nextTo"/>
        <c:crossAx val="217606016"/>
        <c:crosses val="autoZero"/>
        <c:crossBetween val="between"/>
      </c:valAx>
    </c:plotArea>
    <c:legend>
      <c:legendPos val="b"/>
    </c:legend>
    <c:plotVisOnly val="1"/>
  </c:chart>
  <c:txPr>
    <a:bodyPr/>
    <a:lstStyle/>
    <a:p>
      <a:pPr>
        <a:defRPr sz="1800"/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Lighting Energy</a:t>
            </a:r>
            <a:r>
              <a:rPr lang="en-US" baseline="0"/>
              <a:t> by Building Type</a:t>
            </a:r>
            <a:r>
              <a:rPr lang="en-US"/>
              <a:t> </a:t>
            </a:r>
          </a:p>
          <a:p>
            <a:pPr>
              <a:defRPr/>
            </a:pPr>
            <a:endParaRPr lang="en-US"/>
          </a:p>
        </c:rich>
      </c:tx>
    </c:title>
    <c:plotArea>
      <c:layout/>
      <c:barChart>
        <c:barDir val="col"/>
        <c:grouping val="stacked"/>
        <c:ser>
          <c:idx val="0"/>
          <c:order val="0"/>
          <c:tx>
            <c:strRef>
              <c:f>Flyover!$AD$9</c:f>
              <c:strCache>
                <c:ptCount val="1"/>
                <c:pt idx="0">
                  <c:v>Indoor Lighting Site Energy 2014 in aMW</c:v>
                </c:pt>
              </c:strCache>
            </c:strRef>
          </c:tx>
          <c:cat>
            <c:strRef>
              <c:f>Flyover!$AA$10:$AA$19</c:f>
              <c:strCache>
                <c:ptCount val="10"/>
                <c:pt idx="0">
                  <c:v>Assembly</c:v>
                </c:pt>
                <c:pt idx="1">
                  <c:v>Food
Service</c:v>
                </c:pt>
                <c:pt idx="2">
                  <c:v>Grocery</c:v>
                </c:pt>
                <c:pt idx="3">
                  <c:v>Lodging</c:v>
                </c:pt>
                <c:pt idx="4">
                  <c:v>Office</c:v>
                </c:pt>
                <c:pt idx="5">
                  <c:v>Residential
Care</c:v>
                </c:pt>
                <c:pt idx="6">
                  <c:v>Retail</c:v>
                </c:pt>
                <c:pt idx="7">
                  <c:v>School</c:v>
                </c:pt>
                <c:pt idx="8">
                  <c:v>Warehouse</c:v>
                </c:pt>
                <c:pt idx="9">
                  <c:v>Other</c:v>
                </c:pt>
              </c:strCache>
            </c:strRef>
          </c:cat>
          <c:val>
            <c:numRef>
              <c:f>Flyover!$AD$10:$AD$19</c:f>
              <c:numCache>
                <c:formatCode>0</c:formatCode>
                <c:ptCount val="10"/>
                <c:pt idx="0">
                  <c:v>125.57784243777982</c:v>
                </c:pt>
                <c:pt idx="1">
                  <c:v>38.333604676245415</c:v>
                </c:pt>
                <c:pt idx="2">
                  <c:v>72.936308500340672</c:v>
                </c:pt>
                <c:pt idx="3">
                  <c:v>51.670019762877828</c:v>
                </c:pt>
                <c:pt idx="4">
                  <c:v>228.77152936317501</c:v>
                </c:pt>
                <c:pt idx="5">
                  <c:v>89.834916286963605</c:v>
                </c:pt>
                <c:pt idx="6">
                  <c:v>327.61880784967565</c:v>
                </c:pt>
                <c:pt idx="7">
                  <c:v>70.307760402482174</c:v>
                </c:pt>
                <c:pt idx="8">
                  <c:v>78.702947695802038</c:v>
                </c:pt>
                <c:pt idx="9">
                  <c:v>129.81302041163687</c:v>
                </c:pt>
              </c:numCache>
            </c:numRef>
          </c:val>
        </c:ser>
        <c:ser>
          <c:idx val="1"/>
          <c:order val="1"/>
          <c:tx>
            <c:strRef>
              <c:f>Flyover!$AE$9</c:f>
              <c:strCache>
                <c:ptCount val="1"/>
                <c:pt idx="0">
                  <c:v>Outdoor Lighting Site Energy 2014 in aMW</c:v>
                </c:pt>
              </c:strCache>
            </c:strRef>
          </c:tx>
          <c:cat>
            <c:strRef>
              <c:f>Flyover!$AA$10:$AA$19</c:f>
              <c:strCache>
                <c:ptCount val="10"/>
                <c:pt idx="0">
                  <c:v>Assembly</c:v>
                </c:pt>
                <c:pt idx="1">
                  <c:v>Food
Service</c:v>
                </c:pt>
                <c:pt idx="2">
                  <c:v>Grocery</c:v>
                </c:pt>
                <c:pt idx="3">
                  <c:v>Lodging</c:v>
                </c:pt>
                <c:pt idx="4">
                  <c:v>Office</c:v>
                </c:pt>
                <c:pt idx="5">
                  <c:v>Residential
Care</c:v>
                </c:pt>
                <c:pt idx="6">
                  <c:v>Retail</c:v>
                </c:pt>
                <c:pt idx="7">
                  <c:v>School</c:v>
                </c:pt>
                <c:pt idx="8">
                  <c:v>Warehouse</c:v>
                </c:pt>
                <c:pt idx="9">
                  <c:v>Other</c:v>
                </c:pt>
              </c:strCache>
            </c:strRef>
          </c:cat>
          <c:val>
            <c:numRef>
              <c:f>Flyover!$AE$10:$AE$19</c:f>
              <c:numCache>
                <c:formatCode>0</c:formatCode>
                <c:ptCount val="10"/>
                <c:pt idx="0">
                  <c:v>28.558458343693225</c:v>
                </c:pt>
                <c:pt idx="1">
                  <c:v>11.367537107828808</c:v>
                </c:pt>
                <c:pt idx="2">
                  <c:v>9.8547814710267581</c:v>
                </c:pt>
                <c:pt idx="3">
                  <c:v>8.6139959362016736</c:v>
                </c:pt>
                <c:pt idx="4">
                  <c:v>49.363843605022005</c:v>
                </c:pt>
                <c:pt idx="5">
                  <c:v>4.3234649708763797</c:v>
                </c:pt>
                <c:pt idx="6">
                  <c:v>79.679754228717769</c:v>
                </c:pt>
                <c:pt idx="7">
                  <c:v>12.815785979232208</c:v>
                </c:pt>
                <c:pt idx="8">
                  <c:v>18.132717267544422</c:v>
                </c:pt>
                <c:pt idx="9">
                  <c:v>23.818706319475808</c:v>
                </c:pt>
              </c:numCache>
            </c:numRef>
          </c:val>
        </c:ser>
        <c:overlap val="100"/>
        <c:axId val="217637248"/>
        <c:axId val="217638784"/>
      </c:barChart>
      <c:catAx>
        <c:axId val="2176372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7638784"/>
        <c:crosses val="autoZero"/>
        <c:auto val="1"/>
        <c:lblAlgn val="ctr"/>
        <c:lblOffset val="100"/>
      </c:catAx>
      <c:valAx>
        <c:axId val="21763878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aMW</a:t>
                </a:r>
              </a:p>
            </c:rich>
          </c:tx>
        </c:title>
        <c:numFmt formatCode="0" sourceLinked="1"/>
        <c:tickLblPos val="nextTo"/>
        <c:crossAx val="217637248"/>
        <c:crosses val="autoZero"/>
        <c:crossBetween val="between"/>
      </c:valAx>
    </c:plotArea>
    <c:legend>
      <c:legendPos val="b"/>
    </c:legend>
    <c:plotVisOnly val="1"/>
  </c:chart>
  <c:txPr>
    <a:bodyPr/>
    <a:lstStyle/>
    <a:p>
      <a:pPr>
        <a:defRPr sz="1800"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2013 Site Energy for Buildings in aMW</a:t>
            </a:r>
          </a:p>
        </c:rich>
      </c:tx>
    </c:title>
    <c:plotArea>
      <c:layout/>
      <c:pieChart>
        <c:varyColors val="1"/>
        <c:ser>
          <c:idx val="0"/>
          <c:order val="0"/>
          <c:dLbls>
            <c:showVal val="1"/>
            <c:showLeaderLines val="1"/>
          </c:dLbls>
          <c:cat>
            <c:strRef>
              <c:f>Flyover!$AA$23:$AA$25</c:f>
              <c:strCache>
                <c:ptCount val="3"/>
                <c:pt idx="0">
                  <c:v>Lighting Indoor</c:v>
                </c:pt>
                <c:pt idx="1">
                  <c:v>Lighting Outdoor</c:v>
                </c:pt>
                <c:pt idx="2">
                  <c:v>Other Site Energy</c:v>
                </c:pt>
              </c:strCache>
            </c:strRef>
          </c:cat>
          <c:val>
            <c:numRef>
              <c:f>Flyover!$AB$23:$AB$25</c:f>
              <c:numCache>
                <c:formatCode>0</c:formatCode>
                <c:ptCount val="3"/>
                <c:pt idx="0">
                  <c:v>1200</c:v>
                </c:pt>
                <c:pt idx="1">
                  <c:v>250</c:v>
                </c:pt>
                <c:pt idx="2">
                  <c:v>3600</c:v>
                </c:pt>
              </c:numCache>
            </c:numRef>
          </c:val>
        </c:ser>
        <c:firstSliceAng val="0"/>
      </c:pieChart>
    </c:plotArea>
    <c:legend>
      <c:legendPos val="b"/>
    </c:legend>
    <c:plotVisOnly val="1"/>
  </c:chart>
  <c:txPr>
    <a:bodyPr/>
    <a:lstStyle/>
    <a:p>
      <a:pPr>
        <a:defRPr sz="1400"/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/>
          <a:lstStyle/>
          <a:p>
            <a:pPr>
              <a:defRPr/>
            </a:pPr>
            <a:r>
              <a:rPr lang="en-US"/>
              <a:t>Reported Lighting Hours per Year</a:t>
            </a:r>
          </a:p>
        </c:rich>
      </c:tx>
    </c:title>
    <c:plotArea>
      <c:layout>
        <c:manualLayout>
          <c:layoutTarget val="inner"/>
          <c:xMode val="edge"/>
          <c:yMode val="edge"/>
          <c:x val="0.18506443104868389"/>
          <c:y val="0.12161638764959"/>
          <c:w val="0.79702755104329903"/>
          <c:h val="0.65777746698181794"/>
        </c:manualLayout>
      </c:layout>
      <c:barChart>
        <c:barDir val="col"/>
        <c:grouping val="stacked"/>
        <c:ser>
          <c:idx val="0"/>
          <c:order val="0"/>
          <c:tx>
            <c:strRef>
              <c:f>Flyover!$L$9</c:f>
              <c:strCache>
                <c:ptCount val="1"/>
                <c:pt idx="0">
                  <c:v>hrs</c:v>
                </c:pt>
              </c:strCache>
            </c:strRef>
          </c:tx>
          <c:cat>
            <c:strRef>
              <c:f>Flyover!$B$10:$B$20</c:f>
              <c:strCache>
                <c:ptCount val="11"/>
                <c:pt idx="0">
                  <c:v>Assembly</c:v>
                </c:pt>
                <c:pt idx="1">
                  <c:v>Food
Service</c:v>
                </c:pt>
                <c:pt idx="2">
                  <c:v>Grocery</c:v>
                </c:pt>
                <c:pt idx="3">
                  <c:v>Lodging</c:v>
                </c:pt>
                <c:pt idx="4">
                  <c:v>Office</c:v>
                </c:pt>
                <c:pt idx="5">
                  <c:v>Residential
Care</c:v>
                </c:pt>
                <c:pt idx="6">
                  <c:v>Retail</c:v>
                </c:pt>
                <c:pt idx="7">
                  <c:v>School</c:v>
                </c:pt>
                <c:pt idx="8">
                  <c:v>Warehouse</c:v>
                </c:pt>
                <c:pt idx="9">
                  <c:v>Other</c:v>
                </c:pt>
                <c:pt idx="10">
                  <c:v>All</c:v>
                </c:pt>
              </c:strCache>
            </c:strRef>
          </c:cat>
          <c:val>
            <c:numRef>
              <c:f>Flyover!$L$10:$L$20</c:f>
              <c:numCache>
                <c:formatCode>0</c:formatCode>
                <c:ptCount val="11"/>
                <c:pt idx="0">
                  <c:v>2967.8627071516012</c:v>
                </c:pt>
                <c:pt idx="1">
                  <c:v>5405.868510801869</c:v>
                </c:pt>
                <c:pt idx="2">
                  <c:v>7180.9530695134035</c:v>
                </c:pt>
                <c:pt idx="3">
                  <c:v>2924.0724824030326</c:v>
                </c:pt>
                <c:pt idx="4">
                  <c:v>2996.929816600104</c:v>
                </c:pt>
                <c:pt idx="5">
                  <c:v>5629.1089151696196</c:v>
                </c:pt>
                <c:pt idx="6">
                  <c:v>4224.9019225439497</c:v>
                </c:pt>
                <c:pt idx="7">
                  <c:v>2683.598548342979</c:v>
                </c:pt>
                <c:pt idx="8">
                  <c:v>2669.8160168503773</c:v>
                </c:pt>
                <c:pt idx="9">
                  <c:v>4049.7798031758457</c:v>
                </c:pt>
                <c:pt idx="10">
                  <c:v>3505.4325425970255</c:v>
                </c:pt>
              </c:numCache>
            </c:numRef>
          </c:val>
        </c:ser>
        <c:overlap val="100"/>
        <c:axId val="293036416"/>
        <c:axId val="293037952"/>
      </c:barChart>
      <c:catAx>
        <c:axId val="2930364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93037952"/>
        <c:crosses val="autoZero"/>
        <c:auto val="1"/>
        <c:lblAlgn val="ctr"/>
        <c:lblOffset val="100"/>
      </c:catAx>
      <c:valAx>
        <c:axId val="293037952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Hours</a:t>
                </a:r>
              </a:p>
            </c:rich>
          </c:tx>
          <c:layout>
            <c:manualLayout>
              <c:xMode val="edge"/>
              <c:yMode val="edge"/>
              <c:x val="4.2328042328042333E-2"/>
              <c:y val="0.32343584938206288"/>
            </c:manualLayout>
          </c:layout>
        </c:title>
        <c:numFmt formatCode="0" sourceLinked="1"/>
        <c:tickLblPos val="nextTo"/>
        <c:crossAx val="293036416"/>
        <c:crosses val="autoZero"/>
        <c:crossBetween val="between"/>
      </c:valAx>
    </c:plotArea>
    <c:plotVisOnly val="1"/>
  </c:chart>
  <c:txPr>
    <a:bodyPr/>
    <a:lstStyle/>
    <a:p>
      <a:pPr>
        <a:defRPr sz="1800"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'CBSA LPD Dist t53'!$E$80</c:f>
          <c:strCache>
            <c:ptCount val="1"/>
            <c:pt idx="0">
              <c:v>Small Office LPD</c:v>
            </c:pt>
          </c:strCache>
        </c:strRef>
      </c:tx>
    </c:title>
    <c:plotArea>
      <c:layout/>
      <c:barChart>
        <c:barDir val="col"/>
        <c:grouping val="clustered"/>
        <c:ser>
          <c:idx val="0"/>
          <c:order val="0"/>
          <c:val>
            <c:numRef>
              <c:f>'CBSA LPD Dist t53'!$E$82:$E$114</c:f>
              <c:numCache>
                <c:formatCode>0.0</c:formatCode>
                <c:ptCount val="33"/>
                <c:pt idx="0">
                  <c:v>0.655723787072651</c:v>
                </c:pt>
                <c:pt idx="1">
                  <c:v>0.69775401069518705</c:v>
                </c:pt>
                <c:pt idx="2">
                  <c:v>0.77755235755471896</c:v>
                </c:pt>
                <c:pt idx="3">
                  <c:v>0.80878888720818798</c:v>
                </c:pt>
                <c:pt idx="4">
                  <c:v>0.856894758909853</c:v>
                </c:pt>
                <c:pt idx="5">
                  <c:v>0.99565253663354902</c:v>
                </c:pt>
                <c:pt idx="6">
                  <c:v>1.08935300391042</c:v>
                </c:pt>
                <c:pt idx="7">
                  <c:v>1.1226684226369701</c:v>
                </c:pt>
                <c:pt idx="8">
                  <c:v>1.12362471310713</c:v>
                </c:pt>
                <c:pt idx="9">
                  <c:v>1.1979661016949199</c:v>
                </c:pt>
                <c:pt idx="10">
                  <c:v>1.20715268225585</c:v>
                </c:pt>
                <c:pt idx="11">
                  <c:v>1.2438095238095199</c:v>
                </c:pt>
                <c:pt idx="12">
                  <c:v>1.2654825648938901</c:v>
                </c:pt>
                <c:pt idx="13">
                  <c:v>1.2873040437158501</c:v>
                </c:pt>
                <c:pt idx="14">
                  <c:v>1.3160000000000001</c:v>
                </c:pt>
                <c:pt idx="15">
                  <c:v>1.3392533333333301</c:v>
                </c:pt>
                <c:pt idx="16">
                  <c:v>1.3815107506174</c:v>
                </c:pt>
                <c:pt idx="17">
                  <c:v>1.45584255744256</c:v>
                </c:pt>
                <c:pt idx="18">
                  <c:v>1.53720068310998</c:v>
                </c:pt>
                <c:pt idx="19">
                  <c:v>1.5422153369481</c:v>
                </c:pt>
                <c:pt idx="20">
                  <c:v>1.6645885286783</c:v>
                </c:pt>
                <c:pt idx="21">
                  <c:v>1.7218523597995701</c:v>
                </c:pt>
                <c:pt idx="22">
                  <c:v>1.7418483692635101</c:v>
                </c:pt>
                <c:pt idx="23">
                  <c:v>1.7731384829505901</c:v>
                </c:pt>
                <c:pt idx="24">
                  <c:v>1.80666666666667</c:v>
                </c:pt>
                <c:pt idx="25">
                  <c:v>1.86069143139139</c:v>
                </c:pt>
                <c:pt idx="26">
                  <c:v>1.86787330316742</c:v>
                </c:pt>
                <c:pt idx="27">
                  <c:v>1.9059452778785</c:v>
                </c:pt>
                <c:pt idx="28">
                  <c:v>1.94228358506887</c:v>
                </c:pt>
                <c:pt idx="29">
                  <c:v>1.9847619047619001</c:v>
                </c:pt>
                <c:pt idx="30">
                  <c:v>2.08119658119658</c:v>
                </c:pt>
                <c:pt idx="31">
                  <c:v>2.0874999999999999</c:v>
                </c:pt>
                <c:pt idx="32">
                  <c:v>2.1242121027874599</c:v>
                </c:pt>
              </c:numCache>
            </c:numRef>
          </c:val>
        </c:ser>
        <c:axId val="466509824"/>
        <c:axId val="466511744"/>
      </c:barChart>
      <c:catAx>
        <c:axId val="466509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Site</a:t>
                </a:r>
              </a:p>
            </c:rich>
          </c:tx>
        </c:title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6511744"/>
        <c:crosses val="autoZero"/>
        <c:auto val="1"/>
        <c:lblAlgn val="ctr"/>
        <c:lblOffset val="100"/>
      </c:catAx>
      <c:valAx>
        <c:axId val="46651174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Lighting Power Density (Watt/SF)</a:t>
                </a:r>
              </a:p>
            </c:rich>
          </c:tx>
        </c:title>
        <c:numFmt formatCode="0.0" sourceLinked="1"/>
        <c:tickLblPos val="nextTo"/>
        <c:crossAx val="466509824"/>
        <c:crosses val="autoZero"/>
        <c:crossBetween val="between"/>
      </c:valAx>
    </c:plotArea>
    <c:plotVisOnly val="1"/>
  </c:chart>
  <c:txPr>
    <a:bodyPr/>
    <a:lstStyle/>
    <a:p>
      <a:pPr>
        <a:defRPr sz="14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'CBSA LPD Dist t53'!$K$80</c:f>
          <c:strCache>
            <c:ptCount val="1"/>
            <c:pt idx="0">
              <c:v>Medium Office LPD</c:v>
            </c:pt>
          </c:strCache>
        </c:strRef>
      </c:tx>
    </c:title>
    <c:plotArea>
      <c:layout/>
      <c:barChart>
        <c:barDir val="col"/>
        <c:grouping val="clustered"/>
        <c:ser>
          <c:idx val="0"/>
          <c:order val="0"/>
          <c:val>
            <c:numRef>
              <c:f>'CBSA LPD Dist t53'!$K$82:$K$131</c:f>
              <c:numCache>
                <c:formatCode>0.00</c:formatCode>
                <c:ptCount val="50"/>
                <c:pt idx="0">
                  <c:v>0.45817351900972603</c:v>
                </c:pt>
                <c:pt idx="1">
                  <c:v>0.60164793349066403</c:v>
                </c:pt>
                <c:pt idx="2">
                  <c:v>0.66390189477680295</c:v>
                </c:pt>
                <c:pt idx="3">
                  <c:v>0.68074744494544404</c:v>
                </c:pt>
                <c:pt idx="4">
                  <c:v>0.69984586782230995</c:v>
                </c:pt>
                <c:pt idx="5">
                  <c:v>0.74289810097180697</c:v>
                </c:pt>
                <c:pt idx="6">
                  <c:v>0.81599898682877403</c:v>
                </c:pt>
                <c:pt idx="7">
                  <c:v>0.833324199642407</c:v>
                </c:pt>
                <c:pt idx="8">
                  <c:v>0.84133333333333304</c:v>
                </c:pt>
                <c:pt idx="9">
                  <c:v>0.86896417869176801</c:v>
                </c:pt>
                <c:pt idx="10">
                  <c:v>0.89809482718708999</c:v>
                </c:pt>
                <c:pt idx="11">
                  <c:v>0.92426542734333506</c:v>
                </c:pt>
                <c:pt idx="12" formatCode="0.0">
                  <c:v>0.93447620340209903</c:v>
                </c:pt>
                <c:pt idx="13" formatCode="0.0">
                  <c:v>0.977265248687055</c:v>
                </c:pt>
                <c:pt idx="14" formatCode="0.0">
                  <c:v>0.98644095128363696</c:v>
                </c:pt>
                <c:pt idx="15" formatCode="0.0">
                  <c:v>1.0030442905457799</c:v>
                </c:pt>
                <c:pt idx="16" formatCode="0.0">
                  <c:v>1.0069581945985899</c:v>
                </c:pt>
                <c:pt idx="17" formatCode="0.0">
                  <c:v>1.01113148245155</c:v>
                </c:pt>
                <c:pt idx="18" formatCode="0.0">
                  <c:v>1.0378157820460701</c:v>
                </c:pt>
                <c:pt idx="19" formatCode="0.0">
                  <c:v>1.0437207586528301</c:v>
                </c:pt>
                <c:pt idx="20" formatCode="0.0">
                  <c:v>1.04625817123233</c:v>
                </c:pt>
                <c:pt idx="21" formatCode="0.0">
                  <c:v>1.0502550899833101</c:v>
                </c:pt>
                <c:pt idx="22" formatCode="0.0">
                  <c:v>1.0752677963851001</c:v>
                </c:pt>
                <c:pt idx="23" formatCode="0.0">
                  <c:v>1.1024764780833001</c:v>
                </c:pt>
                <c:pt idx="24">
                  <c:v>1.11159561629393</c:v>
                </c:pt>
                <c:pt idx="25" formatCode="0.0">
                  <c:v>1.12075226977951</c:v>
                </c:pt>
                <c:pt idx="26" formatCode="0.0">
                  <c:v>1.1251691589422099</c:v>
                </c:pt>
                <c:pt idx="27" formatCode="0.0">
                  <c:v>1.1592866192348501</c:v>
                </c:pt>
                <c:pt idx="28" formatCode="0.0">
                  <c:v>1.1750274084124801</c:v>
                </c:pt>
                <c:pt idx="29" formatCode="0.0">
                  <c:v>1.1905808865048</c:v>
                </c:pt>
                <c:pt idx="30" formatCode="0.0">
                  <c:v>1.1977605228088899</c:v>
                </c:pt>
                <c:pt idx="31" formatCode="0.0">
                  <c:v>1.2175069064539601</c:v>
                </c:pt>
                <c:pt idx="32" formatCode="0.0">
                  <c:v>1.2289436619718299</c:v>
                </c:pt>
                <c:pt idx="33" formatCode="0.0">
                  <c:v>1.2313743444601699</c:v>
                </c:pt>
                <c:pt idx="34" formatCode="0.0">
                  <c:v>1.2701123922219799</c:v>
                </c:pt>
                <c:pt idx="35" formatCode="0.0">
                  <c:v>1.3239982516948099</c:v>
                </c:pt>
                <c:pt idx="36" formatCode="0.0">
                  <c:v>1.3248015616800699</c:v>
                </c:pt>
                <c:pt idx="37" formatCode="0.0">
                  <c:v>1.3423789466790901</c:v>
                </c:pt>
                <c:pt idx="38">
                  <c:v>1.38979132915881</c:v>
                </c:pt>
                <c:pt idx="39">
                  <c:v>1.4120322006919199</c:v>
                </c:pt>
                <c:pt idx="40">
                  <c:v>1.4531345819681101</c:v>
                </c:pt>
                <c:pt idx="41">
                  <c:v>1.4536781426806</c:v>
                </c:pt>
                <c:pt idx="42">
                  <c:v>1.4547834934395301</c:v>
                </c:pt>
                <c:pt idx="43">
                  <c:v>1.4603421461897399</c:v>
                </c:pt>
                <c:pt idx="44">
                  <c:v>1.4698181818181799</c:v>
                </c:pt>
                <c:pt idx="45">
                  <c:v>1.5197946197181</c:v>
                </c:pt>
                <c:pt idx="46">
                  <c:v>1.73779715864728</c:v>
                </c:pt>
                <c:pt idx="47">
                  <c:v>1.7691011796860601</c:v>
                </c:pt>
                <c:pt idx="48">
                  <c:v>1.82390109182392</c:v>
                </c:pt>
                <c:pt idx="49">
                  <c:v>1.95294021961756</c:v>
                </c:pt>
              </c:numCache>
            </c:numRef>
          </c:val>
        </c:ser>
        <c:axId val="466544128"/>
        <c:axId val="466546048"/>
      </c:barChart>
      <c:catAx>
        <c:axId val="466544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Site</a:t>
                </a:r>
              </a:p>
            </c:rich>
          </c:tx>
        </c:title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6546048"/>
        <c:crosses val="autoZero"/>
        <c:auto val="1"/>
        <c:lblAlgn val="ctr"/>
        <c:lblOffset val="100"/>
      </c:catAx>
      <c:valAx>
        <c:axId val="46654604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Lighting Power Density (Watt/SF)</a:t>
                </a:r>
              </a:p>
            </c:rich>
          </c:tx>
        </c:title>
        <c:numFmt formatCode="0.0" sourceLinked="0"/>
        <c:tickLblPos val="nextTo"/>
        <c:crossAx val="466544128"/>
        <c:crosses val="autoZero"/>
        <c:crossBetween val="between"/>
      </c:valAx>
    </c:plotArea>
    <c:plotVisOnly val="1"/>
  </c:chart>
  <c:txPr>
    <a:bodyPr/>
    <a:lstStyle/>
    <a:p>
      <a:pPr>
        <a:defRPr sz="1400"/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'CBSA LPD Dist t53'!$R$80</c:f>
          <c:strCache>
            <c:ptCount val="1"/>
            <c:pt idx="0">
              <c:v>Large Office LPD</c:v>
            </c:pt>
          </c:strCache>
        </c:strRef>
      </c:tx>
    </c:title>
    <c:plotArea>
      <c:layout/>
      <c:barChart>
        <c:barDir val="col"/>
        <c:grouping val="clustered"/>
        <c:ser>
          <c:idx val="0"/>
          <c:order val="0"/>
          <c:val>
            <c:numRef>
              <c:f>'CBSA LPD Dist t53'!$R$82:$R$115</c:f>
              <c:numCache>
                <c:formatCode>0.00</c:formatCode>
                <c:ptCount val="34"/>
                <c:pt idx="0">
                  <c:v>0.50658996484499796</c:v>
                </c:pt>
                <c:pt idx="1">
                  <c:v>0.53224938874613803</c:v>
                </c:pt>
                <c:pt idx="2">
                  <c:v>0.546912384885897</c:v>
                </c:pt>
                <c:pt idx="3">
                  <c:v>0.56714758751182603</c:v>
                </c:pt>
                <c:pt idx="4">
                  <c:v>0.56815371024734995</c:v>
                </c:pt>
                <c:pt idx="5">
                  <c:v>0.59849899546974095</c:v>
                </c:pt>
                <c:pt idx="6">
                  <c:v>0.63424346539461196</c:v>
                </c:pt>
                <c:pt idx="7">
                  <c:v>0.66838154121632398</c:v>
                </c:pt>
                <c:pt idx="8">
                  <c:v>0.67529779058597506</c:v>
                </c:pt>
                <c:pt idx="9">
                  <c:v>0.70897065931247405</c:v>
                </c:pt>
                <c:pt idx="10">
                  <c:v>0.72686881672571801</c:v>
                </c:pt>
                <c:pt idx="11">
                  <c:v>0.77024317301583101</c:v>
                </c:pt>
                <c:pt idx="12">
                  <c:v>0.77625163083617599</c:v>
                </c:pt>
                <c:pt idx="13">
                  <c:v>0.80077623922922403</c:v>
                </c:pt>
                <c:pt idx="14">
                  <c:v>0.81253128149162002</c:v>
                </c:pt>
                <c:pt idx="15">
                  <c:v>0.83481043276108102</c:v>
                </c:pt>
                <c:pt idx="16">
                  <c:v>0.84252941870265197</c:v>
                </c:pt>
                <c:pt idx="17">
                  <c:v>0.86502276335360495</c:v>
                </c:pt>
                <c:pt idx="18">
                  <c:v>0.87523962628980101</c:v>
                </c:pt>
                <c:pt idx="19">
                  <c:v>0.87857063584477402</c:v>
                </c:pt>
                <c:pt idx="20">
                  <c:v>0.89148571428571399</c:v>
                </c:pt>
                <c:pt idx="21">
                  <c:v>0.92309425879976603</c:v>
                </c:pt>
                <c:pt idx="22">
                  <c:v>0.92727366515443199</c:v>
                </c:pt>
                <c:pt idx="23">
                  <c:v>0.94587704632532199</c:v>
                </c:pt>
                <c:pt idx="24">
                  <c:v>0.99647876571758898</c:v>
                </c:pt>
                <c:pt idx="25">
                  <c:v>1.0329901187411801</c:v>
                </c:pt>
                <c:pt idx="26">
                  <c:v>1.05779358296816</c:v>
                </c:pt>
                <c:pt idx="27">
                  <c:v>1.09140121668635</c:v>
                </c:pt>
                <c:pt idx="28">
                  <c:v>1.1130539236474799</c:v>
                </c:pt>
                <c:pt idx="29">
                  <c:v>1.1725070440222201</c:v>
                </c:pt>
                <c:pt idx="30">
                  <c:v>1.18276717709843</c:v>
                </c:pt>
                <c:pt idx="31">
                  <c:v>1.2209248850281</c:v>
                </c:pt>
                <c:pt idx="32">
                  <c:v>1.2462091260727299</c:v>
                </c:pt>
                <c:pt idx="33">
                  <c:v>1.52952638076022</c:v>
                </c:pt>
              </c:numCache>
            </c:numRef>
          </c:val>
        </c:ser>
        <c:axId val="468196352"/>
        <c:axId val="468235392"/>
      </c:barChart>
      <c:catAx>
        <c:axId val="468196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Site</a:t>
                </a:r>
              </a:p>
            </c:rich>
          </c:tx>
        </c:title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68235392"/>
        <c:crosses val="autoZero"/>
        <c:auto val="1"/>
        <c:lblAlgn val="ctr"/>
        <c:lblOffset val="100"/>
      </c:catAx>
      <c:valAx>
        <c:axId val="468235392"/>
        <c:scaling>
          <c:orientation val="minMax"/>
          <c:max val="2.5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Lighting Power Density (Watt/SF)</a:t>
                </a:r>
              </a:p>
            </c:rich>
          </c:tx>
        </c:title>
        <c:numFmt formatCode="0.0" sourceLinked="0"/>
        <c:tickLblPos val="nextTo"/>
        <c:crossAx val="468196352"/>
        <c:crosses val="autoZero"/>
        <c:crossBetween val="between"/>
      </c:valAx>
    </c:plotArea>
    <c:plotVisOnly val="1"/>
  </c:chart>
  <c:txPr>
    <a:bodyPr/>
    <a:lstStyle/>
    <a:p>
      <a:pPr>
        <a:defRPr sz="1400"/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152400</xdr:rowOff>
    </xdr:from>
    <xdr:to>
      <xdr:col>17</xdr:col>
      <xdr:colOff>485775</xdr:colOff>
      <xdr:row>17</xdr:row>
      <xdr:rowOff>85725</xdr:rowOff>
    </xdr:to>
    <xdr:sp macro="" textlink="">
      <xdr:nvSpPr>
        <xdr:cNvPr id="2" name="TextBox 1"/>
        <xdr:cNvSpPr txBox="1"/>
      </xdr:nvSpPr>
      <xdr:spPr>
        <a:xfrm>
          <a:off x="581025" y="314325"/>
          <a:ext cx="10267950" cy="2524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This</a:t>
          </a:r>
          <a:r>
            <a:rPr lang="en-US" sz="1100" baseline="0"/>
            <a:t> workbook is used for several purposes for the 7P and other  analysis.</a:t>
          </a:r>
        </a:p>
        <a:p>
          <a:endParaRPr lang="en-US" sz="1100" baseline="0"/>
        </a:p>
        <a:p>
          <a:r>
            <a:rPr lang="en-US" sz="1100" baseline="0"/>
            <a:t>Contains key data and inputs for a varitiety of lighting and plan analyses.  </a:t>
          </a:r>
        </a:p>
        <a:p>
          <a:endParaRPr lang="en-US" sz="1100" baseline="0"/>
        </a:p>
        <a:p>
          <a:r>
            <a:rPr lang="en-US" sz="1100" baseline="0"/>
            <a:t>Is updated periodically as additioanl information is required.</a:t>
          </a:r>
        </a:p>
        <a:p>
          <a:endParaRPr lang="en-US" sz="1100" baseline="0"/>
        </a:p>
        <a:p>
          <a:r>
            <a:rPr lang="en-US" sz="1100" baseline="0"/>
            <a:t>Some tables in this workbook feed other 7P workbooks</a:t>
          </a:r>
        </a:p>
        <a:p>
          <a:endParaRPr lang="en-US" sz="1100" baseline="0"/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723900</xdr:colOff>
      <xdr:row>84</xdr:row>
      <xdr:rowOff>66674</xdr:rowOff>
    </xdr:from>
    <xdr:to>
      <xdr:col>15</xdr:col>
      <xdr:colOff>762000</xdr:colOff>
      <xdr:row>104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714375</xdr:colOff>
      <xdr:row>62</xdr:row>
      <xdr:rowOff>19050</xdr:rowOff>
    </xdr:from>
    <xdr:to>
      <xdr:col>15</xdr:col>
      <xdr:colOff>685799</xdr:colOff>
      <xdr:row>81</xdr:row>
      <xdr:rowOff>85725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161925</xdr:colOff>
      <xdr:row>26</xdr:row>
      <xdr:rowOff>9523</xdr:rowOff>
    </xdr:from>
    <xdr:to>
      <xdr:col>27</xdr:col>
      <xdr:colOff>476249</xdr:colOff>
      <xdr:row>58</xdr:row>
      <xdr:rowOff>152399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1009649</xdr:colOff>
      <xdr:row>25</xdr:row>
      <xdr:rowOff>123824</xdr:rowOff>
    </xdr:from>
    <xdr:to>
      <xdr:col>37</xdr:col>
      <xdr:colOff>428625</xdr:colOff>
      <xdr:row>58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228600</xdr:colOff>
      <xdr:row>25</xdr:row>
      <xdr:rowOff>114300</xdr:rowOff>
    </xdr:from>
    <xdr:to>
      <xdr:col>45</xdr:col>
      <xdr:colOff>533400</xdr:colOff>
      <xdr:row>49</xdr:row>
      <xdr:rowOff>9525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485776</xdr:colOff>
      <xdr:row>25</xdr:row>
      <xdr:rowOff>161924</xdr:rowOff>
    </xdr:from>
    <xdr:to>
      <xdr:col>16</xdr:col>
      <xdr:colOff>504825</xdr:colOff>
      <xdr:row>58</xdr:row>
      <xdr:rowOff>152399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463221</xdr:colOff>
      <xdr:row>22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647700"/>
          <a:ext cx="5949621" cy="3476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561976</xdr:colOff>
      <xdr:row>27</xdr:row>
      <xdr:rowOff>9525</xdr:rowOff>
    </xdr:from>
    <xdr:to>
      <xdr:col>10</xdr:col>
      <xdr:colOff>447676</xdr:colOff>
      <xdr:row>38</xdr:row>
      <xdr:rowOff>70375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6" y="4867275"/>
          <a:ext cx="5981700" cy="1842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10</xdr:col>
      <xdr:colOff>421530</xdr:colOff>
      <xdr:row>61</xdr:row>
      <xdr:rowOff>114299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7124700"/>
          <a:ext cx="5907930" cy="335279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200025</xdr:colOff>
      <xdr:row>4</xdr:row>
      <xdr:rowOff>57150</xdr:rowOff>
    </xdr:from>
    <xdr:to>
      <xdr:col>22</xdr:col>
      <xdr:colOff>44768</xdr:colOff>
      <xdr:row>23</xdr:row>
      <xdr:rowOff>28575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15225" y="704850"/>
          <a:ext cx="5940743" cy="35337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209550</xdr:colOff>
      <xdr:row>27</xdr:row>
      <xdr:rowOff>9525</xdr:rowOff>
    </xdr:from>
    <xdr:to>
      <xdr:col>22</xdr:col>
      <xdr:colOff>28575</xdr:colOff>
      <xdr:row>45</xdr:row>
      <xdr:rowOff>68764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24750" y="4867275"/>
          <a:ext cx="5915025" cy="297388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171451</xdr:colOff>
      <xdr:row>48</xdr:row>
      <xdr:rowOff>19050</xdr:rowOff>
    </xdr:from>
    <xdr:to>
      <xdr:col>22</xdr:col>
      <xdr:colOff>152401</xdr:colOff>
      <xdr:row>59</xdr:row>
      <xdr:rowOff>31073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86651" y="8277225"/>
          <a:ext cx="6076950" cy="179319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219075</xdr:colOff>
      <xdr:row>61</xdr:row>
      <xdr:rowOff>114300</xdr:rowOff>
    </xdr:from>
    <xdr:to>
      <xdr:col>22</xdr:col>
      <xdr:colOff>396126</xdr:colOff>
      <xdr:row>82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34275" y="10477500"/>
          <a:ext cx="6273051" cy="329565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95250</xdr:colOff>
      <xdr:row>84</xdr:row>
      <xdr:rowOff>66675</xdr:rowOff>
    </xdr:from>
    <xdr:to>
      <xdr:col>23</xdr:col>
      <xdr:colOff>94817</xdr:colOff>
      <xdr:row>97</xdr:row>
      <xdr:rowOff>66675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0450" y="14154150"/>
          <a:ext cx="6705167" cy="21050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19050</xdr:colOff>
      <xdr:row>18</xdr:row>
      <xdr:rowOff>9525</xdr:rowOff>
    </xdr:from>
    <xdr:to>
      <xdr:col>38</xdr:col>
      <xdr:colOff>114300</xdr:colOff>
      <xdr:row>55</xdr:row>
      <xdr:rowOff>64371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9000" contrast="44000"/>
        </a:blip>
        <a:srcRect/>
        <a:stretch>
          <a:fillRect/>
        </a:stretch>
      </xdr:blipFill>
      <xdr:spPr bwMode="auto">
        <a:xfrm>
          <a:off x="30251400" y="3305175"/>
          <a:ext cx="4362450" cy="6046071"/>
        </a:xfrm>
        <a:prstGeom prst="rect">
          <a:avLst/>
        </a:prstGeom>
        <a:noFill/>
      </xdr:spPr>
    </xdr:pic>
    <xdr:clientData/>
  </xdr:twoCellAnchor>
  <xdr:twoCellAnchor>
    <xdr:from>
      <xdr:col>52</xdr:col>
      <xdr:colOff>9525</xdr:colOff>
      <xdr:row>36</xdr:row>
      <xdr:rowOff>57150</xdr:rowOff>
    </xdr:from>
    <xdr:to>
      <xdr:col>55</xdr:col>
      <xdr:colOff>19050</xdr:colOff>
      <xdr:row>43</xdr:row>
      <xdr:rowOff>28575</xdr:rowOff>
    </xdr:to>
    <xdr:sp macro="" textlink="">
      <xdr:nvSpPr>
        <xdr:cNvPr id="3" name="TextBox 2"/>
        <xdr:cNvSpPr txBox="1"/>
      </xdr:nvSpPr>
      <xdr:spPr>
        <a:xfrm>
          <a:off x="44415075" y="6591300"/>
          <a:ext cx="2686050" cy="1104900"/>
        </a:xfrm>
        <a:prstGeom prst="rect">
          <a:avLst/>
        </a:prstGeom>
        <a:solidFill>
          <a:schemeClr val="lt1"/>
        </a:solidFill>
        <a:ln w="9525" cmpd="sng">
          <a:solidFill>
            <a:schemeClr val="tx2">
              <a:lumMod val="40000"/>
              <a:lumOff val="6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Builidings that renovated fixtures one, two or three years ago,</a:t>
          </a:r>
          <a:r>
            <a:rPr lang="en-US" sz="1100" baseline="0"/>
            <a:t> renovated 71% of the fixtures.  From Building_Renovation_History</a:t>
          </a:r>
          <a:endParaRPr lang="en-US" sz="1100"/>
        </a:p>
      </xdr:txBody>
    </xdr:sp>
    <xdr:clientData/>
  </xdr:twoCellAnchor>
  <xdr:twoCellAnchor>
    <xdr:from>
      <xdr:col>66</xdr:col>
      <xdr:colOff>0</xdr:colOff>
      <xdr:row>36</xdr:row>
      <xdr:rowOff>0</xdr:rowOff>
    </xdr:from>
    <xdr:to>
      <xdr:col>70</xdr:col>
      <xdr:colOff>0</xdr:colOff>
      <xdr:row>42</xdr:row>
      <xdr:rowOff>9525</xdr:rowOff>
    </xdr:to>
    <xdr:sp macro="" textlink="">
      <xdr:nvSpPr>
        <xdr:cNvPr id="4" name="TextBox 3"/>
        <xdr:cNvSpPr txBox="1"/>
      </xdr:nvSpPr>
      <xdr:spPr>
        <a:xfrm>
          <a:off x="53787675" y="6534150"/>
          <a:ext cx="2638425" cy="981075"/>
        </a:xfrm>
        <a:prstGeom prst="rect">
          <a:avLst/>
        </a:prstGeom>
        <a:solidFill>
          <a:schemeClr val="lt1"/>
        </a:solidFill>
        <a:ln w="9525" cmpd="sng">
          <a:solidFill>
            <a:schemeClr val="tx2">
              <a:lumMod val="40000"/>
              <a:lumOff val="6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Builidings that renovated </a:t>
          </a:r>
          <a:r>
            <a:rPr lang="en-US" sz="1100" b="1"/>
            <a:t>ballasts</a:t>
          </a:r>
          <a:r>
            <a:rPr lang="en-US" sz="1100"/>
            <a:t> one, two or three years ago,</a:t>
          </a:r>
          <a:r>
            <a:rPr lang="en-US" sz="1100" baseline="0"/>
            <a:t> renovated </a:t>
          </a:r>
          <a:r>
            <a:rPr lang="en-US" sz="1100" b="1" baseline="0"/>
            <a:t>81% </a:t>
          </a:r>
          <a:r>
            <a:rPr lang="en-US" sz="1100" baseline="0"/>
            <a:t>of the ballasts.  From Building_Renovation_History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5</xdr:row>
      <xdr:rowOff>0</xdr:rowOff>
    </xdr:from>
    <xdr:to>
      <xdr:col>29</xdr:col>
      <xdr:colOff>95250</xdr:colOff>
      <xdr:row>32</xdr:row>
      <xdr:rowOff>235821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9000" contrast="44000"/>
        </a:blip>
        <a:srcRect/>
        <a:stretch>
          <a:fillRect/>
        </a:stretch>
      </xdr:blipFill>
      <xdr:spPr bwMode="auto">
        <a:xfrm>
          <a:off x="21802725" y="1076325"/>
          <a:ext cx="4362450" cy="6046071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88</xdr:row>
      <xdr:rowOff>123825</xdr:rowOff>
    </xdr:from>
    <xdr:to>
      <xdr:col>3</xdr:col>
      <xdr:colOff>657225</xdr:colOff>
      <xdr:row>106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581025</xdr:colOff>
      <xdr:row>91</xdr:row>
      <xdr:rowOff>47625</xdr:rowOff>
    </xdr:from>
    <xdr:to>
      <xdr:col>9</xdr:col>
      <xdr:colOff>476250</xdr:colOff>
      <xdr:row>108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857250</xdr:colOff>
      <xdr:row>87</xdr:row>
      <xdr:rowOff>28575</xdr:rowOff>
    </xdr:from>
    <xdr:to>
      <xdr:col>16</xdr:col>
      <xdr:colOff>666750</xdr:colOff>
      <xdr:row>106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771525</xdr:colOff>
      <xdr:row>204</xdr:row>
      <xdr:rowOff>95250</xdr:rowOff>
    </xdr:from>
    <xdr:to>
      <xdr:col>3</xdr:col>
      <xdr:colOff>1009650</xdr:colOff>
      <xdr:row>221</xdr:row>
      <xdr:rowOff>142875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1123950</xdr:colOff>
      <xdr:row>212</xdr:row>
      <xdr:rowOff>76200</xdr:rowOff>
    </xdr:from>
    <xdr:to>
      <xdr:col>9</xdr:col>
      <xdr:colOff>209550</xdr:colOff>
      <xdr:row>229</xdr:row>
      <xdr:rowOff>66675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590550</xdr:colOff>
      <xdr:row>101</xdr:row>
      <xdr:rowOff>76199</xdr:rowOff>
    </xdr:from>
    <xdr:to>
      <xdr:col>60</xdr:col>
      <xdr:colOff>295276</xdr:colOff>
      <xdr:row>126</xdr:row>
      <xdr:rowOff>104775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42</xdr:col>
      <xdr:colOff>600074</xdr:colOff>
      <xdr:row>134</xdr:row>
      <xdr:rowOff>95250</xdr:rowOff>
    </xdr:from>
    <xdr:to>
      <xdr:col>53</xdr:col>
      <xdr:colOff>209549</xdr:colOff>
      <xdr:row>162</xdr:row>
      <xdr:rowOff>19050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533400</xdr:colOff>
      <xdr:row>4</xdr:row>
      <xdr:rowOff>400050</xdr:rowOff>
    </xdr:from>
    <xdr:to>
      <xdr:col>27</xdr:col>
      <xdr:colOff>361950</xdr:colOff>
      <xdr:row>14</xdr:row>
      <xdr:rowOff>133350</xdr:rowOff>
    </xdr:to>
    <xdr:sp macro="" textlink="">
      <xdr:nvSpPr>
        <xdr:cNvPr id="2" name="Rounded Rectangular Callout 1"/>
        <xdr:cNvSpPr/>
      </xdr:nvSpPr>
      <xdr:spPr>
        <a:xfrm>
          <a:off x="13096875" y="1047750"/>
          <a:ext cx="2266950" cy="2324100"/>
        </a:xfrm>
        <a:prstGeom prst="wedgeRoundRectCallout">
          <a:avLst>
            <a:gd name="adj1" fmla="val -86799"/>
            <a:gd name="adj2" fmla="val -23566"/>
            <a:gd name="adj3" fmla="val 16667"/>
          </a:avLst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en-US" sz="1100"/>
            <a:t>From 6P analysis.  </a:t>
          </a:r>
        </a:p>
        <a:p>
          <a:pPr algn="l"/>
          <a:endParaRPr lang="en-US" sz="1100"/>
        </a:p>
        <a:p>
          <a:pPr algn="l"/>
          <a:r>
            <a:rPr lang="en-US" sz="1100"/>
            <a:t>These are  total sponsor levelized costs.  Cost variance by Btype is relatively narrow range.  Measure cost is the major driver</a:t>
          </a:r>
          <a:r>
            <a:rPr lang="en-US" sz="1100" baseline="0"/>
            <a:t> of levelized cost.  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For 7P consider bundling by measure rather than by Btype for supply curve buildout.</a:t>
          </a:r>
          <a:r>
            <a:rPr lang="en-US" sz="1100"/>
            <a:t> 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19051</xdr:colOff>
      <xdr:row>4</xdr:row>
      <xdr:rowOff>123826</xdr:rowOff>
    </xdr:from>
    <xdr:to>
      <xdr:col>36</xdr:col>
      <xdr:colOff>533400</xdr:colOff>
      <xdr:row>26</xdr:row>
      <xdr:rowOff>4836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11701" y="1114426"/>
          <a:ext cx="7219949" cy="3443360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571501</xdr:colOff>
      <xdr:row>67</xdr:row>
      <xdr:rowOff>47626</xdr:rowOff>
    </xdr:from>
    <xdr:to>
      <xdr:col>35</xdr:col>
      <xdr:colOff>495301</xdr:colOff>
      <xdr:row>78</xdr:row>
      <xdr:rowOff>105051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354551" y="11239501"/>
          <a:ext cx="6629400" cy="1838600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209550</xdr:colOff>
      <xdr:row>67</xdr:row>
      <xdr:rowOff>114300</xdr:rowOff>
    </xdr:from>
    <xdr:to>
      <xdr:col>49</xdr:col>
      <xdr:colOff>238125</xdr:colOff>
      <xdr:row>79</xdr:row>
      <xdr:rowOff>99595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27000" y="11306175"/>
          <a:ext cx="6734175" cy="1928395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1</xdr:colOff>
      <xdr:row>28</xdr:row>
      <xdr:rowOff>114301</xdr:rowOff>
    </xdr:from>
    <xdr:to>
      <xdr:col>48</xdr:col>
      <xdr:colOff>552451</xdr:colOff>
      <xdr:row>42</xdr:row>
      <xdr:rowOff>132565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317451" y="4991101"/>
          <a:ext cx="6648450" cy="2285214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0</xdr:colOff>
      <xdr:row>28</xdr:row>
      <xdr:rowOff>0</xdr:rowOff>
    </xdr:from>
    <xdr:to>
      <xdr:col>37</xdr:col>
      <xdr:colOff>276225</xdr:colOff>
      <xdr:row>51</xdr:row>
      <xdr:rowOff>68324</xdr:rowOff>
    </xdr:to>
    <xdr:pic>
      <xdr:nvPicPr>
        <xdr:cNvPr id="41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392650" y="4876800"/>
          <a:ext cx="7591425" cy="3792599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28575</xdr:colOff>
      <xdr:row>52</xdr:row>
      <xdr:rowOff>66675</xdr:rowOff>
    </xdr:from>
    <xdr:to>
      <xdr:col>36</xdr:col>
      <xdr:colOff>114300</xdr:colOff>
      <xdr:row>64</xdr:row>
      <xdr:rowOff>110729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421225" y="8829675"/>
          <a:ext cx="6791325" cy="1987154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0</xdr:colOff>
      <xdr:row>51</xdr:row>
      <xdr:rowOff>57150</xdr:rowOff>
    </xdr:from>
    <xdr:to>
      <xdr:col>51</xdr:col>
      <xdr:colOff>66675</xdr:colOff>
      <xdr:row>64</xdr:row>
      <xdr:rowOff>22322</xdr:rowOff>
    </xdr:to>
    <xdr:pic>
      <xdr:nvPicPr>
        <xdr:cNvPr id="4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317450" y="8658225"/>
          <a:ext cx="7991475" cy="2070197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m_Master_7P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om-LightingInterior-7P-V1.26(cg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G/Main/BPA/Conservation%20Stuff/Standards%20NonProg%20Impacts/Navigant%20Model%202013/Mimi's%20model/BPA%20Lighting%20Market%20Model%20FINAL_032114(Grist)(Tester)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verview"/>
      <sheetName val="MLIST"/>
      <sheetName val="FILES"/>
      <sheetName val="APPLIC"/>
      <sheetName val="BASE"/>
      <sheetName val="STOCK"/>
      <sheetName val="TURN"/>
      <sheetName val="ACHIEV"/>
      <sheetName val="FEAS"/>
      <sheetName val="RAMP"/>
      <sheetName val="CODE"/>
      <sheetName val="CHAR"/>
      <sheetName val="Floor"/>
      <sheetName val="Vars"/>
      <sheetName val="Labels"/>
      <sheetName val="Lookup"/>
      <sheetName val="EUI"/>
      <sheetName val="Measure Name List"/>
      <sheetName val="CBSA Data"/>
      <sheetName val="CBSA Data New"/>
      <sheetName val="Com_Master_7P"/>
    </sheetNames>
    <definedNames>
      <definedName name="BLDGTYPE" refersTo="='APPLIC'!$B$11:$U$11"/>
      <definedName name="POST2013" refersTo="='CHAR'!$B$17:$U$55"/>
      <definedName name="V_PRE2013" refersTo="='CHAR'!$B$61:$T$100"/>
    </definedNames>
    <sheetDataSet>
      <sheetData sheetId="0"/>
      <sheetData sheetId="1">
        <row r="58">
          <cell r="D58" t="str">
            <v>LPD Package-New</v>
          </cell>
        </row>
        <row r="68">
          <cell r="D68" t="str">
            <v>Street and Roadway Lighting-New</v>
          </cell>
        </row>
        <row r="69">
          <cell r="D69" t="str">
            <v>Street and Roadway Lighting-NR</v>
          </cell>
        </row>
      </sheetData>
      <sheetData sheetId="2">
        <row r="4">
          <cell r="H4">
            <v>2035</v>
          </cell>
        </row>
      </sheetData>
      <sheetData sheetId="3">
        <row r="11">
          <cell r="B11" t="str">
            <v>Measure Index Name</v>
          </cell>
          <cell r="C11" t="str">
            <v>Large Off</v>
          </cell>
          <cell r="D11" t="str">
            <v>Medium Off</v>
          </cell>
          <cell r="E11" t="str">
            <v>Small Off</v>
          </cell>
          <cell r="F11" t="str">
            <v>Xlarge Ret</v>
          </cell>
          <cell r="G11" t="str">
            <v>Large Ret</v>
          </cell>
          <cell r="H11" t="str">
            <v>Medium Ret</v>
          </cell>
          <cell r="I11" t="str">
            <v>Small Ret</v>
          </cell>
          <cell r="J11" t="str">
            <v>School K-12</v>
          </cell>
          <cell r="K11" t="str">
            <v>University</v>
          </cell>
          <cell r="L11" t="str">
            <v>Warehouse</v>
          </cell>
          <cell r="M11" t="str">
            <v>Supermarket</v>
          </cell>
          <cell r="N11" t="str">
            <v>MiniMart</v>
          </cell>
          <cell r="O11" t="str">
            <v>Restaurant</v>
          </cell>
          <cell r="P11" t="str">
            <v>Lodging</v>
          </cell>
          <cell r="Q11" t="str">
            <v>Hospital</v>
          </cell>
          <cell r="R11" t="str">
            <v>Residential Care</v>
          </cell>
          <cell r="S11" t="str">
            <v>Assembly</v>
          </cell>
          <cell r="T11" t="str">
            <v>Other</v>
          </cell>
          <cell r="U11" t="str">
            <v>Non-Building Stock</v>
          </cell>
        </row>
        <row r="17">
          <cell r="B17" t="str">
            <v>Data Centers-Retro</v>
          </cell>
          <cell r="C17">
            <v>0.01</v>
          </cell>
          <cell r="D17">
            <v>0.01</v>
          </cell>
          <cell r="E17">
            <v>0.01</v>
          </cell>
          <cell r="F17">
            <v>0.01</v>
          </cell>
          <cell r="G17">
            <v>0.01</v>
          </cell>
          <cell r="H17">
            <v>0.01</v>
          </cell>
          <cell r="I17">
            <v>0.01</v>
          </cell>
          <cell r="J17">
            <v>0.01</v>
          </cell>
          <cell r="K17">
            <v>0.01</v>
          </cell>
          <cell r="L17">
            <v>0.01</v>
          </cell>
          <cell r="M17">
            <v>0.01</v>
          </cell>
          <cell r="N17">
            <v>0.01</v>
          </cell>
          <cell r="O17">
            <v>0.01</v>
          </cell>
          <cell r="P17">
            <v>0.01</v>
          </cell>
          <cell r="Q17">
            <v>0.01</v>
          </cell>
          <cell r="R17">
            <v>0.01</v>
          </cell>
          <cell r="S17">
            <v>0.01</v>
          </cell>
          <cell r="T17">
            <v>0.01</v>
          </cell>
        </row>
        <row r="18">
          <cell r="B18" t="str">
            <v>Commercial Computer Monitor-NR</v>
          </cell>
          <cell r="C18">
            <v>0.01</v>
          </cell>
          <cell r="D18">
            <v>0.01</v>
          </cell>
          <cell r="E18">
            <v>0.01</v>
          </cell>
          <cell r="F18">
            <v>0.01</v>
          </cell>
          <cell r="G18">
            <v>0.01</v>
          </cell>
          <cell r="H18">
            <v>0.01</v>
          </cell>
          <cell r="I18">
            <v>0.01</v>
          </cell>
          <cell r="J18">
            <v>0.01</v>
          </cell>
          <cell r="K18">
            <v>0.01</v>
          </cell>
          <cell r="L18">
            <v>0.01</v>
          </cell>
          <cell r="M18">
            <v>0.01</v>
          </cell>
          <cell r="N18">
            <v>0.01</v>
          </cell>
          <cell r="O18">
            <v>0.01</v>
          </cell>
          <cell r="P18">
            <v>0.01</v>
          </cell>
          <cell r="Q18">
            <v>0.01</v>
          </cell>
          <cell r="R18">
            <v>0.01</v>
          </cell>
          <cell r="S18">
            <v>0.01</v>
          </cell>
          <cell r="T18">
            <v>0.01</v>
          </cell>
          <cell r="U18">
            <v>0.44999999999999996</v>
          </cell>
        </row>
        <row r="19">
          <cell r="B19" t="str">
            <v>Commercial Computer Desktop-NR</v>
          </cell>
          <cell r="C19">
            <v>0.01</v>
          </cell>
          <cell r="D19">
            <v>0.01</v>
          </cell>
          <cell r="E19">
            <v>0.01</v>
          </cell>
          <cell r="F19">
            <v>0.01</v>
          </cell>
          <cell r="G19">
            <v>0.01</v>
          </cell>
          <cell r="H19">
            <v>0.01</v>
          </cell>
          <cell r="I19">
            <v>0.01</v>
          </cell>
          <cell r="J19">
            <v>0.01</v>
          </cell>
          <cell r="K19">
            <v>0.01</v>
          </cell>
          <cell r="L19">
            <v>0.01</v>
          </cell>
          <cell r="M19">
            <v>0.01</v>
          </cell>
          <cell r="N19">
            <v>0.01</v>
          </cell>
          <cell r="O19">
            <v>0.01</v>
          </cell>
          <cell r="P19">
            <v>0.01</v>
          </cell>
          <cell r="Q19">
            <v>0.01</v>
          </cell>
          <cell r="R19">
            <v>0.01</v>
          </cell>
          <cell r="S19">
            <v>0.01</v>
          </cell>
          <cell r="T19">
            <v>0.01</v>
          </cell>
          <cell r="U19">
            <v>0.25</v>
          </cell>
        </row>
        <row r="20">
          <cell r="B20" t="str">
            <v>Pre-Rinse Spray Valve-Retro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0.74</v>
          </cell>
        </row>
        <row r="21">
          <cell r="B21" t="str">
            <v>Cooking Equipment-NR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0.54900000000000004</v>
          </cell>
        </row>
        <row r="22">
          <cell r="B22" t="str">
            <v>Premium HVAC Equipment-New</v>
          </cell>
          <cell r="C22">
            <v>0.9</v>
          </cell>
          <cell r="D22">
            <v>0.9</v>
          </cell>
          <cell r="E22">
            <v>0.9</v>
          </cell>
          <cell r="F22">
            <v>0.9</v>
          </cell>
          <cell r="G22">
            <v>0.9</v>
          </cell>
          <cell r="H22">
            <v>0.9</v>
          </cell>
          <cell r="I22">
            <v>0.9</v>
          </cell>
          <cell r="J22">
            <v>0.9</v>
          </cell>
          <cell r="K22">
            <v>0.9</v>
          </cell>
          <cell r="L22">
            <v>0.9</v>
          </cell>
          <cell r="M22">
            <v>0.9</v>
          </cell>
          <cell r="N22">
            <v>0.9</v>
          </cell>
          <cell r="O22">
            <v>0.9</v>
          </cell>
          <cell r="P22">
            <v>0.9</v>
          </cell>
          <cell r="Q22">
            <v>0.9</v>
          </cell>
          <cell r="R22">
            <v>0.9</v>
          </cell>
          <cell r="S22">
            <v>0.9</v>
          </cell>
          <cell r="T22">
            <v>0.9</v>
          </cell>
        </row>
        <row r="23">
          <cell r="B23" t="str">
            <v>Premium HVAC Equipment-NR</v>
          </cell>
          <cell r="C23">
            <v>0.9</v>
          </cell>
          <cell r="D23">
            <v>0.9</v>
          </cell>
          <cell r="E23">
            <v>0.9</v>
          </cell>
          <cell r="F23">
            <v>0.9</v>
          </cell>
          <cell r="G23">
            <v>0.9</v>
          </cell>
          <cell r="H23">
            <v>0.9</v>
          </cell>
          <cell r="I23">
            <v>0.9</v>
          </cell>
          <cell r="J23">
            <v>0.9</v>
          </cell>
          <cell r="K23">
            <v>0.9</v>
          </cell>
          <cell r="L23">
            <v>0.9</v>
          </cell>
          <cell r="M23">
            <v>0.9</v>
          </cell>
          <cell r="N23">
            <v>0.9</v>
          </cell>
          <cell r="O23">
            <v>0.9</v>
          </cell>
          <cell r="P23">
            <v>0.9</v>
          </cell>
          <cell r="Q23">
            <v>0.9</v>
          </cell>
          <cell r="R23">
            <v>0.9</v>
          </cell>
          <cell r="S23">
            <v>0.9</v>
          </cell>
          <cell r="T23">
            <v>0.9</v>
          </cell>
        </row>
        <row r="24">
          <cell r="B24" t="str">
            <v>Glass-New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 t="str">
            <v>Glass-NR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B26" t="str">
            <v>Glass-Retro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B27" t="str">
            <v>Advanced Rooftop Controller-New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B28" t="str">
            <v>Advanced Rooftop Controller-NR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 t="str">
            <v>Advanced Rooftop Controller-Retro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B30" t="str">
            <v>Variable Speed Chiller-New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 t="str">
            <v>Variable Speed Chiller-NR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Commercial EM-New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1</v>
          </cell>
        </row>
        <row r="33">
          <cell r="B33" t="str">
            <v>Commercial EM-NR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</row>
        <row r="34">
          <cell r="B34" t="str">
            <v>Commercial EM-Retro</v>
          </cell>
          <cell r="C34">
            <v>0.49</v>
          </cell>
          <cell r="D34">
            <v>0.49</v>
          </cell>
          <cell r="E34">
            <v>0.49</v>
          </cell>
          <cell r="F34">
            <v>0.49</v>
          </cell>
          <cell r="G34">
            <v>0.49</v>
          </cell>
          <cell r="H34">
            <v>0.49</v>
          </cell>
          <cell r="I34">
            <v>0.49</v>
          </cell>
          <cell r="J34">
            <v>0.49</v>
          </cell>
          <cell r="K34">
            <v>0.49</v>
          </cell>
          <cell r="L34">
            <v>0.49</v>
          </cell>
          <cell r="M34">
            <v>0.49</v>
          </cell>
          <cell r="N34">
            <v>0.49</v>
          </cell>
          <cell r="O34">
            <v>0.49</v>
          </cell>
          <cell r="P34">
            <v>0.49</v>
          </cell>
          <cell r="Q34">
            <v>0.49</v>
          </cell>
          <cell r="R34">
            <v>0.49</v>
          </cell>
          <cell r="S34">
            <v>0.49</v>
          </cell>
          <cell r="T34">
            <v>0.49</v>
          </cell>
        </row>
        <row r="35">
          <cell r="B35" t="str">
            <v>Evaporative Assist Cooling-New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Evaporative Assist Cooling-NR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B37" t="str">
            <v>Low Pressure Distribution Complex HVAC-New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Demand Control Ventilation-New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B39" t="str">
            <v>Demand Control Ventilation-NR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 t="str">
            <v>Demand Control Ventilation-Retro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B41" t="str">
            <v>Premium Fume Hood-NR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0.9</v>
          </cell>
        </row>
        <row r="42">
          <cell r="B42" t="str">
            <v>DCV Restaurant Hood-Retro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B43" t="str">
            <v>DCV Parking Garage-Retro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>Weatherization - School-Retro</v>
          </cell>
          <cell r="C44">
            <v>0.01</v>
          </cell>
          <cell r="D44">
            <v>0.01</v>
          </cell>
          <cell r="E44">
            <v>0.01</v>
          </cell>
          <cell r="F44">
            <v>0.01</v>
          </cell>
          <cell r="G44">
            <v>0.01</v>
          </cell>
          <cell r="H44">
            <v>0.01</v>
          </cell>
          <cell r="I44">
            <v>0.01</v>
          </cell>
          <cell r="J44">
            <v>0.01</v>
          </cell>
          <cell r="K44">
            <v>0.01</v>
          </cell>
          <cell r="L44">
            <v>0.01</v>
          </cell>
          <cell r="M44">
            <v>0.01</v>
          </cell>
          <cell r="N44">
            <v>0.01</v>
          </cell>
          <cell r="O44">
            <v>0.01</v>
          </cell>
          <cell r="P44">
            <v>0.01</v>
          </cell>
          <cell r="Q44">
            <v>0.01</v>
          </cell>
          <cell r="R44">
            <v>0.01</v>
          </cell>
          <cell r="S44">
            <v>0.01</v>
          </cell>
          <cell r="T44">
            <v>0.01</v>
          </cell>
        </row>
        <row r="45">
          <cell r="B45" t="str">
            <v>Commercial Computer Laptop-NR</v>
          </cell>
          <cell r="C45">
            <v>0.01</v>
          </cell>
          <cell r="D45">
            <v>0.01</v>
          </cell>
          <cell r="E45">
            <v>0.01</v>
          </cell>
          <cell r="F45">
            <v>0.01</v>
          </cell>
          <cell r="G45">
            <v>0.01</v>
          </cell>
          <cell r="H45">
            <v>0.01</v>
          </cell>
          <cell r="I45">
            <v>0.01</v>
          </cell>
          <cell r="J45">
            <v>0.01</v>
          </cell>
          <cell r="K45">
            <v>0.01</v>
          </cell>
          <cell r="L45">
            <v>0.01</v>
          </cell>
          <cell r="M45">
            <v>0.01</v>
          </cell>
          <cell r="N45">
            <v>0.01</v>
          </cell>
          <cell r="O45">
            <v>0.01</v>
          </cell>
          <cell r="P45">
            <v>0.01</v>
          </cell>
          <cell r="Q45">
            <v>0.01</v>
          </cell>
          <cell r="R45">
            <v>0.01</v>
          </cell>
          <cell r="S45">
            <v>0.01</v>
          </cell>
          <cell r="T45">
            <v>0.01</v>
          </cell>
          <cell r="U45">
            <v>9.9999999999999978E-2</v>
          </cell>
        </row>
        <row r="46">
          <cell r="B46" t="str">
            <v>AC Heat Recovery for Water Heating-NR</v>
          </cell>
          <cell r="C46">
            <v>0.01</v>
          </cell>
          <cell r="D46">
            <v>0.01</v>
          </cell>
          <cell r="E46">
            <v>0.01</v>
          </cell>
          <cell r="F46">
            <v>0.01</v>
          </cell>
          <cell r="G46">
            <v>0.01</v>
          </cell>
          <cell r="H46">
            <v>0.01</v>
          </cell>
          <cell r="I46">
            <v>0.01</v>
          </cell>
          <cell r="J46">
            <v>0.01</v>
          </cell>
          <cell r="K46">
            <v>0.01</v>
          </cell>
          <cell r="L46">
            <v>0.01</v>
          </cell>
          <cell r="M46">
            <v>0.01</v>
          </cell>
          <cell r="N46">
            <v>0.01</v>
          </cell>
          <cell r="O46">
            <v>0.01</v>
          </cell>
          <cell r="P46">
            <v>0.01</v>
          </cell>
          <cell r="Q46">
            <v>0.01</v>
          </cell>
          <cell r="R46">
            <v>0.01</v>
          </cell>
          <cell r="S46">
            <v>0.01</v>
          </cell>
          <cell r="T46">
            <v>0.01</v>
          </cell>
        </row>
        <row r="47">
          <cell r="B47" t="str">
            <v>Room Occupancy Sensors in Lodging-Retro</v>
          </cell>
          <cell r="C47">
            <v>0.01</v>
          </cell>
          <cell r="D47">
            <v>0.01</v>
          </cell>
          <cell r="E47">
            <v>0.01</v>
          </cell>
          <cell r="F47">
            <v>0.01</v>
          </cell>
          <cell r="G47">
            <v>0.01</v>
          </cell>
          <cell r="H47">
            <v>0.01</v>
          </cell>
          <cell r="I47">
            <v>0.01</v>
          </cell>
          <cell r="J47">
            <v>0.01</v>
          </cell>
          <cell r="K47">
            <v>0.01</v>
          </cell>
          <cell r="L47">
            <v>0.01</v>
          </cell>
          <cell r="M47">
            <v>0.01</v>
          </cell>
          <cell r="N47">
            <v>0.01</v>
          </cell>
          <cell r="O47">
            <v>0.01</v>
          </cell>
          <cell r="P47">
            <v>0.01</v>
          </cell>
          <cell r="Q47">
            <v>0.01</v>
          </cell>
          <cell r="R47">
            <v>0.01</v>
          </cell>
          <cell r="S47">
            <v>0.01</v>
          </cell>
          <cell r="T47">
            <v>0.01</v>
          </cell>
        </row>
        <row r="48">
          <cell r="B48" t="str">
            <v>Chiller - chilled water retrofit-Retro</v>
          </cell>
          <cell r="C48">
            <v>0.01</v>
          </cell>
          <cell r="D48">
            <v>0.01</v>
          </cell>
          <cell r="E48">
            <v>0.01</v>
          </cell>
          <cell r="F48">
            <v>0.01</v>
          </cell>
          <cell r="G48">
            <v>0.01</v>
          </cell>
          <cell r="H48">
            <v>0.01</v>
          </cell>
          <cell r="I48">
            <v>0.01</v>
          </cell>
          <cell r="J48">
            <v>0.01</v>
          </cell>
          <cell r="K48">
            <v>0.01</v>
          </cell>
          <cell r="L48">
            <v>0.01</v>
          </cell>
          <cell r="M48">
            <v>0.01</v>
          </cell>
          <cell r="N48">
            <v>0.01</v>
          </cell>
          <cell r="O48">
            <v>0.01</v>
          </cell>
          <cell r="P48">
            <v>0.01</v>
          </cell>
          <cell r="Q48">
            <v>0.01</v>
          </cell>
          <cell r="R48">
            <v>0.01</v>
          </cell>
          <cell r="S48">
            <v>0.01</v>
          </cell>
          <cell r="T48">
            <v>0.01</v>
          </cell>
        </row>
        <row r="49">
          <cell r="B49" t="str">
            <v>Chiller - equip retrofits-Retro</v>
          </cell>
          <cell r="C49">
            <v>0.01</v>
          </cell>
          <cell r="D49">
            <v>0.01</v>
          </cell>
          <cell r="E49">
            <v>0.01</v>
          </cell>
          <cell r="F49">
            <v>0.01</v>
          </cell>
          <cell r="G49">
            <v>0.01</v>
          </cell>
          <cell r="H49">
            <v>0.01</v>
          </cell>
          <cell r="I49">
            <v>0.01</v>
          </cell>
          <cell r="J49">
            <v>0.01</v>
          </cell>
          <cell r="K49">
            <v>0.01</v>
          </cell>
          <cell r="L49">
            <v>0.01</v>
          </cell>
          <cell r="M49">
            <v>0.01</v>
          </cell>
          <cell r="N49">
            <v>0.01</v>
          </cell>
          <cell r="O49">
            <v>0.01</v>
          </cell>
          <cell r="P49">
            <v>0.01</v>
          </cell>
          <cell r="Q49">
            <v>0.01</v>
          </cell>
          <cell r="R49">
            <v>0.01</v>
          </cell>
          <cell r="S49">
            <v>0.01</v>
          </cell>
          <cell r="T49">
            <v>0.01</v>
          </cell>
        </row>
        <row r="50">
          <cell r="B50" t="str">
            <v>Pool Blankets-Retro</v>
          </cell>
          <cell r="C50">
            <v>0.01</v>
          </cell>
          <cell r="D50">
            <v>0.01</v>
          </cell>
          <cell r="E50">
            <v>0.01</v>
          </cell>
          <cell r="F50">
            <v>0.01</v>
          </cell>
          <cell r="G50">
            <v>0.01</v>
          </cell>
          <cell r="H50">
            <v>0.01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  <cell r="M50">
            <v>0.01</v>
          </cell>
          <cell r="N50">
            <v>0.01</v>
          </cell>
          <cell r="O50">
            <v>0.01</v>
          </cell>
          <cell r="P50">
            <v>0.01</v>
          </cell>
          <cell r="Q50">
            <v>0.01</v>
          </cell>
          <cell r="R50">
            <v>0.01</v>
          </cell>
          <cell r="S50">
            <v>0.01</v>
          </cell>
          <cell r="T50">
            <v>0.01</v>
          </cell>
        </row>
        <row r="51">
          <cell r="B51" t="str">
            <v>Web-Enabled Thermostats-Retro</v>
          </cell>
          <cell r="C51">
            <v>0.01</v>
          </cell>
          <cell r="D51">
            <v>0.01</v>
          </cell>
          <cell r="E51">
            <v>0.01</v>
          </cell>
          <cell r="F51">
            <v>0.01</v>
          </cell>
          <cell r="G51">
            <v>0.01</v>
          </cell>
          <cell r="H51">
            <v>0.01</v>
          </cell>
          <cell r="I51">
            <v>0.01</v>
          </cell>
          <cell r="J51">
            <v>0.01</v>
          </cell>
          <cell r="K51">
            <v>0.01</v>
          </cell>
          <cell r="L51">
            <v>0.01</v>
          </cell>
          <cell r="M51">
            <v>0.01</v>
          </cell>
          <cell r="N51">
            <v>0.01</v>
          </cell>
          <cell r="O51">
            <v>0.01</v>
          </cell>
          <cell r="P51">
            <v>0.01</v>
          </cell>
          <cell r="Q51">
            <v>0.01</v>
          </cell>
          <cell r="R51">
            <v>0.01</v>
          </cell>
          <cell r="S51">
            <v>0.01</v>
          </cell>
          <cell r="T51">
            <v>0.01</v>
          </cell>
        </row>
        <row r="52">
          <cell r="B52" t="str">
            <v>Garage CO2 ventilation-Retro</v>
          </cell>
          <cell r="C52">
            <v>0.01</v>
          </cell>
          <cell r="D52">
            <v>0.01</v>
          </cell>
          <cell r="E52">
            <v>0.01</v>
          </cell>
          <cell r="F52">
            <v>0.01</v>
          </cell>
          <cell r="G52">
            <v>0.01</v>
          </cell>
          <cell r="H52">
            <v>0.01</v>
          </cell>
          <cell r="I52">
            <v>0.01</v>
          </cell>
          <cell r="J52">
            <v>0.01</v>
          </cell>
          <cell r="K52">
            <v>0.01</v>
          </cell>
          <cell r="L52">
            <v>0.01</v>
          </cell>
          <cell r="M52">
            <v>0.01</v>
          </cell>
          <cell r="N52">
            <v>0.01</v>
          </cell>
          <cell r="O52">
            <v>0.01</v>
          </cell>
          <cell r="P52">
            <v>0.01</v>
          </cell>
          <cell r="Q52">
            <v>0.01</v>
          </cell>
          <cell r="R52">
            <v>0.01</v>
          </cell>
          <cell r="S52">
            <v>0.01</v>
          </cell>
          <cell r="T52">
            <v>0.01</v>
          </cell>
        </row>
        <row r="53">
          <cell r="B53" t="str">
            <v>Circ Pump ECM and drive-Retro</v>
          </cell>
          <cell r="C53">
            <v>0.01</v>
          </cell>
          <cell r="D53">
            <v>0.01</v>
          </cell>
          <cell r="E53">
            <v>0.01</v>
          </cell>
          <cell r="F53">
            <v>0.01</v>
          </cell>
          <cell r="G53">
            <v>0.01</v>
          </cell>
          <cell r="H53">
            <v>0.01</v>
          </cell>
          <cell r="I53">
            <v>0.01</v>
          </cell>
          <cell r="J53">
            <v>0.01</v>
          </cell>
          <cell r="K53">
            <v>0.01</v>
          </cell>
          <cell r="L53">
            <v>0.01</v>
          </cell>
          <cell r="M53">
            <v>0.01</v>
          </cell>
          <cell r="N53">
            <v>0.01</v>
          </cell>
          <cell r="O53">
            <v>0.01</v>
          </cell>
          <cell r="P53">
            <v>0.01</v>
          </cell>
          <cell r="Q53">
            <v>0.01</v>
          </cell>
          <cell r="R53">
            <v>0.01</v>
          </cell>
          <cell r="S53">
            <v>0.01</v>
          </cell>
          <cell r="T53">
            <v>0.01</v>
          </cell>
        </row>
        <row r="54">
          <cell r="B54" t="str">
            <v>VRF-New</v>
          </cell>
          <cell r="C54">
            <v>0.245</v>
          </cell>
          <cell r="D54">
            <v>0.68599999999999994</v>
          </cell>
          <cell r="E54">
            <v>0.68599999999999994</v>
          </cell>
          <cell r="F54">
            <v>0.245</v>
          </cell>
          <cell r="G54">
            <v>0.68599999999999994</v>
          </cell>
          <cell r="H54">
            <v>0.68599999999999994</v>
          </cell>
          <cell r="I54">
            <v>0.245</v>
          </cell>
          <cell r="J54">
            <v>0.245</v>
          </cell>
          <cell r="K54">
            <v>0.245</v>
          </cell>
          <cell r="L54">
            <v>0.245</v>
          </cell>
          <cell r="M54">
            <v>0.68599999999999994</v>
          </cell>
          <cell r="N54">
            <v>0.68599999999999994</v>
          </cell>
          <cell r="O54">
            <v>0.245</v>
          </cell>
          <cell r="P54">
            <v>0.245</v>
          </cell>
          <cell r="Q54">
            <v>0.245</v>
          </cell>
          <cell r="R54">
            <v>0.68599999999999994</v>
          </cell>
          <cell r="S54">
            <v>0.68599999999999994</v>
          </cell>
          <cell r="T54">
            <v>0.68599999999999994</v>
          </cell>
        </row>
        <row r="55">
          <cell r="B55" t="str">
            <v>VRF-Retro</v>
          </cell>
          <cell r="C55">
            <v>2.4820152866650024E-2</v>
          </cell>
          <cell r="D55">
            <v>6.9496428026620066E-2</v>
          </cell>
          <cell r="E55">
            <v>6.9496428026620066E-2</v>
          </cell>
          <cell r="F55">
            <v>1.8749999999999999E-2</v>
          </cell>
          <cell r="G55">
            <v>5.2499999999999998E-2</v>
          </cell>
          <cell r="H55">
            <v>5.2499999999999998E-2</v>
          </cell>
          <cell r="I55">
            <v>1.8749999999999999E-2</v>
          </cell>
          <cell r="J55">
            <v>1.8749999999999999E-2</v>
          </cell>
          <cell r="K55">
            <v>1.8749999999999999E-2</v>
          </cell>
          <cell r="L55">
            <v>1.8749999999999999E-2</v>
          </cell>
          <cell r="M55">
            <v>5.2499999999999998E-2</v>
          </cell>
          <cell r="N55">
            <v>5.2499999999999998E-2</v>
          </cell>
          <cell r="O55">
            <v>1.8749999999999999E-2</v>
          </cell>
          <cell r="P55">
            <v>1.8749999999999999E-2</v>
          </cell>
          <cell r="Q55">
            <v>1.8749999999999999E-2</v>
          </cell>
          <cell r="R55">
            <v>5.2499999999999998E-2</v>
          </cell>
          <cell r="S55">
            <v>5.2499999999999998E-2</v>
          </cell>
          <cell r="T55">
            <v>5.2499999999999998E-2</v>
          </cell>
        </row>
        <row r="61">
          <cell r="B61" t="str">
            <v>Top Daylighting-New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B62" t="str">
            <v>Perimeter Daylighting Controls Advanced-New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B63" t="str">
            <v>Perimeter Daylighting Controls Advanced-NR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>Lighting Controls Interior-New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>Lighting Controls Interior-NR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Exterior Building Lighting-New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B67" t="str">
            <v>Exterior Building Lighting-NR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B68" t="str">
            <v>Street and Roadway Lighting-New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B69" t="str">
            <v>Street and Roadway Lighting-NR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Parking Lighting-New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Parking Lighting-NR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B72" t="str">
            <v>Luminaire Level Lighting Controls-Retro</v>
          </cell>
          <cell r="C72">
            <v>0.01</v>
          </cell>
          <cell r="D72">
            <v>0.01</v>
          </cell>
          <cell r="E72">
            <v>0.01</v>
          </cell>
          <cell r="F72">
            <v>0.01</v>
          </cell>
          <cell r="G72">
            <v>0.01</v>
          </cell>
          <cell r="H72">
            <v>0.01</v>
          </cell>
          <cell r="I72">
            <v>0.01</v>
          </cell>
          <cell r="J72">
            <v>0.01</v>
          </cell>
          <cell r="K72">
            <v>0.01</v>
          </cell>
          <cell r="L72">
            <v>0.01</v>
          </cell>
          <cell r="M72">
            <v>0.01</v>
          </cell>
          <cell r="N72">
            <v>0.01</v>
          </cell>
          <cell r="O72">
            <v>0.01</v>
          </cell>
          <cell r="P72">
            <v>0.01</v>
          </cell>
          <cell r="Q72">
            <v>0.01</v>
          </cell>
          <cell r="R72">
            <v>0.01</v>
          </cell>
          <cell r="S72">
            <v>0.01</v>
          </cell>
          <cell r="T72">
            <v>0.01</v>
          </cell>
        </row>
        <row r="73">
          <cell r="B73" t="str">
            <v>ECM-VAV-New</v>
          </cell>
          <cell r="C73">
            <v>0.6</v>
          </cell>
          <cell r="D73">
            <v>0.7</v>
          </cell>
          <cell r="E73">
            <v>0.9</v>
          </cell>
          <cell r="F73">
            <v>0.9</v>
          </cell>
          <cell r="G73">
            <v>0.9</v>
          </cell>
          <cell r="H73">
            <v>0.9</v>
          </cell>
          <cell r="I73">
            <v>0.6</v>
          </cell>
          <cell r="J73">
            <v>0.9</v>
          </cell>
          <cell r="K73">
            <v>0.6</v>
          </cell>
          <cell r="L73">
            <v>0.9</v>
          </cell>
          <cell r="M73">
            <v>0.9</v>
          </cell>
          <cell r="N73">
            <v>0.9</v>
          </cell>
          <cell r="O73">
            <v>0.9</v>
          </cell>
          <cell r="P73">
            <v>0.9</v>
          </cell>
          <cell r="Q73">
            <v>0.6</v>
          </cell>
          <cell r="R73">
            <v>0.9</v>
          </cell>
          <cell r="S73">
            <v>0.9</v>
          </cell>
          <cell r="T73">
            <v>0.6</v>
          </cell>
        </row>
        <row r="74">
          <cell r="B74" t="str">
            <v>ECM-VAV-NR</v>
          </cell>
          <cell r="C74">
            <v>0.8</v>
          </cell>
          <cell r="D74">
            <v>0.8</v>
          </cell>
          <cell r="E74">
            <v>0.9</v>
          </cell>
          <cell r="F74">
            <v>0.9</v>
          </cell>
          <cell r="G74">
            <v>0.9</v>
          </cell>
          <cell r="H74">
            <v>0.9</v>
          </cell>
          <cell r="I74">
            <v>0.8</v>
          </cell>
          <cell r="J74">
            <v>0.9</v>
          </cell>
          <cell r="K74">
            <v>0.8</v>
          </cell>
          <cell r="L74">
            <v>0.9</v>
          </cell>
          <cell r="M74">
            <v>0.9</v>
          </cell>
          <cell r="N74">
            <v>0.9</v>
          </cell>
          <cell r="O74">
            <v>0.9</v>
          </cell>
          <cell r="P74">
            <v>0.9</v>
          </cell>
          <cell r="Q74">
            <v>0.8</v>
          </cell>
          <cell r="R74">
            <v>0.9</v>
          </cell>
          <cell r="S74">
            <v>0.9</v>
          </cell>
          <cell r="T74">
            <v>0.8</v>
          </cell>
        </row>
        <row r="75">
          <cell r="B75" t="str">
            <v>Pool pumps-Retro</v>
          </cell>
          <cell r="C75">
            <v>0.01</v>
          </cell>
          <cell r="D75">
            <v>0.01</v>
          </cell>
          <cell r="E75">
            <v>0.01</v>
          </cell>
          <cell r="F75">
            <v>0.01</v>
          </cell>
          <cell r="G75">
            <v>0.01</v>
          </cell>
          <cell r="H75">
            <v>0.01</v>
          </cell>
          <cell r="I75">
            <v>0.01</v>
          </cell>
          <cell r="J75">
            <v>0.01</v>
          </cell>
          <cell r="K75">
            <v>0.01</v>
          </cell>
          <cell r="L75">
            <v>0.01</v>
          </cell>
          <cell r="M75">
            <v>0.01</v>
          </cell>
          <cell r="N75">
            <v>0.01</v>
          </cell>
          <cell r="O75">
            <v>0.01</v>
          </cell>
          <cell r="P75">
            <v>0.01</v>
          </cell>
          <cell r="Q75">
            <v>0.01</v>
          </cell>
          <cell r="R75">
            <v>0.01</v>
          </cell>
          <cell r="S75">
            <v>0.01</v>
          </cell>
          <cell r="T75">
            <v>0.01</v>
          </cell>
        </row>
        <row r="76">
          <cell r="B76" t="str">
            <v>MotorsRewind-New</v>
          </cell>
          <cell r="C76">
            <v>0.01</v>
          </cell>
          <cell r="D76">
            <v>0.01</v>
          </cell>
          <cell r="E76">
            <v>0.01</v>
          </cell>
          <cell r="F76">
            <v>0.01</v>
          </cell>
          <cell r="G76">
            <v>0.01</v>
          </cell>
          <cell r="H76">
            <v>0.01</v>
          </cell>
          <cell r="I76">
            <v>0.01</v>
          </cell>
          <cell r="J76">
            <v>0.01</v>
          </cell>
          <cell r="K76">
            <v>0.01</v>
          </cell>
          <cell r="L76">
            <v>0.01</v>
          </cell>
          <cell r="M76">
            <v>0.01</v>
          </cell>
          <cell r="N76">
            <v>0.01</v>
          </cell>
          <cell r="O76">
            <v>0.01</v>
          </cell>
          <cell r="P76">
            <v>0.01</v>
          </cell>
          <cell r="Q76">
            <v>0.01</v>
          </cell>
          <cell r="R76">
            <v>0.01</v>
          </cell>
          <cell r="S76">
            <v>0.01</v>
          </cell>
          <cell r="T76">
            <v>0.01</v>
          </cell>
        </row>
        <row r="77">
          <cell r="B77" t="str">
            <v>MotorsRewind-NR</v>
          </cell>
          <cell r="C77">
            <v>0.01</v>
          </cell>
          <cell r="D77">
            <v>0.01</v>
          </cell>
          <cell r="E77">
            <v>0.01</v>
          </cell>
          <cell r="F77">
            <v>0.01</v>
          </cell>
          <cell r="G77">
            <v>0.01</v>
          </cell>
          <cell r="H77">
            <v>0.01</v>
          </cell>
          <cell r="I77">
            <v>0.01</v>
          </cell>
          <cell r="J77">
            <v>0.01</v>
          </cell>
          <cell r="K77">
            <v>0.01</v>
          </cell>
          <cell r="L77">
            <v>0.01</v>
          </cell>
          <cell r="M77">
            <v>0.01</v>
          </cell>
          <cell r="N77">
            <v>0.01</v>
          </cell>
          <cell r="O77">
            <v>0.01</v>
          </cell>
          <cell r="P77">
            <v>0.01</v>
          </cell>
          <cell r="Q77">
            <v>0.01</v>
          </cell>
          <cell r="R77">
            <v>0.01</v>
          </cell>
          <cell r="S77">
            <v>0.01</v>
          </cell>
          <cell r="T77">
            <v>0.01</v>
          </cell>
        </row>
        <row r="78">
          <cell r="B78" t="str">
            <v>Municipal Sewage Treatment-Retro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B79" t="str">
            <v>Municipal Water Supply-Retro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B80" t="str">
            <v>Engine Generator Block Heaters-Retro</v>
          </cell>
          <cell r="C80">
            <v>0.01</v>
          </cell>
          <cell r="D80">
            <v>0.01</v>
          </cell>
          <cell r="E80">
            <v>0.01</v>
          </cell>
          <cell r="F80">
            <v>0.01</v>
          </cell>
          <cell r="G80">
            <v>0.01</v>
          </cell>
          <cell r="H80">
            <v>0.01</v>
          </cell>
          <cell r="I80">
            <v>0.01</v>
          </cell>
          <cell r="J80">
            <v>0.01</v>
          </cell>
          <cell r="K80">
            <v>0.01</v>
          </cell>
          <cell r="L80">
            <v>0.01</v>
          </cell>
          <cell r="M80">
            <v>0.01</v>
          </cell>
          <cell r="N80">
            <v>0.01</v>
          </cell>
          <cell r="O80">
            <v>0.01</v>
          </cell>
          <cell r="P80">
            <v>0.01</v>
          </cell>
          <cell r="Q80">
            <v>0.01</v>
          </cell>
          <cell r="R80">
            <v>0.01</v>
          </cell>
          <cell r="S80">
            <v>0.01</v>
          </cell>
          <cell r="T80">
            <v>0.01</v>
          </cell>
        </row>
        <row r="81">
          <cell r="B81" t="str">
            <v>Grocery Refrigeration Bundle-Retro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B82" t="str">
            <v>Packaged Refrigeration Equipment-New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Appliances - Freezers-NR</v>
          </cell>
          <cell r="C83">
            <v>0.01</v>
          </cell>
          <cell r="D83">
            <v>0.01</v>
          </cell>
          <cell r="E83">
            <v>0.01</v>
          </cell>
          <cell r="F83">
            <v>0.01</v>
          </cell>
          <cell r="G83">
            <v>0.01</v>
          </cell>
          <cell r="H83">
            <v>0.01</v>
          </cell>
          <cell r="I83">
            <v>0.01</v>
          </cell>
          <cell r="J83">
            <v>0.01</v>
          </cell>
          <cell r="K83">
            <v>0.01</v>
          </cell>
          <cell r="L83">
            <v>0.01</v>
          </cell>
          <cell r="M83">
            <v>0.01</v>
          </cell>
          <cell r="N83">
            <v>0.01</v>
          </cell>
          <cell r="O83">
            <v>0.01</v>
          </cell>
          <cell r="P83">
            <v>0.01</v>
          </cell>
          <cell r="Q83">
            <v>0.01</v>
          </cell>
          <cell r="R83">
            <v>0.01</v>
          </cell>
          <cell r="S83">
            <v>0.01</v>
          </cell>
          <cell r="T83">
            <v>0.01</v>
          </cell>
        </row>
        <row r="84">
          <cell r="B84" t="str">
            <v>Appliances - Refrigerators-NR</v>
          </cell>
          <cell r="C84">
            <v>0.01</v>
          </cell>
          <cell r="D84">
            <v>0.01</v>
          </cell>
          <cell r="E84">
            <v>0.01</v>
          </cell>
          <cell r="F84">
            <v>0.01</v>
          </cell>
          <cell r="G84">
            <v>0.01</v>
          </cell>
          <cell r="H84">
            <v>0.01</v>
          </cell>
          <cell r="I84">
            <v>0.01</v>
          </cell>
          <cell r="J84">
            <v>0.01</v>
          </cell>
          <cell r="K84">
            <v>0.01</v>
          </cell>
          <cell r="L84">
            <v>0.01</v>
          </cell>
          <cell r="M84">
            <v>0.01</v>
          </cell>
          <cell r="N84">
            <v>0.01</v>
          </cell>
          <cell r="O84">
            <v>0.01</v>
          </cell>
          <cell r="P84">
            <v>0.01</v>
          </cell>
          <cell r="Q84">
            <v>0.01</v>
          </cell>
          <cell r="R84">
            <v>0.01</v>
          </cell>
          <cell r="S84">
            <v>0.01</v>
          </cell>
          <cell r="T84">
            <v>0.01</v>
          </cell>
        </row>
        <row r="85">
          <cell r="B85" t="str">
            <v>Water Cooler Controls-Retro</v>
          </cell>
          <cell r="C85">
            <v>0.01</v>
          </cell>
          <cell r="D85">
            <v>0.01</v>
          </cell>
          <cell r="E85">
            <v>0.01</v>
          </cell>
          <cell r="F85">
            <v>0.01</v>
          </cell>
          <cell r="G85">
            <v>0.01</v>
          </cell>
          <cell r="H85">
            <v>0.01</v>
          </cell>
          <cell r="I85">
            <v>0.01</v>
          </cell>
          <cell r="J85">
            <v>0.01</v>
          </cell>
          <cell r="K85">
            <v>0.01</v>
          </cell>
          <cell r="L85">
            <v>0.01</v>
          </cell>
          <cell r="M85">
            <v>0.01</v>
          </cell>
          <cell r="N85">
            <v>0.01</v>
          </cell>
          <cell r="O85">
            <v>0.01</v>
          </cell>
          <cell r="P85">
            <v>0.01</v>
          </cell>
          <cell r="Q85">
            <v>0.01</v>
          </cell>
          <cell r="R85">
            <v>0.01</v>
          </cell>
          <cell r="S85">
            <v>0.01</v>
          </cell>
          <cell r="T85">
            <v>0.01</v>
          </cell>
        </row>
        <row r="86">
          <cell r="B86" t="str">
            <v>WHTanks-New</v>
          </cell>
          <cell r="C86">
            <v>1</v>
          </cell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</row>
        <row r="87">
          <cell r="B87" t="str">
            <v>WHTanks-NR</v>
          </cell>
          <cell r="C87">
            <v>1</v>
          </cell>
          <cell r="D87">
            <v>1</v>
          </cell>
          <cell r="E87">
            <v>1</v>
          </cell>
          <cell r="F87">
            <v>1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</row>
        <row r="88">
          <cell r="B88" t="str">
            <v>Appliances - Clothes Washers-NR</v>
          </cell>
          <cell r="C88">
            <v>0.01</v>
          </cell>
          <cell r="D88">
            <v>0.01</v>
          </cell>
          <cell r="E88">
            <v>0.01</v>
          </cell>
          <cell r="F88">
            <v>0.01</v>
          </cell>
          <cell r="G88">
            <v>0.01</v>
          </cell>
          <cell r="H88">
            <v>0.01</v>
          </cell>
          <cell r="I88">
            <v>0.01</v>
          </cell>
          <cell r="J88">
            <v>0.01</v>
          </cell>
          <cell r="K88">
            <v>0.01</v>
          </cell>
          <cell r="L88">
            <v>0.01</v>
          </cell>
          <cell r="M88">
            <v>0.01</v>
          </cell>
          <cell r="N88">
            <v>0.01</v>
          </cell>
          <cell r="O88">
            <v>0.01</v>
          </cell>
          <cell r="P88">
            <v>0.01</v>
          </cell>
          <cell r="Q88">
            <v>0.01</v>
          </cell>
          <cell r="R88">
            <v>0.01</v>
          </cell>
          <cell r="S88">
            <v>0.01</v>
          </cell>
          <cell r="T88">
            <v>0.01</v>
          </cell>
        </row>
        <row r="89">
          <cell r="B89" t="str">
            <v>Showerheads-Retro</v>
          </cell>
          <cell r="C89">
            <v>0.8</v>
          </cell>
          <cell r="D89">
            <v>0.8</v>
          </cell>
          <cell r="E89">
            <v>0.8</v>
          </cell>
          <cell r="F89">
            <v>0.8</v>
          </cell>
          <cell r="G89">
            <v>0.8</v>
          </cell>
          <cell r="H89">
            <v>0.8</v>
          </cell>
          <cell r="I89">
            <v>0.8</v>
          </cell>
          <cell r="J89">
            <v>0.8</v>
          </cell>
          <cell r="K89">
            <v>0.8</v>
          </cell>
          <cell r="L89">
            <v>0.8</v>
          </cell>
          <cell r="M89">
            <v>0.8</v>
          </cell>
          <cell r="N89">
            <v>0.8</v>
          </cell>
          <cell r="O89">
            <v>0.8</v>
          </cell>
          <cell r="P89">
            <v>0.8</v>
          </cell>
          <cell r="Q89">
            <v>0.8</v>
          </cell>
          <cell r="R89">
            <v>0.8</v>
          </cell>
          <cell r="S89">
            <v>0.8</v>
          </cell>
          <cell r="T89">
            <v>0.8</v>
          </cell>
        </row>
        <row r="90">
          <cell r="B90" t="str">
            <v>Water Heating - GFHX-New</v>
          </cell>
          <cell r="C90">
            <v>0.01</v>
          </cell>
          <cell r="D90">
            <v>0.01</v>
          </cell>
          <cell r="E90">
            <v>0.01</v>
          </cell>
          <cell r="F90">
            <v>0.01</v>
          </cell>
          <cell r="G90">
            <v>0.01</v>
          </cell>
          <cell r="H90">
            <v>0.01</v>
          </cell>
          <cell r="I90">
            <v>0.01</v>
          </cell>
          <cell r="J90">
            <v>0.01</v>
          </cell>
          <cell r="K90">
            <v>0.01</v>
          </cell>
          <cell r="L90">
            <v>0.01</v>
          </cell>
          <cell r="M90">
            <v>0.01</v>
          </cell>
          <cell r="N90">
            <v>0.01</v>
          </cell>
          <cell r="O90">
            <v>0.01</v>
          </cell>
          <cell r="P90">
            <v>0.01</v>
          </cell>
          <cell r="Q90">
            <v>0.01</v>
          </cell>
          <cell r="R90">
            <v>0.01</v>
          </cell>
          <cell r="S90">
            <v>0.01</v>
          </cell>
          <cell r="T90">
            <v>0.01</v>
          </cell>
        </row>
        <row r="91">
          <cell r="B91" t="str">
            <v>Demand Control Circulating system DHW-Retro</v>
          </cell>
          <cell r="C91">
            <v>0.01</v>
          </cell>
          <cell r="D91">
            <v>0.01</v>
          </cell>
          <cell r="E91">
            <v>0.01</v>
          </cell>
          <cell r="F91">
            <v>0.01</v>
          </cell>
          <cell r="G91">
            <v>0.01</v>
          </cell>
          <cell r="H91">
            <v>0.01</v>
          </cell>
          <cell r="I91">
            <v>0.01</v>
          </cell>
          <cell r="J91">
            <v>0.01</v>
          </cell>
          <cell r="K91">
            <v>0.01</v>
          </cell>
          <cell r="L91">
            <v>0.01</v>
          </cell>
          <cell r="M91">
            <v>0.01</v>
          </cell>
          <cell r="N91">
            <v>0.01</v>
          </cell>
          <cell r="O91">
            <v>0.01</v>
          </cell>
          <cell r="P91">
            <v>0.01</v>
          </cell>
          <cell r="Q91">
            <v>0.01</v>
          </cell>
          <cell r="R91">
            <v>0.01</v>
          </cell>
          <cell r="S91">
            <v>0.01</v>
          </cell>
          <cell r="T91">
            <v>0.01</v>
          </cell>
        </row>
        <row r="92">
          <cell r="B92" t="str">
            <v>Central HPWH MF-Retro</v>
          </cell>
          <cell r="C92">
            <v>0.01</v>
          </cell>
          <cell r="D92">
            <v>0.01</v>
          </cell>
          <cell r="E92">
            <v>0.01</v>
          </cell>
          <cell r="F92">
            <v>0.01</v>
          </cell>
          <cell r="G92">
            <v>0.01</v>
          </cell>
          <cell r="H92">
            <v>0.01</v>
          </cell>
          <cell r="I92">
            <v>0.01</v>
          </cell>
          <cell r="J92">
            <v>0.01</v>
          </cell>
          <cell r="K92">
            <v>0.01</v>
          </cell>
          <cell r="L92">
            <v>0.01</v>
          </cell>
          <cell r="M92">
            <v>0.01</v>
          </cell>
          <cell r="N92">
            <v>0.01</v>
          </cell>
          <cell r="O92">
            <v>0.01</v>
          </cell>
          <cell r="P92">
            <v>0.01</v>
          </cell>
          <cell r="Q92">
            <v>0.01</v>
          </cell>
          <cell r="R92">
            <v>0.01</v>
          </cell>
          <cell r="S92">
            <v>0.01</v>
          </cell>
          <cell r="T92">
            <v>0.01</v>
          </cell>
        </row>
        <row r="93">
          <cell r="B93" t="str">
            <v>Ultra Low Energy Building-New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B94" t="str">
            <v>HPLowPowerGSFL-NR</v>
          </cell>
          <cell r="C94">
            <v>1</v>
          </cell>
          <cell r="D94">
            <v>1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1</v>
          </cell>
        </row>
      </sheetData>
      <sheetData sheetId="4"/>
      <sheetData sheetId="5">
        <row r="11">
          <cell r="B11" t="str">
            <v>Measure Index Name</v>
          </cell>
          <cell r="C11" t="str">
            <v>Large Off</v>
          </cell>
          <cell r="D11" t="str">
            <v>Medium Off</v>
          </cell>
          <cell r="E11" t="str">
            <v>Small Off</v>
          </cell>
          <cell r="F11" t="str">
            <v>Xlarge Ret</v>
          </cell>
          <cell r="G11" t="str">
            <v>Large Ret</v>
          </cell>
          <cell r="H11" t="str">
            <v>Medium Ret</v>
          </cell>
          <cell r="I11" t="str">
            <v>Small Ret</v>
          </cell>
          <cell r="J11" t="str">
            <v>School K-12</v>
          </cell>
          <cell r="K11" t="str">
            <v>University</v>
          </cell>
          <cell r="L11" t="str">
            <v>Warehouse</v>
          </cell>
          <cell r="M11" t="str">
            <v>Supermarket</v>
          </cell>
          <cell r="N11" t="str">
            <v>MiniMart</v>
          </cell>
          <cell r="O11" t="str">
            <v>Restaurant</v>
          </cell>
          <cell r="P11" t="str">
            <v>Lodging</v>
          </cell>
          <cell r="Q11" t="str">
            <v>Hospital</v>
          </cell>
          <cell r="R11" t="str">
            <v>Residential Care</v>
          </cell>
          <cell r="S11" t="str">
            <v>Assembly</v>
          </cell>
          <cell r="T11" t="str">
            <v>Other</v>
          </cell>
          <cell r="U11" t="str">
            <v>Non-Building Stock</v>
          </cell>
        </row>
        <row r="17">
          <cell r="B17" t="str">
            <v>Data Centers-Retro</v>
          </cell>
          <cell r="C17" t="str">
            <v>_PRE2013</v>
          </cell>
          <cell r="D17" t="str">
            <v>_PRE2013</v>
          </cell>
          <cell r="E17" t="str">
            <v>_PRE2013</v>
          </cell>
          <cell r="F17" t="str">
            <v>_PRE2013</v>
          </cell>
          <cell r="G17" t="str">
            <v>_PRE2013</v>
          </cell>
          <cell r="H17" t="str">
            <v>_PRE2013</v>
          </cell>
          <cell r="I17" t="str">
            <v>_PRE2013</v>
          </cell>
          <cell r="J17" t="str">
            <v>_PRE2013</v>
          </cell>
          <cell r="K17" t="str">
            <v>_PRE2013</v>
          </cell>
          <cell r="L17" t="str">
            <v>_PRE2013</v>
          </cell>
          <cell r="M17" t="str">
            <v>_PRE2013</v>
          </cell>
          <cell r="N17" t="str">
            <v>_PRE2013</v>
          </cell>
          <cell r="O17" t="str">
            <v>_PRE2013</v>
          </cell>
          <cell r="P17" t="str">
            <v>_PRE2013</v>
          </cell>
          <cell r="Q17" t="str">
            <v>_PRE2013</v>
          </cell>
          <cell r="R17" t="str">
            <v>_PRE2013</v>
          </cell>
          <cell r="S17" t="str">
            <v>_PRE2013</v>
          </cell>
          <cell r="T17" t="str">
            <v>_PRE2013</v>
          </cell>
        </row>
        <row r="18">
          <cell r="B18" t="str">
            <v>Commercial Computer Monitor-NR</v>
          </cell>
          <cell r="C18" t="str">
            <v>_PRE2013</v>
          </cell>
          <cell r="D18" t="str">
            <v>_PRE2013</v>
          </cell>
          <cell r="E18" t="str">
            <v>_PRE2013</v>
          </cell>
          <cell r="F18" t="str">
            <v>_PRE2013</v>
          </cell>
          <cell r="G18" t="str">
            <v>_PRE2013</v>
          </cell>
          <cell r="H18" t="str">
            <v>_PRE2013</v>
          </cell>
          <cell r="I18" t="str">
            <v>_PRE2013</v>
          </cell>
          <cell r="J18" t="str">
            <v>_PRE2013</v>
          </cell>
          <cell r="K18" t="str">
            <v>_PRE2013</v>
          </cell>
          <cell r="L18" t="str">
            <v>_PRE2013</v>
          </cell>
          <cell r="M18" t="str">
            <v>_PRE2013</v>
          </cell>
          <cell r="N18" t="str">
            <v>_PRE2013</v>
          </cell>
          <cell r="O18" t="str">
            <v>_PRE2013</v>
          </cell>
          <cell r="P18" t="str">
            <v>_PRE2013</v>
          </cell>
          <cell r="Q18" t="str">
            <v>_PRE2013</v>
          </cell>
          <cell r="R18" t="str">
            <v>_PRE2013</v>
          </cell>
          <cell r="S18" t="str">
            <v>_PRE2013</v>
          </cell>
          <cell r="T18" t="str">
            <v>_PRE2013</v>
          </cell>
        </row>
        <row r="19">
          <cell r="B19" t="str">
            <v>Commercial Computer Desktop-NR</v>
          </cell>
          <cell r="C19" t="str">
            <v>_PRE2013</v>
          </cell>
          <cell r="D19" t="str">
            <v>_PRE2013</v>
          </cell>
          <cell r="E19" t="str">
            <v>_PRE2013</v>
          </cell>
          <cell r="F19" t="str">
            <v>_PRE2013</v>
          </cell>
          <cell r="G19" t="str">
            <v>_PRE2013</v>
          </cell>
          <cell r="H19" t="str">
            <v>_PRE2013</v>
          </cell>
          <cell r="I19" t="str">
            <v>_PRE2013</v>
          </cell>
          <cell r="J19" t="str">
            <v>_PRE2013</v>
          </cell>
          <cell r="K19" t="str">
            <v>_PRE2013</v>
          </cell>
          <cell r="L19" t="str">
            <v>_PRE2013</v>
          </cell>
          <cell r="M19" t="str">
            <v>_PRE2013</v>
          </cell>
          <cell r="N19" t="str">
            <v>_PRE2013</v>
          </cell>
          <cell r="O19" t="str">
            <v>_PRE2013</v>
          </cell>
          <cell r="P19" t="str">
            <v>_PRE2013</v>
          </cell>
          <cell r="Q19" t="str">
            <v>_PRE2013</v>
          </cell>
          <cell r="R19" t="str">
            <v>_PRE2013</v>
          </cell>
          <cell r="S19" t="str">
            <v>_PRE2013</v>
          </cell>
          <cell r="T19" t="str">
            <v>_PRE2013</v>
          </cell>
        </row>
        <row r="20">
          <cell r="B20" t="str">
            <v>Pre-Rinse Spray Valve-Retro</v>
          </cell>
          <cell r="C20" t="str">
            <v>_PRE2013</v>
          </cell>
          <cell r="D20" t="str">
            <v>_PRE2013</v>
          </cell>
          <cell r="E20" t="str">
            <v>_PRE2013</v>
          </cell>
          <cell r="F20" t="str">
            <v>_PRE2013</v>
          </cell>
          <cell r="G20" t="str">
            <v>_PRE2013</v>
          </cell>
          <cell r="H20" t="str">
            <v>_PRE2013</v>
          </cell>
          <cell r="I20" t="str">
            <v>_PRE2013</v>
          </cell>
          <cell r="J20" t="str">
            <v>_PRE2013</v>
          </cell>
          <cell r="K20" t="str">
            <v>_PRE2013</v>
          </cell>
          <cell r="L20" t="str">
            <v>_PRE2013</v>
          </cell>
          <cell r="M20" t="str">
            <v>_PRE2013</v>
          </cell>
          <cell r="N20" t="str">
            <v>_PRE2013</v>
          </cell>
          <cell r="O20" t="str">
            <v>_PRE2013</v>
          </cell>
          <cell r="P20" t="str">
            <v>_PRE2013</v>
          </cell>
          <cell r="Q20" t="str">
            <v>_PRE2013</v>
          </cell>
          <cell r="R20" t="str">
            <v>_PRE2013</v>
          </cell>
          <cell r="S20" t="str">
            <v>_PRE2013</v>
          </cell>
          <cell r="T20" t="str">
            <v>_PRE2013</v>
          </cell>
        </row>
        <row r="21">
          <cell r="B21" t="str">
            <v>Cooking Equipment-NR</v>
          </cell>
          <cell r="C21" t="str">
            <v>POST2013</v>
          </cell>
          <cell r="D21" t="str">
            <v>POST2013</v>
          </cell>
          <cell r="E21" t="str">
            <v>POST2013</v>
          </cell>
          <cell r="F21" t="str">
            <v>POST2013</v>
          </cell>
          <cell r="G21" t="str">
            <v>POST2013</v>
          </cell>
          <cell r="H21" t="str">
            <v>POST2013</v>
          </cell>
          <cell r="I21" t="str">
            <v>POST2013</v>
          </cell>
          <cell r="J21" t="str">
            <v>POST2013</v>
          </cell>
          <cell r="K21" t="str">
            <v>POST2013</v>
          </cell>
          <cell r="L21" t="str">
            <v>POST2013</v>
          </cell>
          <cell r="M21" t="str">
            <v>POST2013</v>
          </cell>
          <cell r="N21" t="str">
            <v>POST2013</v>
          </cell>
          <cell r="O21" t="str">
            <v>POST2013</v>
          </cell>
          <cell r="P21" t="str">
            <v>POST2013</v>
          </cell>
          <cell r="Q21" t="str">
            <v>POST2013</v>
          </cell>
          <cell r="R21" t="str">
            <v>POST2013</v>
          </cell>
          <cell r="S21" t="str">
            <v>POST2013</v>
          </cell>
          <cell r="T21" t="str">
            <v>POST2013</v>
          </cell>
        </row>
        <row r="22">
          <cell r="B22" t="str">
            <v>Premium HVAC Equipment-New</v>
          </cell>
          <cell r="C22" t="str">
            <v>POST2013</v>
          </cell>
          <cell r="D22" t="str">
            <v>POST2013</v>
          </cell>
          <cell r="E22" t="str">
            <v>POST2013</v>
          </cell>
          <cell r="F22" t="str">
            <v>POST2013</v>
          </cell>
          <cell r="G22" t="str">
            <v>POST2013</v>
          </cell>
          <cell r="H22" t="str">
            <v>POST2013</v>
          </cell>
          <cell r="I22" t="str">
            <v>POST2013</v>
          </cell>
          <cell r="J22" t="str">
            <v>POST2013</v>
          </cell>
          <cell r="K22" t="str">
            <v>POST2013</v>
          </cell>
          <cell r="L22" t="str">
            <v>POST2013</v>
          </cell>
          <cell r="M22" t="str">
            <v>POST2013</v>
          </cell>
          <cell r="N22" t="str">
            <v>POST2013</v>
          </cell>
          <cell r="O22" t="str">
            <v>POST2013</v>
          </cell>
          <cell r="P22" t="str">
            <v>POST2013</v>
          </cell>
          <cell r="Q22" t="str">
            <v>POST2013</v>
          </cell>
          <cell r="R22" t="str">
            <v>POST2013</v>
          </cell>
          <cell r="S22" t="str">
            <v>POST2013</v>
          </cell>
          <cell r="T22" t="str">
            <v>POST2013</v>
          </cell>
        </row>
        <row r="23">
          <cell r="B23" t="str">
            <v>Premium HVAC Equipment-NR</v>
          </cell>
          <cell r="C23" t="str">
            <v>POST2013</v>
          </cell>
          <cell r="D23" t="str">
            <v>POST2013</v>
          </cell>
          <cell r="E23" t="str">
            <v>POST2013</v>
          </cell>
          <cell r="F23" t="str">
            <v>POST2013</v>
          </cell>
          <cell r="G23" t="str">
            <v>POST2013</v>
          </cell>
          <cell r="H23" t="str">
            <v>POST2013</v>
          </cell>
          <cell r="I23" t="str">
            <v>POST2013</v>
          </cell>
          <cell r="J23" t="str">
            <v>POST2013</v>
          </cell>
          <cell r="K23" t="str">
            <v>POST2013</v>
          </cell>
          <cell r="L23" t="str">
            <v>POST2013</v>
          </cell>
          <cell r="M23" t="str">
            <v>POST2013</v>
          </cell>
          <cell r="N23" t="str">
            <v>POST2013</v>
          </cell>
          <cell r="O23" t="str">
            <v>POST2013</v>
          </cell>
          <cell r="P23" t="str">
            <v>POST2013</v>
          </cell>
          <cell r="Q23" t="str">
            <v>POST2013</v>
          </cell>
          <cell r="R23" t="str">
            <v>POST2013</v>
          </cell>
          <cell r="S23" t="str">
            <v>POST2013</v>
          </cell>
          <cell r="T23" t="str">
            <v>POST2013</v>
          </cell>
        </row>
        <row r="24">
          <cell r="B24" t="str">
            <v>Glass-New</v>
          </cell>
          <cell r="C24" t="str">
            <v>POST2013</v>
          </cell>
          <cell r="D24" t="str">
            <v>POST2013</v>
          </cell>
          <cell r="E24" t="str">
            <v>POST2013</v>
          </cell>
          <cell r="F24" t="str">
            <v>POST2013</v>
          </cell>
          <cell r="G24" t="str">
            <v>POST2013</v>
          </cell>
          <cell r="H24" t="str">
            <v>POST2013</v>
          </cell>
          <cell r="I24" t="str">
            <v>POST2013</v>
          </cell>
          <cell r="J24" t="str">
            <v>POST2013</v>
          </cell>
          <cell r="K24" t="str">
            <v>POST2013</v>
          </cell>
          <cell r="L24" t="str">
            <v>POST2013</v>
          </cell>
          <cell r="M24" t="str">
            <v>POST2013</v>
          </cell>
          <cell r="N24" t="str">
            <v>POST2013</v>
          </cell>
          <cell r="O24" t="str">
            <v>POST2013</v>
          </cell>
          <cell r="P24" t="str">
            <v>POST2013</v>
          </cell>
          <cell r="Q24" t="str">
            <v>POST2013</v>
          </cell>
          <cell r="R24" t="str">
            <v>POST2013</v>
          </cell>
          <cell r="S24" t="str">
            <v>POST2013</v>
          </cell>
          <cell r="T24" t="str">
            <v>POST2013</v>
          </cell>
        </row>
        <row r="25">
          <cell r="B25" t="str">
            <v>Glass-NR</v>
          </cell>
          <cell r="C25" t="str">
            <v>POST2013</v>
          </cell>
          <cell r="D25" t="str">
            <v>POST2013</v>
          </cell>
          <cell r="E25" t="str">
            <v>POST2013</v>
          </cell>
          <cell r="F25" t="str">
            <v>POST2013</v>
          </cell>
          <cell r="G25" t="str">
            <v>POST2013</v>
          </cell>
          <cell r="H25" t="str">
            <v>POST2013</v>
          </cell>
          <cell r="I25" t="str">
            <v>POST2013</v>
          </cell>
          <cell r="J25" t="str">
            <v>POST2013</v>
          </cell>
          <cell r="K25" t="str">
            <v>POST2013</v>
          </cell>
          <cell r="L25" t="str">
            <v>POST2013</v>
          </cell>
          <cell r="M25" t="str">
            <v>POST2013</v>
          </cell>
          <cell r="N25" t="str">
            <v>POST2013</v>
          </cell>
          <cell r="O25" t="str">
            <v>POST2013</v>
          </cell>
          <cell r="P25" t="str">
            <v>POST2013</v>
          </cell>
          <cell r="Q25" t="str">
            <v>POST2013</v>
          </cell>
          <cell r="R25" t="str">
            <v>POST2013</v>
          </cell>
          <cell r="S25" t="str">
            <v>POST2013</v>
          </cell>
          <cell r="T25" t="str">
            <v>POST2013</v>
          </cell>
        </row>
        <row r="26">
          <cell r="B26" t="str">
            <v>Glass-Retro</v>
          </cell>
          <cell r="C26" t="str">
            <v>_PRE2013</v>
          </cell>
          <cell r="D26" t="str">
            <v>_PRE2013</v>
          </cell>
          <cell r="E26" t="str">
            <v>_PRE2013</v>
          </cell>
          <cell r="F26" t="str">
            <v>_PRE2013</v>
          </cell>
          <cell r="G26" t="str">
            <v>_PRE2013</v>
          </cell>
          <cell r="H26" t="str">
            <v>_PRE2013</v>
          </cell>
          <cell r="I26" t="str">
            <v>_PRE2013</v>
          </cell>
          <cell r="J26" t="str">
            <v>_PRE2013</v>
          </cell>
          <cell r="K26" t="str">
            <v>_PRE2013</v>
          </cell>
          <cell r="L26" t="str">
            <v>_PRE2013</v>
          </cell>
          <cell r="M26" t="str">
            <v>_PRE2013</v>
          </cell>
          <cell r="N26" t="str">
            <v>_PRE2013</v>
          </cell>
          <cell r="O26" t="str">
            <v>_PRE2013</v>
          </cell>
          <cell r="P26" t="str">
            <v>_PRE2013</v>
          </cell>
          <cell r="Q26" t="str">
            <v>_PRE2013</v>
          </cell>
          <cell r="R26" t="str">
            <v>_PRE2013</v>
          </cell>
          <cell r="S26" t="str">
            <v>_PRE2013</v>
          </cell>
          <cell r="T26" t="str">
            <v>_PRE2013</v>
          </cell>
        </row>
        <row r="27">
          <cell r="B27" t="str">
            <v>Advanced Rooftop Controller-New</v>
          </cell>
          <cell r="C27" t="str">
            <v>POST2013</v>
          </cell>
          <cell r="D27" t="str">
            <v>POST2013</v>
          </cell>
          <cell r="E27" t="str">
            <v>POST2013</v>
          </cell>
          <cell r="F27" t="str">
            <v>POST2013</v>
          </cell>
          <cell r="G27" t="str">
            <v>POST2013</v>
          </cell>
          <cell r="H27" t="str">
            <v>POST2013</v>
          </cell>
          <cell r="I27" t="str">
            <v>POST2013</v>
          </cell>
          <cell r="J27" t="str">
            <v>POST2013</v>
          </cell>
          <cell r="K27" t="str">
            <v>POST2013</v>
          </cell>
          <cell r="L27" t="str">
            <v>POST2013</v>
          </cell>
          <cell r="M27" t="str">
            <v>POST2013</v>
          </cell>
          <cell r="N27" t="str">
            <v>POST2013</v>
          </cell>
          <cell r="O27" t="str">
            <v>POST2013</v>
          </cell>
          <cell r="P27" t="str">
            <v>POST2013</v>
          </cell>
          <cell r="Q27" t="str">
            <v>POST2013</v>
          </cell>
          <cell r="R27" t="str">
            <v>POST2013</v>
          </cell>
          <cell r="S27" t="str">
            <v>POST2013</v>
          </cell>
          <cell r="T27" t="str">
            <v>POST2013</v>
          </cell>
        </row>
        <row r="28">
          <cell r="B28" t="str">
            <v>Advanced Rooftop Controller-NR</v>
          </cell>
          <cell r="C28" t="str">
            <v>POST2013</v>
          </cell>
          <cell r="D28" t="str">
            <v>POST2013</v>
          </cell>
          <cell r="E28" t="str">
            <v>POST2013</v>
          </cell>
          <cell r="F28" t="str">
            <v>POST2013</v>
          </cell>
          <cell r="G28" t="str">
            <v>POST2013</v>
          </cell>
          <cell r="H28" t="str">
            <v>POST2013</v>
          </cell>
          <cell r="I28" t="str">
            <v>POST2013</v>
          </cell>
          <cell r="J28" t="str">
            <v>POST2013</v>
          </cell>
          <cell r="K28" t="str">
            <v>POST2013</v>
          </cell>
          <cell r="L28" t="str">
            <v>POST2013</v>
          </cell>
          <cell r="M28" t="str">
            <v>POST2013</v>
          </cell>
          <cell r="N28" t="str">
            <v>POST2013</v>
          </cell>
          <cell r="O28" t="str">
            <v>POST2013</v>
          </cell>
          <cell r="P28" t="str">
            <v>POST2013</v>
          </cell>
          <cell r="Q28" t="str">
            <v>POST2013</v>
          </cell>
          <cell r="R28" t="str">
            <v>POST2013</v>
          </cell>
          <cell r="S28" t="str">
            <v>POST2013</v>
          </cell>
          <cell r="T28" t="str">
            <v>POST2013</v>
          </cell>
        </row>
        <row r="29">
          <cell r="B29" t="str">
            <v>Advanced Rooftop Controller-Retro</v>
          </cell>
          <cell r="C29" t="str">
            <v>_PRE2013</v>
          </cell>
          <cell r="D29" t="str">
            <v>_PRE2013</v>
          </cell>
          <cell r="E29" t="str">
            <v>_PRE2013</v>
          </cell>
          <cell r="F29" t="str">
            <v>_PRE2013</v>
          </cell>
          <cell r="G29" t="str">
            <v>_PRE2013</v>
          </cell>
          <cell r="H29" t="str">
            <v>_PRE2013</v>
          </cell>
          <cell r="I29" t="str">
            <v>_PRE2013</v>
          </cell>
          <cell r="J29" t="str">
            <v>_PRE2013</v>
          </cell>
          <cell r="K29" t="str">
            <v>_PRE2013</v>
          </cell>
          <cell r="L29" t="str">
            <v>_PRE2013</v>
          </cell>
          <cell r="M29" t="str">
            <v>_PRE2013</v>
          </cell>
          <cell r="N29" t="str">
            <v>_PRE2013</v>
          </cell>
          <cell r="O29" t="str">
            <v>_PRE2013</v>
          </cell>
          <cell r="P29" t="str">
            <v>_PRE2013</v>
          </cell>
          <cell r="Q29" t="str">
            <v>_PRE2013</v>
          </cell>
          <cell r="R29" t="str">
            <v>_PRE2013</v>
          </cell>
          <cell r="S29" t="str">
            <v>_PRE2013</v>
          </cell>
          <cell r="T29" t="str">
            <v>_PRE2013</v>
          </cell>
        </row>
        <row r="30">
          <cell r="B30" t="str">
            <v>Variable Speed Chiller-New</v>
          </cell>
          <cell r="C30" t="str">
            <v>POST2013</v>
          </cell>
          <cell r="D30" t="str">
            <v>POST2013</v>
          </cell>
          <cell r="E30" t="str">
            <v>POST2013</v>
          </cell>
          <cell r="F30" t="str">
            <v>POST2013</v>
          </cell>
          <cell r="G30" t="str">
            <v>POST2013</v>
          </cell>
          <cell r="H30" t="str">
            <v>POST2013</v>
          </cell>
          <cell r="I30" t="str">
            <v>POST2013</v>
          </cell>
          <cell r="J30" t="str">
            <v>POST2013</v>
          </cell>
          <cell r="K30" t="str">
            <v>POST2013</v>
          </cell>
          <cell r="L30" t="str">
            <v>POST2013</v>
          </cell>
          <cell r="M30" t="str">
            <v>POST2013</v>
          </cell>
          <cell r="N30" t="str">
            <v>POST2013</v>
          </cell>
          <cell r="O30" t="str">
            <v>POST2013</v>
          </cell>
          <cell r="P30" t="str">
            <v>POST2013</v>
          </cell>
          <cell r="Q30" t="str">
            <v>POST2013</v>
          </cell>
          <cell r="R30" t="str">
            <v>POST2013</v>
          </cell>
          <cell r="S30" t="str">
            <v>POST2013</v>
          </cell>
          <cell r="T30" t="str">
            <v>POST2013</v>
          </cell>
        </row>
        <row r="31">
          <cell r="B31" t="str">
            <v>Variable Speed Chiller-NR</v>
          </cell>
          <cell r="C31" t="str">
            <v>POST2013</v>
          </cell>
          <cell r="D31" t="str">
            <v>POST2013</v>
          </cell>
          <cell r="E31" t="str">
            <v>POST2013</v>
          </cell>
          <cell r="F31" t="str">
            <v>POST2013</v>
          </cell>
          <cell r="G31" t="str">
            <v>POST2013</v>
          </cell>
          <cell r="H31" t="str">
            <v>POST2013</v>
          </cell>
          <cell r="I31" t="str">
            <v>POST2013</v>
          </cell>
          <cell r="J31" t="str">
            <v>POST2013</v>
          </cell>
          <cell r="K31" t="str">
            <v>POST2013</v>
          </cell>
          <cell r="L31" t="str">
            <v>POST2013</v>
          </cell>
          <cell r="M31" t="str">
            <v>POST2013</v>
          </cell>
          <cell r="N31" t="str">
            <v>POST2013</v>
          </cell>
          <cell r="O31" t="str">
            <v>POST2013</v>
          </cell>
          <cell r="P31" t="str">
            <v>POST2013</v>
          </cell>
          <cell r="Q31" t="str">
            <v>POST2013</v>
          </cell>
          <cell r="R31" t="str">
            <v>POST2013</v>
          </cell>
          <cell r="S31" t="str">
            <v>POST2013</v>
          </cell>
          <cell r="T31" t="str">
            <v>POST2013</v>
          </cell>
        </row>
        <row r="32">
          <cell r="B32" t="str">
            <v>Commercial EM-New</v>
          </cell>
          <cell r="C32" t="str">
            <v>POST2013</v>
          </cell>
          <cell r="D32" t="str">
            <v>POST2013</v>
          </cell>
          <cell r="E32" t="str">
            <v>POST2013</v>
          </cell>
          <cell r="F32" t="str">
            <v>POST2013</v>
          </cell>
          <cell r="G32" t="str">
            <v>POST2013</v>
          </cell>
          <cell r="H32" t="str">
            <v>POST2013</v>
          </cell>
          <cell r="I32" t="str">
            <v>POST2013</v>
          </cell>
          <cell r="J32" t="str">
            <v>POST2013</v>
          </cell>
          <cell r="K32" t="str">
            <v>POST2013</v>
          </cell>
          <cell r="L32" t="str">
            <v>POST2013</v>
          </cell>
          <cell r="M32" t="str">
            <v>POST2013</v>
          </cell>
          <cell r="N32" t="str">
            <v>POST2013</v>
          </cell>
          <cell r="O32" t="str">
            <v>POST2013</v>
          </cell>
          <cell r="P32" t="str">
            <v>POST2013</v>
          </cell>
          <cell r="Q32" t="str">
            <v>POST2013</v>
          </cell>
          <cell r="R32" t="str">
            <v>POST2013</v>
          </cell>
          <cell r="S32" t="str">
            <v>POST2013</v>
          </cell>
          <cell r="T32" t="str">
            <v>POST2013</v>
          </cell>
        </row>
        <row r="33">
          <cell r="B33" t="str">
            <v>Commercial EM-NR</v>
          </cell>
          <cell r="C33" t="str">
            <v>POST2013</v>
          </cell>
          <cell r="D33" t="str">
            <v>POST2013</v>
          </cell>
          <cell r="E33" t="str">
            <v>POST2013</v>
          </cell>
          <cell r="F33" t="str">
            <v>POST2013</v>
          </cell>
          <cell r="G33" t="str">
            <v>POST2013</v>
          </cell>
          <cell r="H33" t="str">
            <v>POST2013</v>
          </cell>
          <cell r="I33" t="str">
            <v>POST2013</v>
          </cell>
          <cell r="J33" t="str">
            <v>POST2013</v>
          </cell>
          <cell r="K33" t="str">
            <v>POST2013</v>
          </cell>
          <cell r="L33" t="str">
            <v>POST2013</v>
          </cell>
          <cell r="M33" t="str">
            <v>POST2013</v>
          </cell>
          <cell r="N33" t="str">
            <v>POST2013</v>
          </cell>
          <cell r="O33" t="str">
            <v>POST2013</v>
          </cell>
          <cell r="P33" t="str">
            <v>POST2013</v>
          </cell>
          <cell r="Q33" t="str">
            <v>POST2013</v>
          </cell>
          <cell r="R33" t="str">
            <v>POST2013</v>
          </cell>
          <cell r="S33" t="str">
            <v>POST2013</v>
          </cell>
          <cell r="T33" t="str">
            <v>POST2013</v>
          </cell>
        </row>
        <row r="34">
          <cell r="B34" t="str">
            <v>Commercial EM-Retro</v>
          </cell>
          <cell r="C34" t="str">
            <v>_PRE2013</v>
          </cell>
          <cell r="D34" t="str">
            <v>_PRE2013</v>
          </cell>
          <cell r="E34" t="str">
            <v>_PRE2013</v>
          </cell>
          <cell r="F34" t="str">
            <v>_PRE2013</v>
          </cell>
          <cell r="G34" t="str">
            <v>_PRE2013</v>
          </cell>
          <cell r="H34" t="str">
            <v>_PRE2013</v>
          </cell>
          <cell r="I34" t="str">
            <v>_PRE2013</v>
          </cell>
          <cell r="J34" t="str">
            <v>_PRE2013</v>
          </cell>
          <cell r="K34" t="str">
            <v>_PRE2013</v>
          </cell>
          <cell r="L34" t="str">
            <v>_PRE2013</v>
          </cell>
          <cell r="M34" t="str">
            <v>_PRE2013</v>
          </cell>
          <cell r="N34" t="str">
            <v>_PRE2013</v>
          </cell>
          <cell r="O34" t="str">
            <v>_PRE2013</v>
          </cell>
          <cell r="P34" t="str">
            <v>_PRE2013</v>
          </cell>
          <cell r="Q34" t="str">
            <v>_PRE2013</v>
          </cell>
          <cell r="R34" t="str">
            <v>_PRE2013</v>
          </cell>
          <cell r="S34" t="str">
            <v>_PRE2013</v>
          </cell>
          <cell r="T34" t="str">
            <v>_PRE2013</v>
          </cell>
        </row>
        <row r="35">
          <cell r="B35" t="str">
            <v>Evaporative Assist Cooling-New</v>
          </cell>
          <cell r="C35" t="str">
            <v>POST2013</v>
          </cell>
          <cell r="D35" t="str">
            <v>POST2013</v>
          </cell>
          <cell r="E35" t="str">
            <v>POST2013</v>
          </cell>
          <cell r="F35" t="str">
            <v>POST2013</v>
          </cell>
          <cell r="G35" t="str">
            <v>POST2013</v>
          </cell>
          <cell r="H35" t="str">
            <v>POST2013</v>
          </cell>
          <cell r="I35" t="str">
            <v>POST2013</v>
          </cell>
          <cell r="J35" t="str">
            <v>POST2013</v>
          </cell>
          <cell r="K35" t="str">
            <v>POST2013</v>
          </cell>
          <cell r="L35" t="str">
            <v>POST2013</v>
          </cell>
          <cell r="M35" t="str">
            <v>POST2013</v>
          </cell>
          <cell r="N35" t="str">
            <v>POST2013</v>
          </cell>
          <cell r="O35" t="str">
            <v>POST2013</v>
          </cell>
          <cell r="P35" t="str">
            <v>POST2013</v>
          </cell>
          <cell r="Q35" t="str">
            <v>POST2013</v>
          </cell>
          <cell r="R35" t="str">
            <v>POST2013</v>
          </cell>
          <cell r="S35" t="str">
            <v>POST2013</v>
          </cell>
          <cell r="T35" t="str">
            <v>POST2013</v>
          </cell>
        </row>
        <row r="36">
          <cell r="B36" t="str">
            <v>Evaporative Assist Cooling-NR</v>
          </cell>
          <cell r="C36" t="str">
            <v>POST2013</v>
          </cell>
          <cell r="D36" t="str">
            <v>POST2013</v>
          </cell>
          <cell r="E36" t="str">
            <v>POST2013</v>
          </cell>
          <cell r="F36" t="str">
            <v>POST2013</v>
          </cell>
          <cell r="G36" t="str">
            <v>POST2013</v>
          </cell>
          <cell r="H36" t="str">
            <v>POST2013</v>
          </cell>
          <cell r="I36" t="str">
            <v>POST2013</v>
          </cell>
          <cell r="J36" t="str">
            <v>POST2013</v>
          </cell>
          <cell r="K36" t="str">
            <v>POST2013</v>
          </cell>
          <cell r="L36" t="str">
            <v>POST2013</v>
          </cell>
          <cell r="M36" t="str">
            <v>POST2013</v>
          </cell>
          <cell r="N36" t="str">
            <v>POST2013</v>
          </cell>
          <cell r="O36" t="str">
            <v>POST2013</v>
          </cell>
          <cell r="P36" t="str">
            <v>POST2013</v>
          </cell>
          <cell r="Q36" t="str">
            <v>POST2013</v>
          </cell>
          <cell r="R36" t="str">
            <v>POST2013</v>
          </cell>
          <cell r="S36" t="str">
            <v>POST2013</v>
          </cell>
          <cell r="T36" t="str">
            <v>POST2013</v>
          </cell>
        </row>
        <row r="37">
          <cell r="B37" t="str">
            <v>Low Pressure Distribution Complex HVAC-New</v>
          </cell>
          <cell r="C37" t="str">
            <v>POST2013</v>
          </cell>
          <cell r="D37" t="str">
            <v>POST2013</v>
          </cell>
          <cell r="E37" t="str">
            <v>POST2013</v>
          </cell>
          <cell r="F37" t="str">
            <v>POST2013</v>
          </cell>
          <cell r="G37" t="str">
            <v>POST2013</v>
          </cell>
          <cell r="H37" t="str">
            <v>POST2013</v>
          </cell>
          <cell r="I37" t="str">
            <v>POST2013</v>
          </cell>
          <cell r="J37" t="str">
            <v>POST2013</v>
          </cell>
          <cell r="K37" t="str">
            <v>POST2013</v>
          </cell>
          <cell r="L37" t="str">
            <v>POST2013</v>
          </cell>
          <cell r="M37" t="str">
            <v>POST2013</v>
          </cell>
          <cell r="N37" t="str">
            <v>POST2013</v>
          </cell>
          <cell r="O37" t="str">
            <v>POST2013</v>
          </cell>
          <cell r="P37" t="str">
            <v>POST2013</v>
          </cell>
          <cell r="Q37" t="str">
            <v>POST2013</v>
          </cell>
          <cell r="R37" t="str">
            <v>POST2013</v>
          </cell>
          <cell r="S37" t="str">
            <v>POST2013</v>
          </cell>
          <cell r="T37" t="str">
            <v>POST2013</v>
          </cell>
        </row>
        <row r="38">
          <cell r="B38" t="str">
            <v>Demand Control Ventilation-New</v>
          </cell>
          <cell r="C38" t="str">
            <v>POST2013</v>
          </cell>
          <cell r="D38" t="str">
            <v>POST2013</v>
          </cell>
          <cell r="E38" t="str">
            <v>POST2013</v>
          </cell>
          <cell r="F38" t="str">
            <v>POST2013</v>
          </cell>
          <cell r="G38" t="str">
            <v>POST2013</v>
          </cell>
          <cell r="H38" t="str">
            <v>POST2013</v>
          </cell>
          <cell r="I38" t="str">
            <v>POST2013</v>
          </cell>
          <cell r="J38" t="str">
            <v>POST2013</v>
          </cell>
          <cell r="K38" t="str">
            <v>POST2013</v>
          </cell>
          <cell r="L38" t="str">
            <v>POST2013</v>
          </cell>
          <cell r="M38" t="str">
            <v>POST2013</v>
          </cell>
          <cell r="N38" t="str">
            <v>POST2013</v>
          </cell>
          <cell r="O38" t="str">
            <v>POST2013</v>
          </cell>
          <cell r="P38" t="str">
            <v>POST2013</v>
          </cell>
          <cell r="Q38" t="str">
            <v>POST2013</v>
          </cell>
          <cell r="R38" t="str">
            <v>POST2013</v>
          </cell>
          <cell r="S38" t="str">
            <v>POST2013</v>
          </cell>
          <cell r="T38" t="str">
            <v>POST2013</v>
          </cell>
        </row>
        <row r="39">
          <cell r="B39" t="str">
            <v>Demand Control Ventilation-NR</v>
          </cell>
          <cell r="C39" t="str">
            <v>POST2013</v>
          </cell>
          <cell r="D39" t="str">
            <v>POST2013</v>
          </cell>
          <cell r="E39" t="str">
            <v>POST2013</v>
          </cell>
          <cell r="F39" t="str">
            <v>POST2013</v>
          </cell>
          <cell r="G39" t="str">
            <v>POST2013</v>
          </cell>
          <cell r="H39" t="str">
            <v>POST2013</v>
          </cell>
          <cell r="I39" t="str">
            <v>POST2013</v>
          </cell>
          <cell r="J39" t="str">
            <v>POST2013</v>
          </cell>
          <cell r="K39" t="str">
            <v>POST2013</v>
          </cell>
          <cell r="L39" t="str">
            <v>POST2013</v>
          </cell>
          <cell r="M39" t="str">
            <v>POST2013</v>
          </cell>
          <cell r="N39" t="str">
            <v>POST2013</v>
          </cell>
          <cell r="O39" t="str">
            <v>POST2013</v>
          </cell>
          <cell r="P39" t="str">
            <v>POST2013</v>
          </cell>
          <cell r="Q39" t="str">
            <v>POST2013</v>
          </cell>
          <cell r="R39" t="str">
            <v>POST2013</v>
          </cell>
          <cell r="S39" t="str">
            <v>POST2013</v>
          </cell>
          <cell r="T39" t="str">
            <v>POST2013</v>
          </cell>
        </row>
        <row r="40">
          <cell r="B40" t="str">
            <v>Demand Control Ventilation-Retro</v>
          </cell>
          <cell r="C40" t="str">
            <v>_PRE2013</v>
          </cell>
          <cell r="D40" t="str">
            <v>_PRE2013</v>
          </cell>
          <cell r="E40" t="str">
            <v>_PRE2013</v>
          </cell>
          <cell r="F40" t="str">
            <v>_PRE2013</v>
          </cell>
          <cell r="G40" t="str">
            <v>_PRE2013</v>
          </cell>
          <cell r="H40" t="str">
            <v>_PRE2013</v>
          </cell>
          <cell r="I40" t="str">
            <v>_PRE2013</v>
          </cell>
          <cell r="J40" t="str">
            <v>_PRE2013</v>
          </cell>
          <cell r="K40" t="str">
            <v>_PRE2013</v>
          </cell>
          <cell r="L40" t="str">
            <v>_PRE2013</v>
          </cell>
          <cell r="M40" t="str">
            <v>_PRE2013</v>
          </cell>
          <cell r="N40" t="str">
            <v>_PRE2013</v>
          </cell>
          <cell r="O40" t="str">
            <v>_PRE2013</v>
          </cell>
          <cell r="P40" t="str">
            <v>_PRE2013</v>
          </cell>
          <cell r="Q40" t="str">
            <v>_PRE2013</v>
          </cell>
          <cell r="R40" t="str">
            <v>_PRE2013</v>
          </cell>
          <cell r="S40" t="str">
            <v>_PRE2013</v>
          </cell>
          <cell r="T40" t="str">
            <v>_PRE2013</v>
          </cell>
        </row>
        <row r="41">
          <cell r="B41" t="str">
            <v>Premium Fume Hood-NR</v>
          </cell>
          <cell r="C41" t="str">
            <v>POST2013</v>
          </cell>
          <cell r="D41" t="str">
            <v>POST2013</v>
          </cell>
          <cell r="E41" t="str">
            <v>POST2013</v>
          </cell>
          <cell r="F41" t="str">
            <v>POST2013</v>
          </cell>
          <cell r="G41" t="str">
            <v>POST2013</v>
          </cell>
          <cell r="H41" t="str">
            <v>POST2013</v>
          </cell>
          <cell r="I41" t="str">
            <v>POST2013</v>
          </cell>
          <cell r="J41" t="str">
            <v>POST2013</v>
          </cell>
          <cell r="K41" t="str">
            <v>POST2013</v>
          </cell>
          <cell r="L41" t="str">
            <v>POST2013</v>
          </cell>
          <cell r="M41" t="str">
            <v>POST2013</v>
          </cell>
          <cell r="N41" t="str">
            <v>POST2013</v>
          </cell>
          <cell r="O41" t="str">
            <v>POST2013</v>
          </cell>
          <cell r="P41" t="str">
            <v>POST2013</v>
          </cell>
          <cell r="Q41" t="str">
            <v>POST2013</v>
          </cell>
          <cell r="R41" t="str">
            <v>POST2013</v>
          </cell>
          <cell r="S41" t="str">
            <v>POST2013</v>
          </cell>
          <cell r="T41" t="str">
            <v>POST2013</v>
          </cell>
        </row>
        <row r="42">
          <cell r="B42" t="str">
            <v>DCV Restaurant Hood-Retro</v>
          </cell>
          <cell r="C42" t="str">
            <v>_PRE2013</v>
          </cell>
          <cell r="D42" t="str">
            <v>_PRE2013</v>
          </cell>
          <cell r="E42" t="str">
            <v>_PRE2013</v>
          </cell>
          <cell r="F42" t="str">
            <v>_PRE2013</v>
          </cell>
          <cell r="G42" t="str">
            <v>_PRE2013</v>
          </cell>
          <cell r="H42" t="str">
            <v>_PRE2013</v>
          </cell>
          <cell r="I42" t="str">
            <v>_PRE2013</v>
          </cell>
          <cell r="J42" t="str">
            <v>_PRE2013</v>
          </cell>
          <cell r="K42" t="str">
            <v>_PRE2013</v>
          </cell>
          <cell r="L42" t="str">
            <v>_PRE2013</v>
          </cell>
          <cell r="M42" t="str">
            <v>_PRE2013</v>
          </cell>
          <cell r="N42" t="str">
            <v>_PRE2013</v>
          </cell>
          <cell r="O42" t="str">
            <v>_PRE2013</v>
          </cell>
          <cell r="P42" t="str">
            <v>_PRE2013</v>
          </cell>
          <cell r="Q42" t="str">
            <v>_PRE2013</v>
          </cell>
          <cell r="R42" t="str">
            <v>_PRE2013</v>
          </cell>
          <cell r="S42" t="str">
            <v>_PRE2013</v>
          </cell>
          <cell r="T42" t="str">
            <v>_PRE2013</v>
          </cell>
        </row>
        <row r="43">
          <cell r="B43" t="str">
            <v>DCV Parking Garage-Retro</v>
          </cell>
          <cell r="C43" t="str">
            <v>_PRE2013</v>
          </cell>
          <cell r="D43" t="str">
            <v>_PRE2013</v>
          </cell>
          <cell r="E43" t="str">
            <v>_PRE2013</v>
          </cell>
          <cell r="F43" t="str">
            <v>_PRE2013</v>
          </cell>
          <cell r="G43" t="str">
            <v>_PRE2013</v>
          </cell>
          <cell r="H43" t="str">
            <v>_PRE2013</v>
          </cell>
          <cell r="I43" t="str">
            <v>_PRE2013</v>
          </cell>
          <cell r="J43" t="str">
            <v>_PRE2013</v>
          </cell>
          <cell r="K43" t="str">
            <v>_PRE2013</v>
          </cell>
          <cell r="L43" t="str">
            <v>_PRE2013</v>
          </cell>
          <cell r="M43" t="str">
            <v>_PRE2013</v>
          </cell>
          <cell r="N43" t="str">
            <v>_PRE2013</v>
          </cell>
          <cell r="O43" t="str">
            <v>_PRE2013</v>
          </cell>
          <cell r="P43" t="str">
            <v>_PRE2013</v>
          </cell>
          <cell r="Q43" t="str">
            <v>_PRE2013</v>
          </cell>
          <cell r="R43" t="str">
            <v>_PRE2013</v>
          </cell>
          <cell r="S43" t="str">
            <v>_PRE2013</v>
          </cell>
          <cell r="T43" t="str">
            <v>_PRE2013</v>
          </cell>
        </row>
        <row r="44">
          <cell r="B44" t="str">
            <v>Weatherization - School-Retro</v>
          </cell>
          <cell r="C44" t="str">
            <v>_PRE2013</v>
          </cell>
          <cell r="D44" t="str">
            <v>_PRE2013</v>
          </cell>
          <cell r="E44" t="str">
            <v>_PRE2013</v>
          </cell>
          <cell r="F44" t="str">
            <v>_PRE2013</v>
          </cell>
          <cell r="G44" t="str">
            <v>_PRE2013</v>
          </cell>
          <cell r="H44" t="str">
            <v>_PRE2013</v>
          </cell>
          <cell r="I44" t="str">
            <v>_PRE2013</v>
          </cell>
          <cell r="J44" t="str">
            <v>_PRE2013</v>
          </cell>
          <cell r="K44" t="str">
            <v>_PRE2013</v>
          </cell>
          <cell r="L44" t="str">
            <v>_PRE2013</v>
          </cell>
          <cell r="M44" t="str">
            <v>_PRE2013</v>
          </cell>
          <cell r="N44" t="str">
            <v>_PRE2013</v>
          </cell>
          <cell r="O44" t="str">
            <v>_PRE2013</v>
          </cell>
          <cell r="P44" t="str">
            <v>_PRE2013</v>
          </cell>
          <cell r="Q44" t="str">
            <v>_PRE2013</v>
          </cell>
          <cell r="R44" t="str">
            <v>_PRE2013</v>
          </cell>
          <cell r="S44" t="str">
            <v>_PRE2013</v>
          </cell>
          <cell r="T44" t="str">
            <v>_PRE2013</v>
          </cell>
        </row>
        <row r="45">
          <cell r="B45" t="str">
            <v>Commercial Computer Laptop-NR</v>
          </cell>
          <cell r="C45" t="str">
            <v>POST2013</v>
          </cell>
          <cell r="D45" t="str">
            <v>POST2013</v>
          </cell>
          <cell r="E45" t="str">
            <v>POST2013</v>
          </cell>
          <cell r="F45" t="str">
            <v>POST2013</v>
          </cell>
          <cell r="G45" t="str">
            <v>POST2013</v>
          </cell>
          <cell r="H45" t="str">
            <v>POST2013</v>
          </cell>
          <cell r="I45" t="str">
            <v>POST2013</v>
          </cell>
          <cell r="J45" t="str">
            <v>POST2013</v>
          </cell>
          <cell r="K45" t="str">
            <v>POST2013</v>
          </cell>
          <cell r="L45" t="str">
            <v>POST2013</v>
          </cell>
          <cell r="M45" t="str">
            <v>POST2013</v>
          </cell>
          <cell r="N45" t="str">
            <v>POST2013</v>
          </cell>
          <cell r="O45" t="str">
            <v>POST2013</v>
          </cell>
          <cell r="P45" t="str">
            <v>POST2013</v>
          </cell>
          <cell r="Q45" t="str">
            <v>POST2013</v>
          </cell>
          <cell r="R45" t="str">
            <v>POST2013</v>
          </cell>
          <cell r="S45" t="str">
            <v>POST2013</v>
          </cell>
          <cell r="T45" t="str">
            <v>POST2013</v>
          </cell>
        </row>
        <row r="46">
          <cell r="B46" t="str">
            <v>AC Heat Recovery for Water Heating-NR</v>
          </cell>
          <cell r="C46" t="str">
            <v>POST2013</v>
          </cell>
          <cell r="D46" t="str">
            <v>POST2013</v>
          </cell>
          <cell r="E46" t="str">
            <v>POST2013</v>
          </cell>
          <cell r="F46" t="str">
            <v>POST2013</v>
          </cell>
          <cell r="G46" t="str">
            <v>POST2013</v>
          </cell>
          <cell r="H46" t="str">
            <v>POST2013</v>
          </cell>
          <cell r="I46" t="str">
            <v>POST2013</v>
          </cell>
          <cell r="J46" t="str">
            <v>POST2013</v>
          </cell>
          <cell r="K46" t="str">
            <v>POST2013</v>
          </cell>
          <cell r="L46" t="str">
            <v>POST2013</v>
          </cell>
          <cell r="M46" t="str">
            <v>POST2013</v>
          </cell>
          <cell r="N46" t="str">
            <v>POST2013</v>
          </cell>
          <cell r="O46" t="str">
            <v>POST2013</v>
          </cell>
          <cell r="P46" t="str">
            <v>POST2013</v>
          </cell>
          <cell r="Q46" t="str">
            <v>POST2013</v>
          </cell>
          <cell r="R46" t="str">
            <v>POST2013</v>
          </cell>
          <cell r="S46" t="str">
            <v>POST2013</v>
          </cell>
          <cell r="T46" t="str">
            <v>POST2013</v>
          </cell>
        </row>
        <row r="47">
          <cell r="B47" t="str">
            <v>Room Occupancy Sensors in Lodging-Retro</v>
          </cell>
          <cell r="C47" t="str">
            <v>_PRE2013</v>
          </cell>
          <cell r="D47" t="str">
            <v>_PRE2013</v>
          </cell>
          <cell r="E47" t="str">
            <v>_PRE2013</v>
          </cell>
          <cell r="F47" t="str">
            <v>_PRE2013</v>
          </cell>
          <cell r="G47" t="str">
            <v>_PRE2013</v>
          </cell>
          <cell r="H47" t="str">
            <v>_PRE2013</v>
          </cell>
          <cell r="I47" t="str">
            <v>_PRE2013</v>
          </cell>
          <cell r="J47" t="str">
            <v>_PRE2013</v>
          </cell>
          <cell r="K47" t="str">
            <v>_PRE2013</v>
          </cell>
          <cell r="L47" t="str">
            <v>_PRE2013</v>
          </cell>
          <cell r="M47" t="str">
            <v>_PRE2013</v>
          </cell>
          <cell r="N47" t="str">
            <v>_PRE2013</v>
          </cell>
          <cell r="O47" t="str">
            <v>_PRE2013</v>
          </cell>
          <cell r="P47" t="str">
            <v>_PRE2013</v>
          </cell>
          <cell r="Q47" t="str">
            <v>_PRE2013</v>
          </cell>
          <cell r="R47" t="str">
            <v>_PRE2013</v>
          </cell>
          <cell r="S47" t="str">
            <v>_PRE2013</v>
          </cell>
          <cell r="T47" t="str">
            <v>_PRE2013</v>
          </cell>
        </row>
        <row r="48">
          <cell r="B48" t="str">
            <v>Chiller - chilled water retrofit-Retro</v>
          </cell>
          <cell r="C48" t="str">
            <v>_PRE2013</v>
          </cell>
          <cell r="D48" t="str">
            <v>_PRE2013</v>
          </cell>
          <cell r="E48" t="str">
            <v>_PRE2013</v>
          </cell>
          <cell r="F48" t="str">
            <v>_PRE2013</v>
          </cell>
          <cell r="G48" t="str">
            <v>_PRE2013</v>
          </cell>
          <cell r="H48" t="str">
            <v>_PRE2013</v>
          </cell>
          <cell r="I48" t="str">
            <v>_PRE2013</v>
          </cell>
          <cell r="J48" t="str">
            <v>_PRE2013</v>
          </cell>
          <cell r="K48" t="str">
            <v>_PRE2013</v>
          </cell>
          <cell r="L48" t="str">
            <v>_PRE2013</v>
          </cell>
          <cell r="M48" t="str">
            <v>_PRE2013</v>
          </cell>
          <cell r="N48" t="str">
            <v>_PRE2013</v>
          </cell>
          <cell r="O48" t="str">
            <v>_PRE2013</v>
          </cell>
          <cell r="P48" t="str">
            <v>_PRE2013</v>
          </cell>
          <cell r="Q48" t="str">
            <v>_PRE2013</v>
          </cell>
          <cell r="R48" t="str">
            <v>_PRE2013</v>
          </cell>
          <cell r="S48" t="str">
            <v>_PRE2013</v>
          </cell>
          <cell r="T48" t="str">
            <v>_PRE2013</v>
          </cell>
        </row>
        <row r="49">
          <cell r="B49" t="str">
            <v>Chiller - equip retrofits-Retro</v>
          </cell>
          <cell r="C49" t="str">
            <v>_PRE2013</v>
          </cell>
          <cell r="D49" t="str">
            <v>_PRE2013</v>
          </cell>
          <cell r="E49" t="str">
            <v>_PRE2013</v>
          </cell>
          <cell r="F49" t="str">
            <v>_PRE2013</v>
          </cell>
          <cell r="G49" t="str">
            <v>_PRE2013</v>
          </cell>
          <cell r="H49" t="str">
            <v>_PRE2013</v>
          </cell>
          <cell r="I49" t="str">
            <v>_PRE2013</v>
          </cell>
          <cell r="J49" t="str">
            <v>_PRE2013</v>
          </cell>
          <cell r="K49" t="str">
            <v>_PRE2013</v>
          </cell>
          <cell r="L49" t="str">
            <v>_PRE2013</v>
          </cell>
          <cell r="M49" t="str">
            <v>_PRE2013</v>
          </cell>
          <cell r="N49" t="str">
            <v>_PRE2013</v>
          </cell>
          <cell r="O49" t="str">
            <v>_PRE2013</v>
          </cell>
          <cell r="P49" t="str">
            <v>_PRE2013</v>
          </cell>
          <cell r="Q49" t="str">
            <v>_PRE2013</v>
          </cell>
          <cell r="R49" t="str">
            <v>_PRE2013</v>
          </cell>
          <cell r="S49" t="str">
            <v>_PRE2013</v>
          </cell>
          <cell r="T49" t="str">
            <v>_PRE2013</v>
          </cell>
        </row>
        <row r="50">
          <cell r="B50" t="str">
            <v>Pool Blankets-Retro</v>
          </cell>
          <cell r="C50" t="str">
            <v>_PRE2013</v>
          </cell>
          <cell r="D50" t="str">
            <v>_PRE2013</v>
          </cell>
          <cell r="E50" t="str">
            <v>_PRE2013</v>
          </cell>
          <cell r="F50" t="str">
            <v>_PRE2013</v>
          </cell>
          <cell r="G50" t="str">
            <v>_PRE2013</v>
          </cell>
          <cell r="H50" t="str">
            <v>_PRE2013</v>
          </cell>
          <cell r="I50" t="str">
            <v>_PRE2013</v>
          </cell>
          <cell r="J50" t="str">
            <v>_PRE2013</v>
          </cell>
          <cell r="K50" t="str">
            <v>_PRE2013</v>
          </cell>
          <cell r="L50" t="str">
            <v>_PRE2013</v>
          </cell>
          <cell r="M50" t="str">
            <v>_PRE2013</v>
          </cell>
          <cell r="N50" t="str">
            <v>_PRE2013</v>
          </cell>
          <cell r="O50" t="str">
            <v>_PRE2013</v>
          </cell>
          <cell r="P50" t="str">
            <v>_PRE2013</v>
          </cell>
          <cell r="Q50" t="str">
            <v>_PRE2013</v>
          </cell>
          <cell r="R50" t="str">
            <v>_PRE2013</v>
          </cell>
          <cell r="S50" t="str">
            <v>_PRE2013</v>
          </cell>
          <cell r="T50" t="str">
            <v>_PRE2013</v>
          </cell>
        </row>
        <row r="51">
          <cell r="B51" t="str">
            <v>Web-Enabled Thermostats-Retro</v>
          </cell>
          <cell r="C51" t="str">
            <v>_PRE2013</v>
          </cell>
          <cell r="D51" t="str">
            <v>_PRE2013</v>
          </cell>
          <cell r="E51" t="str">
            <v>_PRE2013</v>
          </cell>
          <cell r="F51" t="str">
            <v>_PRE2013</v>
          </cell>
          <cell r="G51" t="str">
            <v>_PRE2013</v>
          </cell>
          <cell r="H51" t="str">
            <v>_PRE2013</v>
          </cell>
          <cell r="I51" t="str">
            <v>_PRE2013</v>
          </cell>
          <cell r="J51" t="str">
            <v>_PRE2013</v>
          </cell>
          <cell r="K51" t="str">
            <v>_PRE2013</v>
          </cell>
          <cell r="L51" t="str">
            <v>_PRE2013</v>
          </cell>
          <cell r="M51" t="str">
            <v>_PRE2013</v>
          </cell>
          <cell r="N51" t="str">
            <v>_PRE2013</v>
          </cell>
          <cell r="O51" t="str">
            <v>_PRE2013</v>
          </cell>
          <cell r="P51" t="str">
            <v>_PRE2013</v>
          </cell>
          <cell r="Q51" t="str">
            <v>_PRE2013</v>
          </cell>
          <cell r="R51" t="str">
            <v>_PRE2013</v>
          </cell>
          <cell r="S51" t="str">
            <v>_PRE2013</v>
          </cell>
          <cell r="T51" t="str">
            <v>_PRE2013</v>
          </cell>
        </row>
        <row r="52">
          <cell r="B52" t="str">
            <v>Garage CO2 ventilation-Retro</v>
          </cell>
          <cell r="C52" t="str">
            <v>_PRE2013</v>
          </cell>
          <cell r="D52" t="str">
            <v>_PRE2013</v>
          </cell>
          <cell r="E52" t="str">
            <v>_PRE2013</v>
          </cell>
          <cell r="F52" t="str">
            <v>_PRE2013</v>
          </cell>
          <cell r="G52" t="str">
            <v>_PRE2013</v>
          </cell>
          <cell r="H52" t="str">
            <v>_PRE2013</v>
          </cell>
          <cell r="I52" t="str">
            <v>_PRE2013</v>
          </cell>
          <cell r="J52" t="str">
            <v>_PRE2013</v>
          </cell>
          <cell r="K52" t="str">
            <v>_PRE2013</v>
          </cell>
          <cell r="L52" t="str">
            <v>_PRE2013</v>
          </cell>
          <cell r="M52" t="str">
            <v>_PRE2013</v>
          </cell>
          <cell r="N52" t="str">
            <v>_PRE2013</v>
          </cell>
          <cell r="O52" t="str">
            <v>_PRE2013</v>
          </cell>
          <cell r="P52" t="str">
            <v>_PRE2013</v>
          </cell>
          <cell r="Q52" t="str">
            <v>_PRE2013</v>
          </cell>
          <cell r="R52" t="str">
            <v>_PRE2013</v>
          </cell>
          <cell r="S52" t="str">
            <v>_PRE2013</v>
          </cell>
          <cell r="T52" t="str">
            <v>_PRE2013</v>
          </cell>
        </row>
        <row r="53">
          <cell r="B53" t="str">
            <v>Circ Pump ECM and drive-Retro</v>
          </cell>
          <cell r="C53" t="str">
            <v>_PRE2013</v>
          </cell>
          <cell r="D53" t="str">
            <v>_PRE2013</v>
          </cell>
          <cell r="E53" t="str">
            <v>_PRE2013</v>
          </cell>
          <cell r="F53" t="str">
            <v>_PRE2013</v>
          </cell>
          <cell r="G53" t="str">
            <v>_PRE2013</v>
          </cell>
          <cell r="H53" t="str">
            <v>_PRE2013</v>
          </cell>
          <cell r="I53" t="str">
            <v>_PRE2013</v>
          </cell>
          <cell r="J53" t="str">
            <v>_PRE2013</v>
          </cell>
          <cell r="K53" t="str">
            <v>_PRE2013</v>
          </cell>
          <cell r="L53" t="str">
            <v>_PRE2013</v>
          </cell>
          <cell r="M53" t="str">
            <v>_PRE2013</v>
          </cell>
          <cell r="N53" t="str">
            <v>_PRE2013</v>
          </cell>
          <cell r="O53" t="str">
            <v>_PRE2013</v>
          </cell>
          <cell r="P53" t="str">
            <v>_PRE2013</v>
          </cell>
          <cell r="Q53" t="str">
            <v>_PRE2013</v>
          </cell>
          <cell r="R53" t="str">
            <v>_PRE2013</v>
          </cell>
          <cell r="S53" t="str">
            <v>_PRE2013</v>
          </cell>
          <cell r="T53" t="str">
            <v>_PRE2013</v>
          </cell>
        </row>
        <row r="54">
          <cell r="B54" t="str">
            <v>VRF-New</v>
          </cell>
          <cell r="C54" t="str">
            <v>_PRE2013</v>
          </cell>
          <cell r="D54" t="str">
            <v>_PRE2013</v>
          </cell>
          <cell r="E54" t="str">
            <v>_PRE2013</v>
          </cell>
          <cell r="F54" t="str">
            <v>_PRE2013</v>
          </cell>
          <cell r="G54" t="str">
            <v>_PRE2013</v>
          </cell>
          <cell r="H54" t="str">
            <v>_PRE2013</v>
          </cell>
          <cell r="I54" t="str">
            <v>_PRE2013</v>
          </cell>
          <cell r="J54" t="str">
            <v>_PRE2013</v>
          </cell>
          <cell r="K54" t="str">
            <v>_PRE2013</v>
          </cell>
          <cell r="L54" t="str">
            <v>_PRE2013</v>
          </cell>
          <cell r="M54" t="str">
            <v>_PRE2013</v>
          </cell>
          <cell r="N54" t="str">
            <v>_PRE2013</v>
          </cell>
          <cell r="O54" t="str">
            <v>_PRE2013</v>
          </cell>
          <cell r="P54" t="str">
            <v>_PRE2013</v>
          </cell>
          <cell r="Q54" t="str">
            <v>_PRE2013</v>
          </cell>
          <cell r="R54" t="str">
            <v>_PRE2013</v>
          </cell>
          <cell r="S54" t="str">
            <v>_PRE2013</v>
          </cell>
          <cell r="T54" t="str">
            <v>_PRE2013</v>
          </cell>
        </row>
        <row r="55">
          <cell r="B55" t="str">
            <v>VRF-Retro</v>
          </cell>
          <cell r="C55" t="str">
            <v>_PRE2013</v>
          </cell>
          <cell r="D55" t="str">
            <v>_PRE2013</v>
          </cell>
          <cell r="E55" t="str">
            <v>_PRE2013</v>
          </cell>
          <cell r="F55" t="str">
            <v>_PRE2013</v>
          </cell>
          <cell r="G55" t="str">
            <v>_PRE2013</v>
          </cell>
          <cell r="H55" t="str">
            <v>_PRE2013</v>
          </cell>
          <cell r="I55" t="str">
            <v>_PRE2013</v>
          </cell>
          <cell r="J55" t="str">
            <v>_PRE2013</v>
          </cell>
          <cell r="K55" t="str">
            <v>_PRE2013</v>
          </cell>
          <cell r="L55" t="str">
            <v>_PRE2013</v>
          </cell>
          <cell r="M55" t="str">
            <v>_PRE2013</v>
          </cell>
          <cell r="N55" t="str">
            <v>_PRE2013</v>
          </cell>
          <cell r="O55" t="str">
            <v>_PRE2013</v>
          </cell>
          <cell r="P55" t="str">
            <v>_PRE2013</v>
          </cell>
          <cell r="Q55" t="str">
            <v>_PRE2013</v>
          </cell>
          <cell r="R55" t="str">
            <v>_PRE2013</v>
          </cell>
          <cell r="S55" t="str">
            <v>_PRE2013</v>
          </cell>
          <cell r="T55" t="str">
            <v>_PRE2013</v>
          </cell>
        </row>
        <row r="61">
          <cell r="B61" t="str">
            <v>Top Daylighting-New</v>
          </cell>
          <cell r="C61" t="str">
            <v>POST2013</v>
          </cell>
          <cell r="D61" t="str">
            <v>POST2013</v>
          </cell>
          <cell r="E61" t="str">
            <v>POST2013</v>
          </cell>
          <cell r="F61" t="str">
            <v>POST2013</v>
          </cell>
          <cell r="G61" t="str">
            <v>POST2013</v>
          </cell>
          <cell r="H61" t="str">
            <v>POST2013</v>
          </cell>
          <cell r="I61" t="str">
            <v>POST2013</v>
          </cell>
          <cell r="J61" t="str">
            <v>POST2013</v>
          </cell>
          <cell r="K61" t="str">
            <v>POST2013</v>
          </cell>
          <cell r="L61" t="str">
            <v>POST2013</v>
          </cell>
          <cell r="M61" t="str">
            <v>POST2013</v>
          </cell>
          <cell r="N61" t="str">
            <v>POST2013</v>
          </cell>
          <cell r="O61" t="str">
            <v>POST2013</v>
          </cell>
          <cell r="P61" t="str">
            <v>POST2013</v>
          </cell>
          <cell r="Q61" t="str">
            <v>POST2013</v>
          </cell>
          <cell r="R61" t="str">
            <v>POST2013</v>
          </cell>
          <cell r="S61" t="str">
            <v>POST2013</v>
          </cell>
          <cell r="T61" t="str">
            <v>POST2013</v>
          </cell>
        </row>
        <row r="62">
          <cell r="B62" t="str">
            <v>Perimeter Daylighting Controls Advanced-New</v>
          </cell>
          <cell r="C62" t="str">
            <v>POST2013</v>
          </cell>
          <cell r="D62" t="str">
            <v>POST2013</v>
          </cell>
          <cell r="E62" t="str">
            <v>POST2013</v>
          </cell>
          <cell r="F62" t="str">
            <v>POST2013</v>
          </cell>
          <cell r="G62" t="str">
            <v>POST2013</v>
          </cell>
          <cell r="H62" t="str">
            <v>POST2013</v>
          </cell>
          <cell r="I62" t="str">
            <v>POST2013</v>
          </cell>
          <cell r="J62" t="str">
            <v>POST2013</v>
          </cell>
          <cell r="K62" t="str">
            <v>POST2013</v>
          </cell>
          <cell r="L62" t="str">
            <v>POST2013</v>
          </cell>
          <cell r="M62" t="str">
            <v>POST2013</v>
          </cell>
          <cell r="N62" t="str">
            <v>POST2013</v>
          </cell>
          <cell r="O62" t="str">
            <v>POST2013</v>
          </cell>
          <cell r="P62" t="str">
            <v>POST2013</v>
          </cell>
          <cell r="Q62" t="str">
            <v>POST2013</v>
          </cell>
          <cell r="R62" t="str">
            <v>POST2013</v>
          </cell>
          <cell r="S62" t="str">
            <v>POST2013</v>
          </cell>
          <cell r="T62" t="str">
            <v>POST2013</v>
          </cell>
        </row>
        <row r="63">
          <cell r="B63" t="str">
            <v>Perimeter Daylighting Controls Advanced-NR</v>
          </cell>
          <cell r="C63" t="str">
            <v>POST2013</v>
          </cell>
          <cell r="D63" t="str">
            <v>POST2013</v>
          </cell>
          <cell r="E63" t="str">
            <v>POST2013</v>
          </cell>
          <cell r="F63" t="str">
            <v>POST2013</v>
          </cell>
          <cell r="G63" t="str">
            <v>POST2013</v>
          </cell>
          <cell r="H63" t="str">
            <v>POST2013</v>
          </cell>
          <cell r="I63" t="str">
            <v>POST2013</v>
          </cell>
          <cell r="J63" t="str">
            <v>POST2013</v>
          </cell>
          <cell r="K63" t="str">
            <v>POST2013</v>
          </cell>
          <cell r="L63" t="str">
            <v>POST2013</v>
          </cell>
          <cell r="M63" t="str">
            <v>POST2013</v>
          </cell>
          <cell r="N63" t="str">
            <v>POST2013</v>
          </cell>
          <cell r="O63" t="str">
            <v>POST2013</v>
          </cell>
          <cell r="P63" t="str">
            <v>POST2013</v>
          </cell>
          <cell r="Q63" t="str">
            <v>POST2013</v>
          </cell>
          <cell r="R63" t="str">
            <v>POST2013</v>
          </cell>
          <cell r="S63" t="str">
            <v>POST2013</v>
          </cell>
          <cell r="T63" t="str">
            <v>POST2013</v>
          </cell>
        </row>
        <row r="64">
          <cell r="B64" t="str">
            <v>Lighting Controls Interior-New</v>
          </cell>
          <cell r="C64" t="str">
            <v>POST2013</v>
          </cell>
          <cell r="D64" t="str">
            <v>POST2013</v>
          </cell>
          <cell r="E64" t="str">
            <v>POST2013</v>
          </cell>
          <cell r="F64" t="str">
            <v>POST2013</v>
          </cell>
          <cell r="G64" t="str">
            <v>POST2013</v>
          </cell>
          <cell r="H64" t="str">
            <v>POST2013</v>
          </cell>
          <cell r="I64" t="str">
            <v>POST2013</v>
          </cell>
          <cell r="J64" t="str">
            <v>POST2013</v>
          </cell>
          <cell r="K64" t="str">
            <v>POST2013</v>
          </cell>
          <cell r="L64" t="str">
            <v>POST2013</v>
          </cell>
          <cell r="M64" t="str">
            <v>POST2013</v>
          </cell>
          <cell r="N64" t="str">
            <v>POST2013</v>
          </cell>
          <cell r="O64" t="str">
            <v>POST2013</v>
          </cell>
          <cell r="P64" t="str">
            <v>POST2013</v>
          </cell>
          <cell r="Q64" t="str">
            <v>POST2013</v>
          </cell>
          <cell r="R64" t="str">
            <v>POST2013</v>
          </cell>
          <cell r="S64" t="str">
            <v>POST2013</v>
          </cell>
          <cell r="T64" t="str">
            <v>POST2013</v>
          </cell>
        </row>
        <row r="65">
          <cell r="B65" t="str">
            <v>Lighting Controls Interior-NR</v>
          </cell>
          <cell r="C65" t="str">
            <v>_PRE2013</v>
          </cell>
          <cell r="D65" t="str">
            <v>_PRE2013</v>
          </cell>
          <cell r="E65" t="str">
            <v>_PRE2013</v>
          </cell>
          <cell r="F65" t="str">
            <v>_PRE2013</v>
          </cell>
          <cell r="G65" t="str">
            <v>_PRE2013</v>
          </cell>
          <cell r="H65" t="str">
            <v>_PRE2013</v>
          </cell>
          <cell r="I65" t="str">
            <v>_PRE2013</v>
          </cell>
          <cell r="J65" t="str">
            <v>_PRE2013</v>
          </cell>
          <cell r="K65" t="str">
            <v>_PRE2013</v>
          </cell>
          <cell r="L65" t="str">
            <v>_PRE2013</v>
          </cell>
          <cell r="M65" t="str">
            <v>_PRE2013</v>
          </cell>
          <cell r="N65" t="str">
            <v>_PRE2013</v>
          </cell>
          <cell r="O65" t="str">
            <v>_PRE2013</v>
          </cell>
          <cell r="P65" t="str">
            <v>_PRE2013</v>
          </cell>
          <cell r="Q65" t="str">
            <v>_PRE2013</v>
          </cell>
          <cell r="R65" t="str">
            <v>_PRE2013</v>
          </cell>
          <cell r="S65" t="str">
            <v>_PRE2013</v>
          </cell>
          <cell r="T65" t="str">
            <v>_PRE2013</v>
          </cell>
        </row>
        <row r="66">
          <cell r="B66" t="str">
            <v>Exterior Building Lighting-New</v>
          </cell>
          <cell r="C66" t="str">
            <v>POST2013</v>
          </cell>
          <cell r="D66" t="str">
            <v>POST2013</v>
          </cell>
          <cell r="E66" t="str">
            <v>POST2013</v>
          </cell>
          <cell r="F66" t="str">
            <v>POST2013</v>
          </cell>
          <cell r="G66" t="str">
            <v>POST2013</v>
          </cell>
          <cell r="H66" t="str">
            <v>POST2013</v>
          </cell>
          <cell r="I66" t="str">
            <v>POST2013</v>
          </cell>
          <cell r="J66" t="str">
            <v>POST2013</v>
          </cell>
          <cell r="K66" t="str">
            <v>POST2013</v>
          </cell>
          <cell r="L66" t="str">
            <v>POST2013</v>
          </cell>
          <cell r="M66" t="str">
            <v>POST2013</v>
          </cell>
          <cell r="N66" t="str">
            <v>POST2013</v>
          </cell>
          <cell r="O66" t="str">
            <v>POST2013</v>
          </cell>
          <cell r="P66" t="str">
            <v>POST2013</v>
          </cell>
          <cell r="Q66" t="str">
            <v>POST2013</v>
          </cell>
          <cell r="R66" t="str">
            <v>POST2013</v>
          </cell>
          <cell r="S66" t="str">
            <v>POST2013</v>
          </cell>
          <cell r="T66" t="str">
            <v>POST2013</v>
          </cell>
        </row>
        <row r="67">
          <cell r="B67" t="str">
            <v>Exterior Building Lighting-NR</v>
          </cell>
          <cell r="C67" t="str">
            <v>POST2013</v>
          </cell>
          <cell r="D67" t="str">
            <v>POST2013</v>
          </cell>
          <cell r="E67" t="str">
            <v>POST2013</v>
          </cell>
          <cell r="F67" t="str">
            <v>POST2013</v>
          </cell>
          <cell r="G67" t="str">
            <v>POST2013</v>
          </cell>
          <cell r="H67" t="str">
            <v>POST2013</v>
          </cell>
          <cell r="I67" t="str">
            <v>POST2013</v>
          </cell>
          <cell r="J67" t="str">
            <v>POST2013</v>
          </cell>
          <cell r="K67" t="str">
            <v>POST2013</v>
          </cell>
          <cell r="L67" t="str">
            <v>POST2013</v>
          </cell>
          <cell r="M67" t="str">
            <v>POST2013</v>
          </cell>
          <cell r="N67" t="str">
            <v>POST2013</v>
          </cell>
          <cell r="O67" t="str">
            <v>POST2013</v>
          </cell>
          <cell r="P67" t="str">
            <v>POST2013</v>
          </cell>
          <cell r="Q67" t="str">
            <v>POST2013</v>
          </cell>
          <cell r="R67" t="str">
            <v>POST2013</v>
          </cell>
          <cell r="S67" t="str">
            <v>POST2013</v>
          </cell>
          <cell r="T67" t="str">
            <v>POST2013</v>
          </cell>
        </row>
        <row r="68">
          <cell r="B68" t="str">
            <v>Street and Roadway Lighting-New</v>
          </cell>
          <cell r="C68" t="str">
            <v>POST2013</v>
          </cell>
          <cell r="D68" t="str">
            <v>POST2013</v>
          </cell>
          <cell r="E68" t="str">
            <v>POST2013</v>
          </cell>
          <cell r="F68" t="str">
            <v>POST2013</v>
          </cell>
          <cell r="G68" t="str">
            <v>POST2013</v>
          </cell>
          <cell r="H68" t="str">
            <v>POST2013</v>
          </cell>
          <cell r="I68" t="str">
            <v>POST2013</v>
          </cell>
          <cell r="J68" t="str">
            <v>POST2013</v>
          </cell>
          <cell r="K68" t="str">
            <v>POST2013</v>
          </cell>
          <cell r="L68" t="str">
            <v>POST2013</v>
          </cell>
          <cell r="M68" t="str">
            <v>POST2013</v>
          </cell>
          <cell r="N68" t="str">
            <v>POST2013</v>
          </cell>
          <cell r="O68" t="str">
            <v>POST2013</v>
          </cell>
          <cell r="P68" t="str">
            <v>POST2013</v>
          </cell>
          <cell r="Q68" t="str">
            <v>POST2013</v>
          </cell>
          <cell r="R68" t="str">
            <v>POST2013</v>
          </cell>
          <cell r="S68" t="str">
            <v>POST2013</v>
          </cell>
          <cell r="T68" t="str">
            <v>POST2013</v>
          </cell>
        </row>
        <row r="69">
          <cell r="B69" t="str">
            <v>Street and Roadway Lighting-NR</v>
          </cell>
          <cell r="C69" t="str">
            <v>POST2013</v>
          </cell>
          <cell r="D69" t="str">
            <v>POST2013</v>
          </cell>
          <cell r="E69" t="str">
            <v>POST2013</v>
          </cell>
          <cell r="F69" t="str">
            <v>POST2013</v>
          </cell>
          <cell r="G69" t="str">
            <v>POST2013</v>
          </cell>
          <cell r="H69" t="str">
            <v>POST2013</v>
          </cell>
          <cell r="I69" t="str">
            <v>POST2013</v>
          </cell>
          <cell r="J69" t="str">
            <v>POST2013</v>
          </cell>
          <cell r="K69" t="str">
            <v>POST2013</v>
          </cell>
          <cell r="L69" t="str">
            <v>POST2013</v>
          </cell>
          <cell r="M69" t="str">
            <v>POST2013</v>
          </cell>
          <cell r="N69" t="str">
            <v>POST2013</v>
          </cell>
          <cell r="O69" t="str">
            <v>POST2013</v>
          </cell>
          <cell r="P69" t="str">
            <v>POST2013</v>
          </cell>
          <cell r="Q69" t="str">
            <v>POST2013</v>
          </cell>
          <cell r="R69" t="str">
            <v>POST2013</v>
          </cell>
          <cell r="S69" t="str">
            <v>POST2013</v>
          </cell>
          <cell r="T69" t="str">
            <v>POST2013</v>
          </cell>
        </row>
        <row r="70">
          <cell r="B70" t="str">
            <v>Parking Lighting-New</v>
          </cell>
          <cell r="C70" t="str">
            <v>POST2013</v>
          </cell>
          <cell r="D70" t="str">
            <v>POST2013</v>
          </cell>
          <cell r="E70" t="str">
            <v>POST2013</v>
          </cell>
          <cell r="F70" t="str">
            <v>POST2013</v>
          </cell>
          <cell r="G70" t="str">
            <v>POST2013</v>
          </cell>
          <cell r="H70" t="str">
            <v>POST2013</v>
          </cell>
          <cell r="I70" t="str">
            <v>POST2013</v>
          </cell>
          <cell r="J70" t="str">
            <v>POST2013</v>
          </cell>
          <cell r="K70" t="str">
            <v>POST2013</v>
          </cell>
          <cell r="L70" t="str">
            <v>POST2013</v>
          </cell>
          <cell r="M70" t="str">
            <v>POST2013</v>
          </cell>
          <cell r="N70" t="str">
            <v>POST2013</v>
          </cell>
          <cell r="O70" t="str">
            <v>POST2013</v>
          </cell>
          <cell r="P70" t="str">
            <v>POST2013</v>
          </cell>
          <cell r="Q70" t="str">
            <v>POST2013</v>
          </cell>
          <cell r="R70" t="str">
            <v>POST2013</v>
          </cell>
          <cell r="S70" t="str">
            <v>POST2013</v>
          </cell>
          <cell r="T70" t="str">
            <v>POST2013</v>
          </cell>
        </row>
        <row r="71">
          <cell r="B71" t="str">
            <v>Parking Lighting-NR</v>
          </cell>
          <cell r="C71" t="str">
            <v>POST2013</v>
          </cell>
          <cell r="D71" t="str">
            <v>POST2013</v>
          </cell>
          <cell r="E71" t="str">
            <v>POST2013</v>
          </cell>
          <cell r="F71" t="str">
            <v>POST2013</v>
          </cell>
          <cell r="G71" t="str">
            <v>POST2013</v>
          </cell>
          <cell r="H71" t="str">
            <v>POST2013</v>
          </cell>
          <cell r="I71" t="str">
            <v>POST2013</v>
          </cell>
          <cell r="J71" t="str">
            <v>POST2013</v>
          </cell>
          <cell r="K71" t="str">
            <v>POST2013</v>
          </cell>
          <cell r="L71" t="str">
            <v>POST2013</v>
          </cell>
          <cell r="M71" t="str">
            <v>POST2013</v>
          </cell>
          <cell r="N71" t="str">
            <v>POST2013</v>
          </cell>
          <cell r="O71" t="str">
            <v>POST2013</v>
          </cell>
          <cell r="P71" t="str">
            <v>POST2013</v>
          </cell>
          <cell r="Q71" t="str">
            <v>POST2013</v>
          </cell>
          <cell r="R71" t="str">
            <v>POST2013</v>
          </cell>
          <cell r="S71" t="str">
            <v>POST2013</v>
          </cell>
          <cell r="T71" t="str">
            <v>POST2013</v>
          </cell>
        </row>
        <row r="72">
          <cell r="B72" t="str">
            <v>Luminaire Level Lighting Controls-Retro</v>
          </cell>
          <cell r="C72" t="str">
            <v>_PRE2013</v>
          </cell>
          <cell r="D72" t="str">
            <v>_PRE2013</v>
          </cell>
          <cell r="E72" t="str">
            <v>_PRE2013</v>
          </cell>
          <cell r="F72" t="str">
            <v>_PRE2013</v>
          </cell>
          <cell r="G72" t="str">
            <v>_PRE2013</v>
          </cell>
          <cell r="H72" t="str">
            <v>_PRE2013</v>
          </cell>
          <cell r="I72" t="str">
            <v>_PRE2013</v>
          </cell>
          <cell r="J72" t="str">
            <v>_PRE2013</v>
          </cell>
          <cell r="K72" t="str">
            <v>_PRE2013</v>
          </cell>
          <cell r="L72" t="str">
            <v>_PRE2013</v>
          </cell>
          <cell r="M72" t="str">
            <v>_PRE2013</v>
          </cell>
          <cell r="N72" t="str">
            <v>_PRE2013</v>
          </cell>
          <cell r="O72" t="str">
            <v>_PRE2013</v>
          </cell>
          <cell r="P72" t="str">
            <v>_PRE2013</v>
          </cell>
          <cell r="Q72" t="str">
            <v>_PRE2013</v>
          </cell>
          <cell r="R72" t="str">
            <v>_PRE2013</v>
          </cell>
          <cell r="S72" t="str">
            <v>_PRE2013</v>
          </cell>
          <cell r="T72" t="str">
            <v>_PRE2013</v>
          </cell>
        </row>
        <row r="73">
          <cell r="B73" t="str">
            <v>ECM-VAV-New</v>
          </cell>
          <cell r="C73" t="str">
            <v>POST2013</v>
          </cell>
          <cell r="D73" t="str">
            <v>POST2013</v>
          </cell>
          <cell r="E73" t="str">
            <v>POST2013</v>
          </cell>
          <cell r="F73" t="str">
            <v>POST2013</v>
          </cell>
          <cell r="G73" t="str">
            <v>POST2013</v>
          </cell>
          <cell r="H73" t="str">
            <v>POST2013</v>
          </cell>
          <cell r="I73" t="str">
            <v>POST2013</v>
          </cell>
          <cell r="J73" t="str">
            <v>POST2013</v>
          </cell>
          <cell r="K73" t="str">
            <v>POST2013</v>
          </cell>
          <cell r="L73" t="str">
            <v>POST2013</v>
          </cell>
          <cell r="M73" t="str">
            <v>POST2013</v>
          </cell>
          <cell r="N73" t="str">
            <v>POST2013</v>
          </cell>
          <cell r="O73" t="str">
            <v>POST2013</v>
          </cell>
          <cell r="P73" t="str">
            <v>POST2013</v>
          </cell>
          <cell r="Q73" t="str">
            <v>POST2013</v>
          </cell>
          <cell r="R73" t="str">
            <v>POST2013</v>
          </cell>
          <cell r="S73" t="str">
            <v>POST2013</v>
          </cell>
          <cell r="T73" t="str">
            <v>POST2013</v>
          </cell>
        </row>
        <row r="74">
          <cell r="B74" t="str">
            <v>ECM-VAV-NR</v>
          </cell>
          <cell r="C74" t="str">
            <v>POST2013</v>
          </cell>
          <cell r="D74" t="str">
            <v>POST2013</v>
          </cell>
          <cell r="E74" t="str">
            <v>POST2013</v>
          </cell>
          <cell r="F74" t="str">
            <v>POST2013</v>
          </cell>
          <cell r="G74" t="str">
            <v>POST2013</v>
          </cell>
          <cell r="H74" t="str">
            <v>POST2013</v>
          </cell>
          <cell r="I74" t="str">
            <v>POST2013</v>
          </cell>
          <cell r="J74" t="str">
            <v>POST2013</v>
          </cell>
          <cell r="K74" t="str">
            <v>POST2013</v>
          </cell>
          <cell r="L74" t="str">
            <v>POST2013</v>
          </cell>
          <cell r="M74" t="str">
            <v>POST2013</v>
          </cell>
          <cell r="N74" t="str">
            <v>POST2013</v>
          </cell>
          <cell r="O74" t="str">
            <v>POST2013</v>
          </cell>
          <cell r="P74" t="str">
            <v>POST2013</v>
          </cell>
          <cell r="Q74" t="str">
            <v>POST2013</v>
          </cell>
          <cell r="R74" t="str">
            <v>POST2013</v>
          </cell>
          <cell r="S74" t="str">
            <v>POST2013</v>
          </cell>
          <cell r="T74" t="str">
            <v>POST2013</v>
          </cell>
        </row>
        <row r="75">
          <cell r="B75" t="str">
            <v>Pool pumps-Retro</v>
          </cell>
          <cell r="C75" t="str">
            <v>_PRE2013</v>
          </cell>
          <cell r="D75" t="str">
            <v>_PRE2013</v>
          </cell>
          <cell r="E75" t="str">
            <v>_PRE2013</v>
          </cell>
          <cell r="F75" t="str">
            <v>_PRE2013</v>
          </cell>
          <cell r="G75" t="str">
            <v>_PRE2013</v>
          </cell>
          <cell r="H75" t="str">
            <v>_PRE2013</v>
          </cell>
          <cell r="I75" t="str">
            <v>_PRE2013</v>
          </cell>
          <cell r="J75" t="str">
            <v>_PRE2013</v>
          </cell>
          <cell r="K75" t="str">
            <v>_PRE2013</v>
          </cell>
          <cell r="L75" t="str">
            <v>_PRE2013</v>
          </cell>
          <cell r="M75" t="str">
            <v>_PRE2013</v>
          </cell>
          <cell r="N75" t="str">
            <v>_PRE2013</v>
          </cell>
          <cell r="O75" t="str">
            <v>_PRE2013</v>
          </cell>
          <cell r="P75" t="str">
            <v>_PRE2013</v>
          </cell>
          <cell r="Q75" t="str">
            <v>_PRE2013</v>
          </cell>
          <cell r="R75" t="str">
            <v>_PRE2013</v>
          </cell>
          <cell r="S75" t="str">
            <v>_PRE2013</v>
          </cell>
          <cell r="T75" t="str">
            <v>_PRE2013</v>
          </cell>
        </row>
        <row r="76">
          <cell r="B76" t="str">
            <v>MotorsRewind-New</v>
          </cell>
          <cell r="C76" t="str">
            <v>_PRE2013</v>
          </cell>
          <cell r="D76" t="str">
            <v>_PRE2013</v>
          </cell>
          <cell r="E76" t="str">
            <v>_PRE2013</v>
          </cell>
          <cell r="F76" t="str">
            <v>_PRE2013</v>
          </cell>
          <cell r="G76" t="str">
            <v>_PRE2013</v>
          </cell>
          <cell r="H76" t="str">
            <v>_PRE2013</v>
          </cell>
          <cell r="I76" t="str">
            <v>_PRE2013</v>
          </cell>
          <cell r="J76" t="str">
            <v>_PRE2013</v>
          </cell>
          <cell r="K76" t="str">
            <v>_PRE2013</v>
          </cell>
          <cell r="L76" t="str">
            <v>_PRE2013</v>
          </cell>
          <cell r="M76" t="str">
            <v>_PRE2013</v>
          </cell>
          <cell r="N76" t="str">
            <v>_PRE2013</v>
          </cell>
          <cell r="O76" t="str">
            <v>_PRE2013</v>
          </cell>
          <cell r="P76" t="str">
            <v>_PRE2013</v>
          </cell>
          <cell r="Q76" t="str">
            <v>_PRE2013</v>
          </cell>
          <cell r="R76" t="str">
            <v>_PRE2013</v>
          </cell>
          <cell r="S76" t="str">
            <v>_PRE2013</v>
          </cell>
          <cell r="T76" t="str">
            <v>_PRE2013</v>
          </cell>
        </row>
        <row r="77">
          <cell r="B77" t="str">
            <v>MotorsRewind-NR</v>
          </cell>
          <cell r="C77" t="str">
            <v>POST2013</v>
          </cell>
          <cell r="D77" t="str">
            <v>POST2013</v>
          </cell>
          <cell r="E77" t="str">
            <v>POST2013</v>
          </cell>
          <cell r="F77" t="str">
            <v>POST2013</v>
          </cell>
          <cell r="G77" t="str">
            <v>POST2013</v>
          </cell>
          <cell r="H77" t="str">
            <v>POST2013</v>
          </cell>
          <cell r="I77" t="str">
            <v>POST2013</v>
          </cell>
          <cell r="J77" t="str">
            <v>POST2013</v>
          </cell>
          <cell r="K77" t="str">
            <v>POST2013</v>
          </cell>
          <cell r="L77" t="str">
            <v>POST2013</v>
          </cell>
          <cell r="M77" t="str">
            <v>POST2013</v>
          </cell>
          <cell r="N77" t="str">
            <v>POST2013</v>
          </cell>
          <cell r="O77" t="str">
            <v>POST2013</v>
          </cell>
          <cell r="P77" t="str">
            <v>POST2013</v>
          </cell>
          <cell r="Q77" t="str">
            <v>POST2013</v>
          </cell>
          <cell r="R77" t="str">
            <v>POST2013</v>
          </cell>
          <cell r="S77" t="str">
            <v>POST2013</v>
          </cell>
          <cell r="T77" t="str">
            <v>POST2013</v>
          </cell>
        </row>
        <row r="78">
          <cell r="B78" t="str">
            <v>Municipal Sewage Treatment-Retro</v>
          </cell>
          <cell r="C78" t="str">
            <v>_PRE2013</v>
          </cell>
          <cell r="D78" t="str">
            <v>_PRE2013</v>
          </cell>
          <cell r="E78" t="str">
            <v>_PRE2013</v>
          </cell>
          <cell r="F78" t="str">
            <v>_PRE2013</v>
          </cell>
          <cell r="G78" t="str">
            <v>_PRE2013</v>
          </cell>
          <cell r="H78" t="str">
            <v>_PRE2013</v>
          </cell>
          <cell r="I78" t="str">
            <v>_PRE2013</v>
          </cell>
          <cell r="J78" t="str">
            <v>_PRE2013</v>
          </cell>
          <cell r="K78" t="str">
            <v>_PRE2013</v>
          </cell>
          <cell r="L78" t="str">
            <v>_PRE2013</v>
          </cell>
          <cell r="M78" t="str">
            <v>_PRE2013</v>
          </cell>
          <cell r="N78" t="str">
            <v>_PRE2013</v>
          </cell>
          <cell r="O78" t="str">
            <v>_PRE2013</v>
          </cell>
          <cell r="P78" t="str">
            <v>_PRE2013</v>
          </cell>
          <cell r="Q78" t="str">
            <v>_PRE2013</v>
          </cell>
          <cell r="R78" t="str">
            <v>_PRE2013</v>
          </cell>
          <cell r="S78" t="str">
            <v>_PRE2013</v>
          </cell>
          <cell r="T78" t="str">
            <v>_PRE2013</v>
          </cell>
        </row>
        <row r="79">
          <cell r="B79" t="str">
            <v>Municipal Water Supply-Retro</v>
          </cell>
          <cell r="C79" t="str">
            <v>_PRE2013</v>
          </cell>
          <cell r="D79" t="str">
            <v>_PRE2013</v>
          </cell>
          <cell r="E79" t="str">
            <v>_PRE2013</v>
          </cell>
          <cell r="F79" t="str">
            <v>_PRE2013</v>
          </cell>
          <cell r="G79" t="str">
            <v>_PRE2013</v>
          </cell>
          <cell r="H79" t="str">
            <v>_PRE2013</v>
          </cell>
          <cell r="I79" t="str">
            <v>_PRE2013</v>
          </cell>
          <cell r="J79" t="str">
            <v>_PRE2013</v>
          </cell>
          <cell r="K79" t="str">
            <v>_PRE2013</v>
          </cell>
          <cell r="L79" t="str">
            <v>_PRE2013</v>
          </cell>
          <cell r="M79" t="str">
            <v>_PRE2013</v>
          </cell>
          <cell r="N79" t="str">
            <v>_PRE2013</v>
          </cell>
          <cell r="O79" t="str">
            <v>_PRE2013</v>
          </cell>
          <cell r="P79" t="str">
            <v>_PRE2013</v>
          </cell>
          <cell r="Q79" t="str">
            <v>_PRE2013</v>
          </cell>
          <cell r="R79" t="str">
            <v>_PRE2013</v>
          </cell>
          <cell r="S79" t="str">
            <v>_PRE2013</v>
          </cell>
          <cell r="T79" t="str">
            <v>_PRE2013</v>
          </cell>
        </row>
        <row r="80">
          <cell r="B80" t="str">
            <v>Engine Generator Block Heaters-Retro</v>
          </cell>
          <cell r="C80" t="str">
            <v>_PRE2013</v>
          </cell>
          <cell r="D80" t="str">
            <v>_PRE2013</v>
          </cell>
          <cell r="E80" t="str">
            <v>_PRE2013</v>
          </cell>
          <cell r="F80" t="str">
            <v>_PRE2013</v>
          </cell>
          <cell r="G80" t="str">
            <v>_PRE2013</v>
          </cell>
          <cell r="H80" t="str">
            <v>_PRE2013</v>
          </cell>
          <cell r="I80" t="str">
            <v>_PRE2013</v>
          </cell>
          <cell r="J80" t="str">
            <v>_PRE2013</v>
          </cell>
          <cell r="K80" t="str">
            <v>_PRE2013</v>
          </cell>
          <cell r="L80" t="str">
            <v>_PRE2013</v>
          </cell>
          <cell r="M80" t="str">
            <v>_PRE2013</v>
          </cell>
          <cell r="N80" t="str">
            <v>_PRE2013</v>
          </cell>
          <cell r="O80" t="str">
            <v>_PRE2013</v>
          </cell>
          <cell r="P80" t="str">
            <v>_PRE2013</v>
          </cell>
          <cell r="Q80" t="str">
            <v>_PRE2013</v>
          </cell>
          <cell r="R80" t="str">
            <v>_PRE2013</v>
          </cell>
          <cell r="S80" t="str">
            <v>_PRE2013</v>
          </cell>
          <cell r="T80" t="str">
            <v>_PRE2013</v>
          </cell>
        </row>
        <row r="81">
          <cell r="B81" t="str">
            <v>Grocery Refrigeration Bundle-Retro</v>
          </cell>
          <cell r="C81" t="str">
            <v>_PRE2013</v>
          </cell>
          <cell r="D81" t="str">
            <v>_PRE2013</v>
          </cell>
          <cell r="E81" t="str">
            <v>_PRE2013</v>
          </cell>
          <cell r="F81" t="str">
            <v>_PRE2013</v>
          </cell>
          <cell r="G81" t="str">
            <v>_PRE2013</v>
          </cell>
          <cell r="H81" t="str">
            <v>_PRE2013</v>
          </cell>
          <cell r="I81" t="str">
            <v>_PRE2013</v>
          </cell>
          <cell r="J81" t="str">
            <v>_PRE2013</v>
          </cell>
          <cell r="K81" t="str">
            <v>_PRE2013</v>
          </cell>
          <cell r="L81" t="str">
            <v>_PRE2013</v>
          </cell>
          <cell r="M81" t="str">
            <v>_PRE2013</v>
          </cell>
          <cell r="N81" t="str">
            <v>_PRE2013</v>
          </cell>
          <cell r="O81" t="str">
            <v>_PRE2013</v>
          </cell>
          <cell r="P81" t="str">
            <v>_PRE2013</v>
          </cell>
          <cell r="Q81" t="str">
            <v>_PRE2013</v>
          </cell>
          <cell r="R81" t="str">
            <v>_PRE2013</v>
          </cell>
          <cell r="S81" t="str">
            <v>_PRE2013</v>
          </cell>
          <cell r="T81" t="str">
            <v>_PRE2013</v>
          </cell>
        </row>
        <row r="82">
          <cell r="B82" t="str">
            <v>Packaged Refrigeration Equipment-New</v>
          </cell>
          <cell r="C82" t="str">
            <v>POST2013</v>
          </cell>
          <cell r="D82" t="str">
            <v>POST2013</v>
          </cell>
          <cell r="E82" t="str">
            <v>POST2013</v>
          </cell>
          <cell r="F82" t="str">
            <v>POST2013</v>
          </cell>
          <cell r="G82" t="str">
            <v>POST2013</v>
          </cell>
          <cell r="H82" t="str">
            <v>POST2013</v>
          </cell>
          <cell r="I82" t="str">
            <v>POST2013</v>
          </cell>
          <cell r="J82" t="str">
            <v>POST2013</v>
          </cell>
          <cell r="K82" t="str">
            <v>POST2013</v>
          </cell>
          <cell r="L82" t="str">
            <v>POST2013</v>
          </cell>
          <cell r="M82" t="str">
            <v>POST2013</v>
          </cell>
          <cell r="N82" t="str">
            <v>POST2013</v>
          </cell>
          <cell r="O82" t="str">
            <v>POST2013</v>
          </cell>
          <cell r="P82" t="str">
            <v>POST2013</v>
          </cell>
          <cell r="Q82" t="str">
            <v>POST2013</v>
          </cell>
          <cell r="R82" t="str">
            <v>POST2013</v>
          </cell>
          <cell r="S82" t="str">
            <v>POST2013</v>
          </cell>
          <cell r="T82" t="str">
            <v>POST2013</v>
          </cell>
        </row>
        <row r="83">
          <cell r="B83" t="str">
            <v>Appliances - Freezers-NR</v>
          </cell>
          <cell r="C83" t="str">
            <v>POST2013</v>
          </cell>
          <cell r="D83" t="str">
            <v>POST2013</v>
          </cell>
          <cell r="E83" t="str">
            <v>POST2013</v>
          </cell>
          <cell r="F83" t="str">
            <v>POST2013</v>
          </cell>
          <cell r="G83" t="str">
            <v>POST2013</v>
          </cell>
          <cell r="H83" t="str">
            <v>POST2013</v>
          </cell>
          <cell r="I83" t="str">
            <v>POST2013</v>
          </cell>
          <cell r="J83" t="str">
            <v>POST2013</v>
          </cell>
          <cell r="K83" t="str">
            <v>POST2013</v>
          </cell>
          <cell r="L83" t="str">
            <v>POST2013</v>
          </cell>
          <cell r="M83" t="str">
            <v>POST2013</v>
          </cell>
          <cell r="N83" t="str">
            <v>POST2013</v>
          </cell>
          <cell r="O83" t="str">
            <v>POST2013</v>
          </cell>
          <cell r="P83" t="str">
            <v>POST2013</v>
          </cell>
          <cell r="Q83" t="str">
            <v>POST2013</v>
          </cell>
          <cell r="R83" t="str">
            <v>POST2013</v>
          </cell>
          <cell r="S83" t="str">
            <v>POST2013</v>
          </cell>
          <cell r="T83" t="str">
            <v>POST2013</v>
          </cell>
        </row>
        <row r="84">
          <cell r="B84" t="str">
            <v>Appliances - Refrigerators-NR</v>
          </cell>
          <cell r="C84" t="str">
            <v>POST2013</v>
          </cell>
          <cell r="D84" t="str">
            <v>POST2013</v>
          </cell>
          <cell r="E84" t="str">
            <v>POST2013</v>
          </cell>
          <cell r="F84" t="str">
            <v>POST2013</v>
          </cell>
          <cell r="G84" t="str">
            <v>POST2013</v>
          </cell>
          <cell r="H84" t="str">
            <v>POST2013</v>
          </cell>
          <cell r="I84" t="str">
            <v>POST2013</v>
          </cell>
          <cell r="J84" t="str">
            <v>POST2013</v>
          </cell>
          <cell r="K84" t="str">
            <v>POST2013</v>
          </cell>
          <cell r="L84" t="str">
            <v>POST2013</v>
          </cell>
          <cell r="M84" t="str">
            <v>POST2013</v>
          </cell>
          <cell r="N84" t="str">
            <v>POST2013</v>
          </cell>
          <cell r="O84" t="str">
            <v>POST2013</v>
          </cell>
          <cell r="P84" t="str">
            <v>POST2013</v>
          </cell>
          <cell r="Q84" t="str">
            <v>POST2013</v>
          </cell>
          <cell r="R84" t="str">
            <v>POST2013</v>
          </cell>
          <cell r="S84" t="str">
            <v>POST2013</v>
          </cell>
          <cell r="T84" t="str">
            <v>POST2013</v>
          </cell>
        </row>
        <row r="85">
          <cell r="B85" t="str">
            <v>Water Cooler Controls-Retro</v>
          </cell>
          <cell r="C85" t="str">
            <v>_PRE2013</v>
          </cell>
          <cell r="D85" t="str">
            <v>_PRE2013</v>
          </cell>
          <cell r="E85" t="str">
            <v>_PRE2013</v>
          </cell>
          <cell r="F85" t="str">
            <v>_PRE2013</v>
          </cell>
          <cell r="G85" t="str">
            <v>_PRE2013</v>
          </cell>
          <cell r="H85" t="str">
            <v>_PRE2013</v>
          </cell>
          <cell r="I85" t="str">
            <v>_PRE2013</v>
          </cell>
          <cell r="J85" t="str">
            <v>_PRE2013</v>
          </cell>
          <cell r="K85" t="str">
            <v>_PRE2013</v>
          </cell>
          <cell r="L85" t="str">
            <v>_PRE2013</v>
          </cell>
          <cell r="M85" t="str">
            <v>_PRE2013</v>
          </cell>
          <cell r="N85" t="str">
            <v>_PRE2013</v>
          </cell>
          <cell r="O85" t="str">
            <v>_PRE2013</v>
          </cell>
          <cell r="P85" t="str">
            <v>_PRE2013</v>
          </cell>
          <cell r="Q85" t="str">
            <v>_PRE2013</v>
          </cell>
          <cell r="R85" t="str">
            <v>_PRE2013</v>
          </cell>
          <cell r="S85" t="str">
            <v>_PRE2013</v>
          </cell>
          <cell r="T85" t="str">
            <v>_PRE2013</v>
          </cell>
        </row>
        <row r="86">
          <cell r="B86" t="str">
            <v>WHTanks-New</v>
          </cell>
          <cell r="C86" t="str">
            <v>POST2013</v>
          </cell>
          <cell r="D86" t="str">
            <v>POST2013</v>
          </cell>
          <cell r="E86" t="str">
            <v>POST2013</v>
          </cell>
          <cell r="F86" t="str">
            <v>POST2013</v>
          </cell>
          <cell r="G86" t="str">
            <v>POST2013</v>
          </cell>
          <cell r="H86" t="str">
            <v>POST2013</v>
          </cell>
          <cell r="I86" t="str">
            <v>POST2013</v>
          </cell>
          <cell r="J86" t="str">
            <v>POST2013</v>
          </cell>
          <cell r="K86" t="str">
            <v>POST2013</v>
          </cell>
          <cell r="L86" t="str">
            <v>POST2013</v>
          </cell>
          <cell r="M86" t="str">
            <v>POST2013</v>
          </cell>
          <cell r="N86" t="str">
            <v>POST2013</v>
          </cell>
          <cell r="O86" t="str">
            <v>POST2013</v>
          </cell>
          <cell r="P86" t="str">
            <v>POST2013</v>
          </cell>
          <cell r="Q86" t="str">
            <v>POST2013</v>
          </cell>
          <cell r="R86" t="str">
            <v>POST2013</v>
          </cell>
          <cell r="S86" t="str">
            <v>POST2013</v>
          </cell>
          <cell r="T86" t="str">
            <v>POST2013</v>
          </cell>
        </row>
        <row r="87">
          <cell r="B87" t="str">
            <v>WHTanks-NR</v>
          </cell>
          <cell r="C87" t="str">
            <v>_PRE2013</v>
          </cell>
          <cell r="D87" t="str">
            <v>_PRE2013</v>
          </cell>
          <cell r="E87" t="str">
            <v>_PRE2013</v>
          </cell>
          <cell r="F87" t="str">
            <v>_PRE2013</v>
          </cell>
          <cell r="G87" t="str">
            <v>_PRE2013</v>
          </cell>
          <cell r="H87" t="str">
            <v>_PRE2013</v>
          </cell>
          <cell r="I87" t="str">
            <v>_PRE2013</v>
          </cell>
          <cell r="J87" t="str">
            <v>_PRE2013</v>
          </cell>
          <cell r="K87" t="str">
            <v>_PRE2013</v>
          </cell>
          <cell r="L87" t="str">
            <v>_PRE2013</v>
          </cell>
          <cell r="M87" t="str">
            <v>_PRE2013</v>
          </cell>
          <cell r="N87" t="str">
            <v>_PRE2013</v>
          </cell>
          <cell r="O87" t="str">
            <v>_PRE2013</v>
          </cell>
          <cell r="P87" t="str">
            <v>_PRE2013</v>
          </cell>
          <cell r="Q87" t="str">
            <v>_PRE2013</v>
          </cell>
          <cell r="R87" t="str">
            <v>_PRE2013</v>
          </cell>
          <cell r="S87" t="str">
            <v>_PRE2013</v>
          </cell>
          <cell r="T87" t="str">
            <v>_PRE2013</v>
          </cell>
        </row>
        <row r="88">
          <cell r="B88" t="str">
            <v>Appliances - Clothes Washers-NR</v>
          </cell>
          <cell r="C88" t="str">
            <v>POST2013</v>
          </cell>
          <cell r="D88" t="str">
            <v>POST2013</v>
          </cell>
          <cell r="E88" t="str">
            <v>POST2013</v>
          </cell>
          <cell r="F88" t="str">
            <v>POST2013</v>
          </cell>
          <cell r="G88" t="str">
            <v>POST2013</v>
          </cell>
          <cell r="H88" t="str">
            <v>POST2013</v>
          </cell>
          <cell r="I88" t="str">
            <v>POST2013</v>
          </cell>
          <cell r="J88" t="str">
            <v>POST2013</v>
          </cell>
          <cell r="K88" t="str">
            <v>POST2013</v>
          </cell>
          <cell r="L88" t="str">
            <v>POST2013</v>
          </cell>
          <cell r="M88" t="str">
            <v>POST2013</v>
          </cell>
          <cell r="N88" t="str">
            <v>POST2013</v>
          </cell>
          <cell r="O88" t="str">
            <v>POST2013</v>
          </cell>
          <cell r="P88" t="str">
            <v>POST2013</v>
          </cell>
          <cell r="Q88" t="str">
            <v>POST2013</v>
          </cell>
          <cell r="R88" t="str">
            <v>POST2013</v>
          </cell>
          <cell r="S88" t="str">
            <v>POST2013</v>
          </cell>
          <cell r="T88" t="str">
            <v>POST2013</v>
          </cell>
        </row>
        <row r="89">
          <cell r="B89" t="str">
            <v>Showerheads-Retro</v>
          </cell>
          <cell r="C89" t="str">
            <v>_PRE2013</v>
          </cell>
          <cell r="D89" t="str">
            <v>_PRE2013</v>
          </cell>
          <cell r="E89" t="str">
            <v>_PRE2013</v>
          </cell>
          <cell r="F89" t="str">
            <v>_PRE2013</v>
          </cell>
          <cell r="G89" t="str">
            <v>_PRE2013</v>
          </cell>
          <cell r="H89" t="str">
            <v>_PRE2013</v>
          </cell>
          <cell r="I89" t="str">
            <v>_PRE2013</v>
          </cell>
          <cell r="J89" t="str">
            <v>_PRE2013</v>
          </cell>
          <cell r="K89" t="str">
            <v>_PRE2013</v>
          </cell>
          <cell r="L89" t="str">
            <v>_PRE2013</v>
          </cell>
          <cell r="M89" t="str">
            <v>_PRE2013</v>
          </cell>
          <cell r="N89" t="str">
            <v>_PRE2013</v>
          </cell>
          <cell r="O89" t="str">
            <v>_PRE2013</v>
          </cell>
          <cell r="P89" t="str">
            <v>_PRE2013</v>
          </cell>
          <cell r="Q89" t="str">
            <v>_PRE2013</v>
          </cell>
          <cell r="R89" t="str">
            <v>_PRE2013</v>
          </cell>
          <cell r="S89" t="str">
            <v>_PRE2013</v>
          </cell>
          <cell r="T89" t="str">
            <v>_PRE2013</v>
          </cell>
        </row>
        <row r="90">
          <cell r="B90" t="str">
            <v>Water Heating - GFHX-New</v>
          </cell>
          <cell r="C90" t="str">
            <v>POST2013</v>
          </cell>
          <cell r="D90" t="str">
            <v>POST2013</v>
          </cell>
          <cell r="E90" t="str">
            <v>POST2013</v>
          </cell>
          <cell r="F90" t="str">
            <v>POST2013</v>
          </cell>
          <cell r="G90" t="str">
            <v>POST2013</v>
          </cell>
          <cell r="H90" t="str">
            <v>POST2013</v>
          </cell>
          <cell r="I90" t="str">
            <v>POST2013</v>
          </cell>
          <cell r="J90" t="str">
            <v>POST2013</v>
          </cell>
          <cell r="K90" t="str">
            <v>POST2013</v>
          </cell>
          <cell r="L90" t="str">
            <v>POST2013</v>
          </cell>
          <cell r="M90" t="str">
            <v>POST2013</v>
          </cell>
          <cell r="N90" t="str">
            <v>POST2013</v>
          </cell>
          <cell r="O90" t="str">
            <v>POST2013</v>
          </cell>
          <cell r="P90" t="str">
            <v>POST2013</v>
          </cell>
          <cell r="Q90" t="str">
            <v>POST2013</v>
          </cell>
          <cell r="R90" t="str">
            <v>POST2013</v>
          </cell>
          <cell r="S90" t="str">
            <v>POST2013</v>
          </cell>
          <cell r="T90" t="str">
            <v>POST2013</v>
          </cell>
        </row>
        <row r="91">
          <cell r="B91" t="str">
            <v>Demand Control Circulating system DHW-Retro</v>
          </cell>
          <cell r="C91" t="str">
            <v>_PRE2013</v>
          </cell>
          <cell r="D91" t="str">
            <v>_PRE2013</v>
          </cell>
          <cell r="E91" t="str">
            <v>_PRE2013</v>
          </cell>
          <cell r="F91" t="str">
            <v>_PRE2013</v>
          </cell>
          <cell r="G91" t="str">
            <v>_PRE2013</v>
          </cell>
          <cell r="H91" t="str">
            <v>_PRE2013</v>
          </cell>
          <cell r="I91" t="str">
            <v>_PRE2013</v>
          </cell>
          <cell r="J91" t="str">
            <v>_PRE2013</v>
          </cell>
          <cell r="K91" t="str">
            <v>_PRE2013</v>
          </cell>
          <cell r="L91" t="str">
            <v>_PRE2013</v>
          </cell>
          <cell r="M91" t="str">
            <v>_PRE2013</v>
          </cell>
          <cell r="N91" t="str">
            <v>_PRE2013</v>
          </cell>
          <cell r="O91" t="str">
            <v>_PRE2013</v>
          </cell>
          <cell r="P91" t="str">
            <v>_PRE2013</v>
          </cell>
          <cell r="Q91" t="str">
            <v>_PRE2013</v>
          </cell>
          <cell r="R91" t="str">
            <v>_PRE2013</v>
          </cell>
          <cell r="S91" t="str">
            <v>_PRE2013</v>
          </cell>
          <cell r="T91" t="str">
            <v>_PRE2013</v>
          </cell>
        </row>
        <row r="92">
          <cell r="B92" t="str">
            <v>Central HPWH MF-Retro</v>
          </cell>
          <cell r="C92" t="str">
            <v>_PRE2013</v>
          </cell>
          <cell r="D92" t="str">
            <v>_PRE2013</v>
          </cell>
          <cell r="E92" t="str">
            <v>_PRE2013</v>
          </cell>
          <cell r="F92" t="str">
            <v>_PRE2013</v>
          </cell>
          <cell r="G92" t="str">
            <v>_PRE2013</v>
          </cell>
          <cell r="H92" t="str">
            <v>_PRE2013</v>
          </cell>
          <cell r="I92" t="str">
            <v>_PRE2013</v>
          </cell>
          <cell r="J92" t="str">
            <v>_PRE2013</v>
          </cell>
          <cell r="K92" t="str">
            <v>_PRE2013</v>
          </cell>
          <cell r="L92" t="str">
            <v>_PRE2013</v>
          </cell>
          <cell r="M92" t="str">
            <v>_PRE2013</v>
          </cell>
          <cell r="N92" t="str">
            <v>_PRE2013</v>
          </cell>
          <cell r="O92" t="str">
            <v>_PRE2013</v>
          </cell>
          <cell r="P92" t="str">
            <v>_PRE2013</v>
          </cell>
          <cell r="Q92" t="str">
            <v>_PRE2013</v>
          </cell>
          <cell r="R92" t="str">
            <v>_PRE2013</v>
          </cell>
          <cell r="S92" t="str">
            <v>_PRE2013</v>
          </cell>
          <cell r="T92" t="str">
            <v>_PRE2013</v>
          </cell>
        </row>
        <row r="93">
          <cell r="B93" t="str">
            <v>Ultra Low Energy Building-New</v>
          </cell>
          <cell r="C93" t="str">
            <v>POST2013</v>
          </cell>
          <cell r="D93" t="str">
            <v>POST2013</v>
          </cell>
          <cell r="E93" t="str">
            <v>POST2013</v>
          </cell>
          <cell r="F93" t="str">
            <v>POST2013</v>
          </cell>
          <cell r="G93" t="str">
            <v>POST2013</v>
          </cell>
          <cell r="H93" t="str">
            <v>POST2013</v>
          </cell>
          <cell r="I93" t="str">
            <v>POST2013</v>
          </cell>
          <cell r="J93" t="str">
            <v>POST2013</v>
          </cell>
          <cell r="K93" t="str">
            <v>POST2013</v>
          </cell>
          <cell r="L93" t="str">
            <v>POST2013</v>
          </cell>
          <cell r="M93" t="str">
            <v>POST2013</v>
          </cell>
          <cell r="N93" t="str">
            <v>POST2013</v>
          </cell>
          <cell r="O93" t="str">
            <v>POST2013</v>
          </cell>
          <cell r="P93" t="str">
            <v>POST2013</v>
          </cell>
          <cell r="Q93" t="str">
            <v>POST2013</v>
          </cell>
          <cell r="R93" t="str">
            <v>POST2013</v>
          </cell>
          <cell r="S93" t="str">
            <v>POST2013</v>
          </cell>
          <cell r="T93" t="str">
            <v>POST2013</v>
          </cell>
        </row>
        <row r="94">
          <cell r="B94" t="str">
            <v>HPLowPowerGSFL-NR</v>
          </cell>
          <cell r="C94" t="str">
            <v>_PRE2013</v>
          </cell>
          <cell r="D94" t="str">
            <v>_PRE2013</v>
          </cell>
        </row>
      </sheetData>
      <sheetData sheetId="6">
        <row r="11">
          <cell r="B11" t="str">
            <v>Measure Index Name</v>
          </cell>
          <cell r="C11" t="str">
            <v>Large Off</v>
          </cell>
          <cell r="D11" t="str">
            <v>Medium Off</v>
          </cell>
          <cell r="E11" t="str">
            <v>Small Off</v>
          </cell>
          <cell r="F11" t="str">
            <v>Xlarge Ret</v>
          </cell>
          <cell r="G11" t="str">
            <v>Large Ret</v>
          </cell>
          <cell r="H11" t="str">
            <v>Medium Ret</v>
          </cell>
          <cell r="I11" t="str">
            <v>Small Ret</v>
          </cell>
          <cell r="J11" t="str">
            <v>School K-12</v>
          </cell>
          <cell r="K11" t="str">
            <v>University</v>
          </cell>
          <cell r="L11" t="str">
            <v>Warehouse</v>
          </cell>
          <cell r="M11" t="str">
            <v>Supermarket</v>
          </cell>
          <cell r="N11" t="str">
            <v>MiniMart</v>
          </cell>
          <cell r="O11" t="str">
            <v>Restaurant</v>
          </cell>
          <cell r="P11" t="str">
            <v>Lodging</v>
          </cell>
          <cell r="Q11" t="str">
            <v>Hospital</v>
          </cell>
          <cell r="R11" t="str">
            <v>Residential Care</v>
          </cell>
          <cell r="S11" t="str">
            <v>Assembly</v>
          </cell>
          <cell r="T11" t="str">
            <v>Other</v>
          </cell>
          <cell r="U11" t="str">
            <v>Non-Building Stock</v>
          </cell>
        </row>
        <row r="17">
          <cell r="B17" t="str">
            <v>Data Centers-Retro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</row>
        <row r="18">
          <cell r="B18" t="str">
            <v>Commercial Computer Monitor-NR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>
            <v>0.2</v>
          </cell>
        </row>
        <row r="19">
          <cell r="B19" t="str">
            <v>Commercial Computer Desktop-NR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>
            <v>0.25</v>
          </cell>
        </row>
        <row r="20">
          <cell r="B20" t="str">
            <v>Pre-Rinse Spray Valve-Retro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>
            <v>0.2</v>
          </cell>
        </row>
        <row r="21">
          <cell r="B21" t="str">
            <v>Cooking Equipment-NR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>
            <v>0.08</v>
          </cell>
        </row>
        <row r="22">
          <cell r="B22" t="str">
            <v>Premium HVAC Equipment-New</v>
          </cell>
          <cell r="C22">
            <v>3.3333333333333333E-2</v>
          </cell>
          <cell r="D22">
            <v>0.04</v>
          </cell>
          <cell r="E22">
            <v>0.05</v>
          </cell>
          <cell r="F22">
            <v>0.05</v>
          </cell>
          <cell r="G22">
            <v>0.05</v>
          </cell>
          <cell r="H22">
            <v>0.05</v>
          </cell>
          <cell r="I22">
            <v>3.3333333333333333E-2</v>
          </cell>
          <cell r="J22">
            <v>3.3333333333333333E-2</v>
          </cell>
          <cell r="K22">
            <v>3.3333333333333333E-2</v>
          </cell>
          <cell r="L22">
            <v>0.05</v>
          </cell>
          <cell r="M22">
            <v>0.05</v>
          </cell>
          <cell r="N22">
            <v>0.05</v>
          </cell>
          <cell r="O22">
            <v>0.05</v>
          </cell>
          <cell r="P22">
            <v>0.05</v>
          </cell>
          <cell r="Q22">
            <v>0.04</v>
          </cell>
          <cell r="R22">
            <v>0.04</v>
          </cell>
          <cell r="S22">
            <v>0.04</v>
          </cell>
          <cell r="T22">
            <v>0.04</v>
          </cell>
        </row>
        <row r="23">
          <cell r="B23" t="str">
            <v>Premium HVAC Equipment-NR</v>
          </cell>
          <cell r="C23">
            <v>3.3333333333333333E-2</v>
          </cell>
          <cell r="D23">
            <v>0.04</v>
          </cell>
          <cell r="E23">
            <v>0.05</v>
          </cell>
          <cell r="F23">
            <v>0.05</v>
          </cell>
          <cell r="G23">
            <v>0.05</v>
          </cell>
          <cell r="H23">
            <v>0.05</v>
          </cell>
          <cell r="I23">
            <v>3.3333333333333333E-2</v>
          </cell>
          <cell r="J23">
            <v>3.3333333333333333E-2</v>
          </cell>
          <cell r="K23">
            <v>3.3333333333333333E-2</v>
          </cell>
          <cell r="L23">
            <v>0.05</v>
          </cell>
          <cell r="M23">
            <v>0.05</v>
          </cell>
          <cell r="N23">
            <v>0.05</v>
          </cell>
          <cell r="O23">
            <v>0.05</v>
          </cell>
          <cell r="P23">
            <v>0.05</v>
          </cell>
          <cell r="Q23">
            <v>0.04</v>
          </cell>
          <cell r="R23">
            <v>0.04</v>
          </cell>
          <cell r="S23">
            <v>0.04</v>
          </cell>
          <cell r="T23">
            <v>0.04</v>
          </cell>
        </row>
        <row r="24">
          <cell r="B24" t="str">
            <v>Glass-New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</row>
        <row r="25">
          <cell r="B25" t="str">
            <v>Glass-NR</v>
          </cell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</row>
        <row r="26">
          <cell r="B26" t="str">
            <v>Glass-Retro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</row>
        <row r="27">
          <cell r="B27" t="str">
            <v>Advanced Rooftop Controller-New</v>
          </cell>
          <cell r="C27">
            <v>6.6666666666666666E-2</v>
          </cell>
          <cell r="D27">
            <v>6.6666666666666666E-2</v>
          </cell>
          <cell r="E27">
            <v>6.6666666666666666E-2</v>
          </cell>
          <cell r="F27">
            <v>6.6666666666666666E-2</v>
          </cell>
          <cell r="G27">
            <v>6.6666666666666666E-2</v>
          </cell>
          <cell r="H27">
            <v>6.6666666666666666E-2</v>
          </cell>
          <cell r="I27">
            <v>6.6666666666666666E-2</v>
          </cell>
          <cell r="J27">
            <v>6.6666666666666666E-2</v>
          </cell>
          <cell r="K27">
            <v>6.6666666666666666E-2</v>
          </cell>
          <cell r="L27">
            <v>6.6666666666666666E-2</v>
          </cell>
          <cell r="M27">
            <v>6.6666666666666666E-2</v>
          </cell>
          <cell r="N27">
            <v>6.6666666666666666E-2</v>
          </cell>
          <cell r="O27">
            <v>6.6666666666666666E-2</v>
          </cell>
          <cell r="P27">
            <v>6.6666666666666666E-2</v>
          </cell>
          <cell r="Q27">
            <v>6.6666666666666666E-2</v>
          </cell>
          <cell r="R27">
            <v>6.6666666666666666E-2</v>
          </cell>
          <cell r="S27">
            <v>6.6666666666666666E-2</v>
          </cell>
          <cell r="T27">
            <v>6.6666666666666666E-2</v>
          </cell>
          <cell r="U27"/>
        </row>
        <row r="28">
          <cell r="B28" t="str">
            <v>Advanced Rooftop Controller-NR</v>
          </cell>
          <cell r="C28">
            <v>6.6666666666666666E-2</v>
          </cell>
          <cell r="D28">
            <v>6.6666666666666666E-2</v>
          </cell>
          <cell r="E28">
            <v>6.6666666666666666E-2</v>
          </cell>
          <cell r="F28">
            <v>6.6666666666666666E-2</v>
          </cell>
          <cell r="G28">
            <v>6.6666666666666666E-2</v>
          </cell>
          <cell r="H28">
            <v>6.6666666666666666E-2</v>
          </cell>
          <cell r="I28">
            <v>6.6666666666666666E-2</v>
          </cell>
          <cell r="J28">
            <v>6.6666666666666666E-2</v>
          </cell>
          <cell r="K28">
            <v>6.6666666666666666E-2</v>
          </cell>
          <cell r="L28">
            <v>6.6666666666666666E-2</v>
          </cell>
          <cell r="M28">
            <v>6.6666666666666666E-2</v>
          </cell>
          <cell r="N28">
            <v>6.6666666666666666E-2</v>
          </cell>
          <cell r="O28">
            <v>6.6666666666666666E-2</v>
          </cell>
          <cell r="P28">
            <v>6.6666666666666666E-2</v>
          </cell>
          <cell r="Q28">
            <v>6.6666666666666666E-2</v>
          </cell>
          <cell r="R28">
            <v>6.6666666666666666E-2</v>
          </cell>
          <cell r="S28">
            <v>6.6666666666666666E-2</v>
          </cell>
          <cell r="T28">
            <v>6.6666666666666666E-2</v>
          </cell>
          <cell r="U28"/>
        </row>
        <row r="29">
          <cell r="B29" t="str">
            <v>Advanced Rooftop Controller-Retro</v>
          </cell>
          <cell r="C29">
            <v>6.6666666666666666E-2</v>
          </cell>
          <cell r="D29">
            <v>6.6666666666666666E-2</v>
          </cell>
          <cell r="E29">
            <v>6.6666666666666666E-2</v>
          </cell>
          <cell r="F29">
            <v>6.6666666666666666E-2</v>
          </cell>
          <cell r="G29">
            <v>6.6666666666666666E-2</v>
          </cell>
          <cell r="H29">
            <v>6.6666666666666666E-2</v>
          </cell>
          <cell r="I29">
            <v>6.6666666666666666E-2</v>
          </cell>
          <cell r="J29">
            <v>6.6666666666666666E-2</v>
          </cell>
          <cell r="K29">
            <v>6.6666666666666666E-2</v>
          </cell>
          <cell r="L29">
            <v>6.6666666666666666E-2</v>
          </cell>
          <cell r="M29">
            <v>6.6666666666666666E-2</v>
          </cell>
          <cell r="N29">
            <v>6.6666666666666666E-2</v>
          </cell>
          <cell r="O29">
            <v>6.6666666666666666E-2</v>
          </cell>
          <cell r="P29">
            <v>6.6666666666666666E-2</v>
          </cell>
          <cell r="Q29">
            <v>6.6666666666666666E-2</v>
          </cell>
          <cell r="R29">
            <v>6.6666666666666666E-2</v>
          </cell>
          <cell r="S29">
            <v>6.6666666666666666E-2</v>
          </cell>
          <cell r="T29">
            <v>6.6666666666666666E-2</v>
          </cell>
          <cell r="U29"/>
        </row>
        <row r="30">
          <cell r="B30" t="str">
            <v>Variable Speed Chiller-New</v>
          </cell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</row>
        <row r="31">
          <cell r="B31" t="str">
            <v>Variable Speed Chiller-NR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</row>
        <row r="32">
          <cell r="B32" t="str">
            <v>Commercial EM-New</v>
          </cell>
          <cell r="C32">
            <v>0.15</v>
          </cell>
          <cell r="D32">
            <v>0.15</v>
          </cell>
          <cell r="E32">
            <v>0.15</v>
          </cell>
          <cell r="F32">
            <v>0.15</v>
          </cell>
          <cell r="G32">
            <v>0.15</v>
          </cell>
          <cell r="H32">
            <v>0.15</v>
          </cell>
          <cell r="I32">
            <v>0.15</v>
          </cell>
          <cell r="J32">
            <v>0.15</v>
          </cell>
          <cell r="K32">
            <v>0.15</v>
          </cell>
          <cell r="L32">
            <v>0.15</v>
          </cell>
          <cell r="M32">
            <v>0.15</v>
          </cell>
          <cell r="N32">
            <v>0.15</v>
          </cell>
          <cell r="O32">
            <v>0.15</v>
          </cell>
          <cell r="P32">
            <v>0.15</v>
          </cell>
          <cell r="Q32">
            <v>0.15</v>
          </cell>
          <cell r="R32">
            <v>0.15</v>
          </cell>
          <cell r="S32">
            <v>0.15</v>
          </cell>
          <cell r="T32">
            <v>0.15</v>
          </cell>
          <cell r="U32"/>
        </row>
        <row r="33">
          <cell r="B33" t="str">
            <v>Commercial EM-NR</v>
          </cell>
          <cell r="C33">
            <v>0.15</v>
          </cell>
          <cell r="D33">
            <v>0.15</v>
          </cell>
          <cell r="E33">
            <v>0.15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  <cell r="M33">
            <v>0.15</v>
          </cell>
          <cell r="N33">
            <v>0.15</v>
          </cell>
          <cell r="O33">
            <v>0.15</v>
          </cell>
          <cell r="P33">
            <v>0.15</v>
          </cell>
          <cell r="Q33">
            <v>0.15</v>
          </cell>
          <cell r="R33">
            <v>0.15</v>
          </cell>
          <cell r="S33">
            <v>0.15</v>
          </cell>
          <cell r="T33">
            <v>0.15</v>
          </cell>
          <cell r="U33"/>
        </row>
        <row r="34">
          <cell r="B34" t="str">
            <v>Commercial EM-Retro</v>
          </cell>
          <cell r="C34">
            <v>0.15</v>
          </cell>
          <cell r="D34">
            <v>0.15</v>
          </cell>
          <cell r="E34">
            <v>0.15</v>
          </cell>
          <cell r="F34">
            <v>0.15</v>
          </cell>
          <cell r="G34">
            <v>0.15</v>
          </cell>
          <cell r="H34">
            <v>0.15</v>
          </cell>
          <cell r="I34">
            <v>0.15</v>
          </cell>
          <cell r="J34">
            <v>0.15</v>
          </cell>
          <cell r="K34">
            <v>0.15</v>
          </cell>
          <cell r="L34">
            <v>0.15</v>
          </cell>
          <cell r="M34">
            <v>0.15</v>
          </cell>
          <cell r="N34">
            <v>0.15</v>
          </cell>
          <cell r="O34">
            <v>0.15</v>
          </cell>
          <cell r="P34">
            <v>0.15</v>
          </cell>
          <cell r="Q34">
            <v>0.15</v>
          </cell>
          <cell r="R34">
            <v>0.15</v>
          </cell>
          <cell r="S34">
            <v>0.15</v>
          </cell>
          <cell r="T34">
            <v>0.15</v>
          </cell>
          <cell r="U34"/>
        </row>
        <row r="35">
          <cell r="B35" t="str">
            <v>Evaporative Assist Cooling-New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</row>
        <row r="36">
          <cell r="B36" t="str">
            <v>Evaporative Assist Cooling-NR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</row>
        <row r="37">
          <cell r="B37" t="str">
            <v>Low Pressure Distribution Complex HVAC-New</v>
          </cell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</row>
        <row r="38">
          <cell r="B38" t="str">
            <v>Demand Control Ventilation-New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</row>
        <row r="39">
          <cell r="B39" t="str">
            <v>Demand Control Ventilation-NR</v>
          </cell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</row>
        <row r="40">
          <cell r="B40" t="str">
            <v>Demand Control Ventilation-Retro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</row>
        <row r="41">
          <cell r="B41" t="str">
            <v>Premium Fume Hood-NR</v>
          </cell>
          <cell r="C41">
            <v>0.06</v>
          </cell>
          <cell r="D41">
            <v>0.06</v>
          </cell>
          <cell r="E41">
            <v>0.06</v>
          </cell>
          <cell r="F41">
            <v>0.06</v>
          </cell>
          <cell r="G41">
            <v>0.06</v>
          </cell>
          <cell r="H41">
            <v>0.06</v>
          </cell>
          <cell r="I41">
            <v>0.06</v>
          </cell>
          <cell r="J41">
            <v>0.06</v>
          </cell>
          <cell r="K41">
            <v>0.06</v>
          </cell>
          <cell r="L41">
            <v>0.06</v>
          </cell>
          <cell r="M41">
            <v>0.06</v>
          </cell>
          <cell r="N41">
            <v>0.06</v>
          </cell>
          <cell r="O41">
            <v>0.06</v>
          </cell>
          <cell r="P41">
            <v>0.06</v>
          </cell>
          <cell r="Q41">
            <v>0.06</v>
          </cell>
          <cell r="R41">
            <v>0.06</v>
          </cell>
          <cell r="S41">
            <v>0.06</v>
          </cell>
          <cell r="T41">
            <v>0.06</v>
          </cell>
          <cell r="U41">
            <v>0.06</v>
          </cell>
        </row>
        <row r="42">
          <cell r="B42" t="str">
            <v>DCV Restaurant Hood-Retro</v>
          </cell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</row>
        <row r="43">
          <cell r="B43" t="str">
            <v>DCV Parking Garage-Retro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</row>
        <row r="44">
          <cell r="B44" t="str">
            <v>Weatherization - School-Retro</v>
          </cell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</row>
        <row r="45">
          <cell r="B45" t="str">
            <v>Commercial Computer Laptop-NR</v>
          </cell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>
            <v>0.25</v>
          </cell>
        </row>
        <row r="46">
          <cell r="B46" t="str">
            <v>AC Heat Recovery for Water Heating-NR</v>
          </cell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</row>
        <row r="47">
          <cell r="B47" t="str">
            <v>Room Occupancy Sensors in Lodging-Retro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</row>
        <row r="48">
          <cell r="B48" t="str">
            <v>Chiller - chilled water retrofit-Retro</v>
          </cell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</row>
        <row r="49">
          <cell r="B49" t="str">
            <v>Chiller - equip retrofits-Retro</v>
          </cell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</row>
        <row r="50">
          <cell r="B50" t="str">
            <v>Pool Blankets-Retro</v>
          </cell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</row>
        <row r="51">
          <cell r="B51" t="str">
            <v>Web-Enabled Thermostats-Retro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</row>
        <row r="52">
          <cell r="B52" t="str">
            <v>Garage CO2 ventilation-Retro</v>
          </cell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</row>
        <row r="53">
          <cell r="B53" t="str">
            <v>Circ Pump ECM and drive-Retro</v>
          </cell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</row>
        <row r="54">
          <cell r="B54" t="str">
            <v>VRF-New</v>
          </cell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</row>
        <row r="55">
          <cell r="B55" t="str">
            <v>VRF-Retro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</row>
        <row r="61">
          <cell r="B61" t="str">
            <v>Top Daylighting-New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</row>
        <row r="62">
          <cell r="B62" t="str">
            <v>Perimeter Daylighting Controls Advanced-New</v>
          </cell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</row>
        <row r="63">
          <cell r="B63" t="str">
            <v>Perimeter Daylighting Controls Advanced-NR</v>
          </cell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</row>
        <row r="64">
          <cell r="B64" t="str">
            <v>Lighting Controls Interior-New</v>
          </cell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</row>
        <row r="65">
          <cell r="B65" t="str">
            <v>Lighting Controls Interior-NR</v>
          </cell>
          <cell r="C65">
            <v>0.06</v>
          </cell>
          <cell r="D65">
            <v>0.06</v>
          </cell>
          <cell r="E65">
            <v>0.06</v>
          </cell>
          <cell r="F65">
            <v>0.06</v>
          </cell>
          <cell r="G65">
            <v>0.06</v>
          </cell>
          <cell r="H65">
            <v>0.06</v>
          </cell>
          <cell r="I65">
            <v>0.06</v>
          </cell>
          <cell r="J65">
            <v>0.06</v>
          </cell>
          <cell r="K65">
            <v>0.06</v>
          </cell>
          <cell r="L65">
            <v>0.06</v>
          </cell>
          <cell r="M65">
            <v>0.06</v>
          </cell>
          <cell r="N65">
            <v>0.06</v>
          </cell>
          <cell r="O65">
            <v>0.06</v>
          </cell>
          <cell r="P65">
            <v>0.06</v>
          </cell>
          <cell r="Q65">
            <v>0.06</v>
          </cell>
          <cell r="R65">
            <v>0.06</v>
          </cell>
          <cell r="S65">
            <v>0.06</v>
          </cell>
          <cell r="T65">
            <v>0.06</v>
          </cell>
        </row>
        <row r="66">
          <cell r="B66" t="str">
            <v>Exterior Building Lighting-New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</row>
        <row r="67">
          <cell r="B67" t="str">
            <v>Exterior Building Lighting-NR</v>
          </cell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</row>
        <row r="68">
          <cell r="B68" t="str">
            <v>Street and Roadway Lighting-New</v>
          </cell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</row>
        <row r="69">
          <cell r="B69" t="str">
            <v>Street and Roadway Lighting-NR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</row>
        <row r="70">
          <cell r="B70" t="str">
            <v>Parking Lighting-New</v>
          </cell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</row>
        <row r="71">
          <cell r="B71" t="str">
            <v>Parking Lighting-NR</v>
          </cell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</row>
        <row r="72">
          <cell r="B72" t="str">
            <v>Luminaire Level Lighting Controls-Retro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</row>
        <row r="73">
          <cell r="B73" t="str">
            <v>ECM-VAV-New</v>
          </cell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</row>
        <row r="74">
          <cell r="B74" t="str">
            <v>ECM-VAV-NR</v>
          </cell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</row>
        <row r="75">
          <cell r="B75" t="str">
            <v>Pool pumps-Retro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</row>
        <row r="76">
          <cell r="B76" t="str">
            <v>MotorsRewind-New</v>
          </cell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</row>
        <row r="77">
          <cell r="B77" t="str">
            <v>MotorsRewind-NR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</row>
        <row r="78">
          <cell r="B78" t="str">
            <v>Municipal Sewage Treatment-Retro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B79" t="str">
            <v>Municipal Water Supply-Retro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B80" t="str">
            <v>Engine Generator Block Heaters-Retro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</row>
        <row r="81">
          <cell r="B81" t="str">
            <v>Grocery Refrigeration Bundle-Retro</v>
          </cell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</row>
        <row r="82">
          <cell r="B82" t="str">
            <v>Packaged Refrigeration Equipment-New</v>
          </cell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</row>
        <row r="83">
          <cell r="B83" t="str">
            <v>Appliances - Freezers-NR</v>
          </cell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</row>
        <row r="84">
          <cell r="B84" t="str">
            <v>Appliances - Refrigerators-NR</v>
          </cell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</row>
        <row r="85">
          <cell r="B85" t="str">
            <v>Water Cooler Controls-Retro</v>
          </cell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</row>
        <row r="86">
          <cell r="B86" t="str">
            <v>WHTanks-New</v>
          </cell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</row>
        <row r="87">
          <cell r="B87" t="str">
            <v>WHTanks-NR</v>
          </cell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</row>
        <row r="88">
          <cell r="B88" t="str">
            <v>Appliances - Clothes Washers-NR</v>
          </cell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</row>
        <row r="89">
          <cell r="B89" t="str">
            <v>Showerheads-Retro</v>
          </cell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</row>
        <row r="90">
          <cell r="B90" t="str">
            <v>Water Heating - GFHX-New</v>
          </cell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</row>
        <row r="91">
          <cell r="B91" t="str">
            <v>Demand Control Circulating system DHW-Retro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</row>
        <row r="92">
          <cell r="B92" t="str">
            <v>Central HPWH MF-Retro</v>
          </cell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</row>
        <row r="93">
          <cell r="B93" t="str">
            <v>Ultra Low Energy Building-New</v>
          </cell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</row>
        <row r="94">
          <cell r="B94" t="str">
            <v>HPLowPowerGSFL-NR</v>
          </cell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</row>
      </sheetData>
      <sheetData sheetId="7">
        <row r="11">
          <cell r="C11" t="str">
            <v>LO1Slow</v>
          </cell>
          <cell r="D11">
            <v>2.5643970768378654E-3</v>
          </cell>
          <cell r="E11">
            <v>7.6904586297764643E-3</v>
          </cell>
          <cell r="F11">
            <v>1.6792013047419844E-2</v>
          </cell>
          <cell r="G11">
            <v>3.15969387774655E-2</v>
          </cell>
          <cell r="H11">
            <v>5.406874819795171E-2</v>
          </cell>
          <cell r="I11">
            <v>8.6253181011834101E-2</v>
          </cell>
          <cell r="J11">
            <v>0.1300328481838382</v>
          </cell>
          <cell r="K11">
            <v>0.18678710893858319</v>
          </cell>
          <cell r="L11">
            <v>0.2569823480072907</v>
          </cell>
          <cell r="M11">
            <v>0.33975920985004748</v>
          </cell>
          <cell r="N11">
            <v>0.43262946935754232</v>
          </cell>
          <cell r="O11">
            <v>0.53142594003645804</v>
          </cell>
          <cell r="P11">
            <v>0.63063487292644704</v>
          </cell>
          <cell r="Q11">
            <v>0.7241560234206913</v>
          </cell>
          <cell r="R11">
            <v>0.80638203131755359</v>
          </cell>
          <cell r="S11">
            <v>0.87331559734491926</v>
          </cell>
          <cell r="T11">
            <v>0.92334516248836807</v>
          </cell>
          <cell r="U11">
            <v>0.95737002770730018</v>
          </cell>
        </row>
        <row r="18">
          <cell r="B18" t="str">
            <v>Measure Index Name</v>
          </cell>
          <cell r="C18" t="str">
            <v>Ramp</v>
          </cell>
          <cell r="D18">
            <v>2016</v>
          </cell>
          <cell r="E18">
            <v>2017</v>
          </cell>
          <cell r="F18">
            <v>2018</v>
          </cell>
          <cell r="G18">
            <v>2019</v>
          </cell>
          <cell r="H18">
            <v>2020</v>
          </cell>
          <cell r="I18">
            <v>2021</v>
          </cell>
          <cell r="J18">
            <v>2022</v>
          </cell>
          <cell r="K18">
            <v>2023</v>
          </cell>
          <cell r="L18">
            <v>2024</v>
          </cell>
          <cell r="M18">
            <v>2025</v>
          </cell>
          <cell r="N18">
            <v>2026</v>
          </cell>
          <cell r="O18">
            <v>2027</v>
          </cell>
          <cell r="P18">
            <v>2028</v>
          </cell>
          <cell r="Q18">
            <v>2029</v>
          </cell>
          <cell r="R18">
            <v>2030</v>
          </cell>
          <cell r="S18">
            <v>2031</v>
          </cell>
          <cell r="T18">
            <v>2032</v>
          </cell>
          <cell r="U18">
            <v>2033</v>
          </cell>
        </row>
        <row r="19">
          <cell r="B19" t="str">
            <v>Compressed Air-Retro</v>
          </cell>
          <cell r="C19" t="str">
            <v>RetroEven20</v>
          </cell>
          <cell r="D19">
            <v>0.05</v>
          </cell>
          <cell r="E19">
            <v>0.05</v>
          </cell>
          <cell r="F19">
            <v>0.05</v>
          </cell>
          <cell r="G19">
            <v>0.05</v>
          </cell>
          <cell r="H19">
            <v>0.05</v>
          </cell>
          <cell r="I19">
            <v>0.05</v>
          </cell>
          <cell r="J19">
            <v>0.05</v>
          </cell>
          <cell r="K19">
            <v>0.05</v>
          </cell>
          <cell r="L19">
            <v>0.05</v>
          </cell>
          <cell r="M19">
            <v>0.05</v>
          </cell>
          <cell r="N19">
            <v>0.05</v>
          </cell>
          <cell r="O19">
            <v>0.05</v>
          </cell>
          <cell r="P19">
            <v>0.05</v>
          </cell>
          <cell r="Q19">
            <v>0.05</v>
          </cell>
          <cell r="R19">
            <v>0.05</v>
          </cell>
          <cell r="S19">
            <v>0.05</v>
          </cell>
          <cell r="T19">
            <v>0.05</v>
          </cell>
          <cell r="U19">
            <v>0.05</v>
          </cell>
        </row>
        <row r="20">
          <cell r="B20" t="str">
            <v>Compressed Air-NR</v>
          </cell>
          <cell r="C20" t="str">
            <v>LOEven20</v>
          </cell>
          <cell r="D20">
            <v>0.05</v>
          </cell>
          <cell r="E20">
            <v>0.1</v>
          </cell>
          <cell r="F20">
            <v>0.15000000000000002</v>
          </cell>
          <cell r="G20">
            <v>0.2</v>
          </cell>
          <cell r="H20">
            <v>0.25</v>
          </cell>
          <cell r="I20">
            <v>0.3</v>
          </cell>
          <cell r="J20">
            <v>0.35</v>
          </cell>
          <cell r="K20">
            <v>0.39999999999999997</v>
          </cell>
          <cell r="L20">
            <v>0.44999999999999996</v>
          </cell>
          <cell r="M20">
            <v>0.49999999999999994</v>
          </cell>
          <cell r="N20">
            <v>0.54999999999999993</v>
          </cell>
          <cell r="O20">
            <v>0.6</v>
          </cell>
          <cell r="P20">
            <v>0.65</v>
          </cell>
          <cell r="Q20">
            <v>0.70000000000000007</v>
          </cell>
          <cell r="R20">
            <v>0.75000000000000011</v>
          </cell>
          <cell r="S20">
            <v>0.80000000000000016</v>
          </cell>
          <cell r="T20">
            <v>0.8500000000000002</v>
          </cell>
          <cell r="U20">
            <v>0.90000000000000024</v>
          </cell>
        </row>
        <row r="21">
          <cell r="B21" t="str">
            <v>Network PC Power Management-Retro</v>
          </cell>
          <cell r="C21" t="str">
            <v>Retro20Fast</v>
          </cell>
          <cell r="D21">
            <v>0.22119921692859512</v>
          </cell>
          <cell r="E21">
            <v>0.17227012335877145</v>
          </cell>
          <cell r="F21">
            <v>0.13416410697161874</v>
          </cell>
          <cell r="G21">
            <v>0.10448711156957236</v>
          </cell>
          <cell r="H21">
            <v>8.1374644311252187E-2</v>
          </cell>
          <cell r="I21">
            <v>6.3374636711760357E-2</v>
          </cell>
          <cell r="J21">
            <v>4.9356216697984623E-2</v>
          </cell>
          <cell r="K21">
            <v>3.8438660213832465E-2</v>
          </cell>
          <cell r="L21">
            <v>2.9936058674748356E-2</v>
          </cell>
          <cell r="M21">
            <v>2.3314225937965505E-2</v>
          </cell>
          <cell r="N21">
            <v>1.8157137417191271E-2</v>
          </cell>
          <cell r="O21">
            <v>1.4140792838843619E-2</v>
          </cell>
          <cell r="P21">
            <v>1.1012860536141922E-2</v>
          </cell>
          <cell r="Q21">
            <v>8.5768244094035495E-3</v>
          </cell>
          <cell r="R21">
            <v>6.6796375663094043E-3</v>
          </cell>
          <cell r="S21">
            <v>5.2021069672748554E-3</v>
          </cell>
          <cell r="T21">
            <v>4.051404979734996E-3</v>
          </cell>
          <cell r="U21">
            <v>3.1552373707569581E-3</v>
          </cell>
        </row>
        <row r="22">
          <cell r="B22" t="str">
            <v>Computer Servers and IT-Retro</v>
          </cell>
          <cell r="C22" t="str">
            <v>LO5Med</v>
          </cell>
          <cell r="D22">
            <v>4.2999999999999997E-2</v>
          </cell>
          <cell r="E22">
            <v>9.5797142280278316E-2</v>
          </cell>
          <cell r="F22">
            <v>0.16040539374775648</v>
          </cell>
          <cell r="G22">
            <v>0.23540539374775649</v>
          </cell>
          <cell r="H22">
            <v>0.32095239121809005</v>
          </cell>
          <cell r="I22">
            <v>0.42096711425629652</v>
          </cell>
          <cell r="J22">
            <v>0.53068481860864725</v>
          </cell>
          <cell r="K22">
            <v>0.642769203728351</v>
          </cell>
          <cell r="L22">
            <v>0.74839528535557953</v>
          </cell>
          <cell r="M22">
            <v>0.83918984935345187</v>
          </cell>
          <cell r="N22">
            <v>0.90945051634530116</v>
          </cell>
          <cell r="O22">
            <v>0.9576688767502457</v>
          </cell>
          <cell r="P22">
            <v>0.9865231113648858</v>
          </cell>
          <cell r="Q22">
            <v>1.0012970762896924</v>
          </cell>
          <cell r="R22">
            <v>1.0076356106578106</v>
          </cell>
          <cell r="S22">
            <v>1.0098624683774413</v>
          </cell>
          <cell r="T22">
            <v>1.0104871783970797</v>
          </cell>
          <cell r="U22">
            <v>1.010623336815976</v>
          </cell>
        </row>
        <row r="23">
          <cell r="B23" t="str">
            <v>Smart Plug Power Strips-Retro</v>
          </cell>
          <cell r="C23" t="str">
            <v>Retro12Med</v>
          </cell>
          <cell r="D23">
            <v>0.10937459468255628</v>
          </cell>
          <cell r="E23">
            <v>0.125</v>
          </cell>
          <cell r="F23">
            <v>0.13671824335319538</v>
          </cell>
          <cell r="G23">
            <v>0.14299999999999999</v>
          </cell>
          <cell r="H23">
            <v>0.13732859265387931</v>
          </cell>
          <cell r="I23">
            <v>0.11444049387823274</v>
          </cell>
          <cell r="J23">
            <v>8.5830370408674583E-2</v>
          </cell>
          <cell r="K23">
            <v>5.8520707096823443E-2</v>
          </cell>
          <cell r="L23">
            <v>3.6575441935514763E-2</v>
          </cell>
          <cell r="M23">
            <v>2.1101216501258402E-2</v>
          </cell>
          <cell r="N23">
            <v>1.1304223125674251E-2</v>
          </cell>
          <cell r="O23">
            <v>5.652111562837181E-3</v>
          </cell>
          <cell r="P23">
            <v>2.6494272950797759E-3</v>
          </cell>
          <cell r="Q23">
            <v>1.1688649831235187E-3</v>
          </cell>
          <cell r="R23">
            <v>4.8702707630143838E-4</v>
          </cell>
          <cell r="S23">
            <v>1.922475301190385E-4</v>
          </cell>
          <cell r="T23">
            <v>7.2092823794611682E-5</v>
          </cell>
          <cell r="U23">
            <v>2.5747437069512102E-5</v>
          </cell>
        </row>
        <row r="24">
          <cell r="B24" t="str">
            <v>Data Centers-Retro</v>
          </cell>
          <cell r="C24" t="str">
            <v>Retro5Med</v>
          </cell>
          <cell r="D24">
            <v>4.2999999999999997E-2</v>
          </cell>
          <cell r="E24">
            <v>5.279714228027832E-2</v>
          </cell>
          <cell r="F24">
            <v>6.4608251467478173E-2</v>
          </cell>
          <cell r="G24">
            <v>7.4999999999999997E-2</v>
          </cell>
          <cell r="H24">
            <v>8.5546997470333563E-2</v>
          </cell>
          <cell r="I24">
            <v>0.10001472303820647</v>
          </cell>
          <cell r="J24">
            <v>0.10971770435235073</v>
          </cell>
          <cell r="K24">
            <v>0.11208438511970376</v>
          </cell>
          <cell r="L24">
            <v>0.10562608162722853</v>
          </cell>
          <cell r="M24">
            <v>9.0794563997872335E-2</v>
          </cell>
          <cell r="N24">
            <v>7.0260666991849297E-2</v>
          </cell>
          <cell r="O24">
            <v>4.8218360404944538E-2</v>
          </cell>
          <cell r="P24">
            <v>2.8854234614640095E-2</v>
          </cell>
          <cell r="Q24">
            <v>1.4773964924806759E-2</v>
          </cell>
          <cell r="R24">
            <v>6.3385343681182649E-3</v>
          </cell>
          <cell r="S24">
            <v>2.2268577196306039E-3</v>
          </cell>
          <cell r="T24">
            <v>6.2471001963848583E-4</v>
          </cell>
          <cell r="U24">
            <v>1.3615841889635938E-4</v>
          </cell>
        </row>
        <row r="25">
          <cell r="B25" t="str">
            <v>Commercial Computer Monitor-NR</v>
          </cell>
          <cell r="C25" t="str">
            <v>LO50Fast</v>
          </cell>
          <cell r="D25">
            <v>0.45</v>
          </cell>
          <cell r="E25">
            <v>0.66</v>
          </cell>
          <cell r="F25">
            <v>0.8</v>
          </cell>
          <cell r="G25">
            <v>0.89</v>
          </cell>
          <cell r="H25">
            <v>0.94954036260972652</v>
          </cell>
          <cell r="I25">
            <v>0.97931054391458994</v>
          </cell>
          <cell r="J25">
            <v>0.99254173560564019</v>
          </cell>
          <cell r="K25">
            <v>0.99783421228206048</v>
          </cell>
          <cell r="L25">
            <v>0.99975874925530417</v>
          </cell>
          <cell r="M25">
            <v>1.0004002615797187</v>
          </cell>
          <cell r="N25">
            <v>1.0005976499872309</v>
          </cell>
          <cell r="O25">
            <v>1.0006540466750915</v>
          </cell>
          <cell r="P25">
            <v>1.0006690857918545</v>
          </cell>
          <cell r="Q25">
            <v>1.000672845571045</v>
          </cell>
          <cell r="R25">
            <v>1.0006737302249724</v>
          </cell>
          <cell r="S25">
            <v>1.0006739268147338</v>
          </cell>
          <cell r="T25">
            <v>1.0006739682020522</v>
          </cell>
          <cell r="U25">
            <v>1.0006739764795158</v>
          </cell>
        </row>
        <row r="26">
          <cell r="B26" t="str">
            <v>Commercial Computer Desktop-NR</v>
          </cell>
          <cell r="C26" t="str">
            <v>LO50Fast</v>
          </cell>
          <cell r="D26">
            <v>0.45</v>
          </cell>
          <cell r="E26">
            <v>0.66</v>
          </cell>
          <cell r="F26">
            <v>0.8</v>
          </cell>
          <cell r="G26">
            <v>0.89</v>
          </cell>
          <cell r="H26">
            <v>0.94954036260972652</v>
          </cell>
          <cell r="I26">
            <v>0.97931054391458994</v>
          </cell>
          <cell r="J26">
            <v>0.99254173560564019</v>
          </cell>
          <cell r="K26">
            <v>0.99783421228206048</v>
          </cell>
          <cell r="L26">
            <v>0.99975874925530417</v>
          </cell>
          <cell r="M26">
            <v>1.0004002615797187</v>
          </cell>
          <cell r="N26">
            <v>1.0005976499872309</v>
          </cell>
          <cell r="O26">
            <v>1.0006540466750915</v>
          </cell>
          <cell r="P26">
            <v>1.0006690857918545</v>
          </cell>
          <cell r="Q26">
            <v>1.000672845571045</v>
          </cell>
          <cell r="R26">
            <v>1.0006737302249724</v>
          </cell>
          <cell r="S26">
            <v>1.0006739268147338</v>
          </cell>
          <cell r="T26">
            <v>1.0006739682020522</v>
          </cell>
          <cell r="U26">
            <v>1.0006739764795158</v>
          </cell>
        </row>
        <row r="27">
          <cell r="B27" t="str">
            <v>Pre-Rinse Spray Valve-Retro</v>
          </cell>
          <cell r="C27" t="str">
            <v>LO20Fast</v>
          </cell>
          <cell r="D27">
            <v>0.22119921692859512</v>
          </cell>
          <cell r="E27">
            <v>0.39346934028736658</v>
          </cell>
          <cell r="F27">
            <v>0.52763344725898531</v>
          </cell>
          <cell r="G27">
            <v>0.63212055882855767</v>
          </cell>
          <cell r="H27">
            <v>0.71349520313980985</v>
          </cell>
          <cell r="I27">
            <v>0.77686983985157021</v>
          </cell>
          <cell r="J27">
            <v>0.82622605654955483</v>
          </cell>
          <cell r="K27">
            <v>0.8646647167633873</v>
          </cell>
          <cell r="L27">
            <v>0.89460077543813565</v>
          </cell>
          <cell r="M27">
            <v>0.91791500137610116</v>
          </cell>
          <cell r="N27">
            <v>0.93607213879329243</v>
          </cell>
          <cell r="O27">
            <v>0.95021293163213605</v>
          </cell>
          <cell r="P27">
            <v>0.96122579216827797</v>
          </cell>
          <cell r="Q27">
            <v>0.96980261657768152</v>
          </cell>
          <cell r="R27">
            <v>0.97648225414399092</v>
          </cell>
          <cell r="S27">
            <v>0.98168436111126578</v>
          </cell>
          <cell r="T27">
            <v>0.98573576609100078</v>
          </cell>
          <cell r="U27">
            <v>0.98889100346175773</v>
          </cell>
        </row>
        <row r="28">
          <cell r="B28" t="str">
            <v>Cooking Equipment-NR</v>
          </cell>
          <cell r="C28" t="str">
            <v>LO5Med</v>
          </cell>
          <cell r="D28">
            <v>4.2999999999999997E-2</v>
          </cell>
          <cell r="E28">
            <v>9.5797142280278316E-2</v>
          </cell>
          <cell r="F28">
            <v>0.16040539374775648</v>
          </cell>
          <cell r="G28">
            <v>0.23540539374775649</v>
          </cell>
          <cell r="H28">
            <v>0.32095239121809005</v>
          </cell>
          <cell r="I28">
            <v>0.42096711425629652</v>
          </cell>
          <cell r="J28">
            <v>0.53068481860864725</v>
          </cell>
          <cell r="K28">
            <v>0.642769203728351</v>
          </cell>
          <cell r="L28">
            <v>0.74839528535557953</v>
          </cell>
          <cell r="M28">
            <v>0.83918984935345187</v>
          </cell>
          <cell r="N28">
            <v>0.90945051634530116</v>
          </cell>
          <cell r="O28">
            <v>0.9576688767502457</v>
          </cell>
          <cell r="P28">
            <v>0.9865231113648858</v>
          </cell>
          <cell r="Q28">
            <v>1.0012970762896924</v>
          </cell>
          <cell r="R28">
            <v>1.0076356106578106</v>
          </cell>
          <cell r="S28">
            <v>1.0098624683774413</v>
          </cell>
          <cell r="T28">
            <v>1.0104871783970797</v>
          </cell>
          <cell r="U28">
            <v>1.010623336815976</v>
          </cell>
        </row>
        <row r="29">
          <cell r="B29" t="str">
            <v>Premium HVAC Equipment-New</v>
          </cell>
          <cell r="C29" t="str">
            <v>LO20Fast</v>
          </cell>
          <cell r="D29">
            <v>0.22119921692859512</v>
          </cell>
          <cell r="E29">
            <v>0.39346934028736658</v>
          </cell>
          <cell r="F29">
            <v>0.52763344725898531</v>
          </cell>
          <cell r="G29">
            <v>0.63212055882855767</v>
          </cell>
          <cell r="H29">
            <v>0.71349520313980985</v>
          </cell>
          <cell r="I29">
            <v>0.77686983985157021</v>
          </cell>
          <cell r="J29">
            <v>0.82622605654955483</v>
          </cell>
          <cell r="K29">
            <v>0.8646647167633873</v>
          </cell>
          <cell r="L29">
            <v>0.89460077543813565</v>
          </cell>
          <cell r="M29">
            <v>0.91791500137610116</v>
          </cell>
          <cell r="N29">
            <v>0.93607213879329243</v>
          </cell>
          <cell r="O29">
            <v>0.95021293163213605</v>
          </cell>
          <cell r="P29">
            <v>0.96122579216827797</v>
          </cell>
          <cell r="Q29">
            <v>0.96980261657768152</v>
          </cell>
          <cell r="R29">
            <v>0.97648225414399092</v>
          </cell>
          <cell r="S29">
            <v>0.98168436111126578</v>
          </cell>
          <cell r="T29">
            <v>0.98573576609100078</v>
          </cell>
          <cell r="U29">
            <v>0.98889100346175773</v>
          </cell>
        </row>
        <row r="30">
          <cell r="B30" t="str">
            <v>Premium HVAC Equipment-NR</v>
          </cell>
          <cell r="C30" t="str">
            <v>LO20Fast</v>
          </cell>
          <cell r="D30">
            <v>0.22119921692859512</v>
          </cell>
          <cell r="E30">
            <v>0.39346934028736658</v>
          </cell>
          <cell r="F30">
            <v>0.52763344725898531</v>
          </cell>
          <cell r="G30">
            <v>0.63212055882855767</v>
          </cell>
          <cell r="H30">
            <v>0.71349520313980985</v>
          </cell>
          <cell r="I30">
            <v>0.77686983985157021</v>
          </cell>
          <cell r="J30">
            <v>0.82622605654955483</v>
          </cell>
          <cell r="K30">
            <v>0.8646647167633873</v>
          </cell>
          <cell r="L30">
            <v>0.89460077543813565</v>
          </cell>
          <cell r="M30">
            <v>0.91791500137610116</v>
          </cell>
          <cell r="N30">
            <v>0.93607213879329243</v>
          </cell>
          <cell r="O30">
            <v>0.95021293163213605</v>
          </cell>
          <cell r="P30">
            <v>0.96122579216827797</v>
          </cell>
          <cell r="Q30">
            <v>0.96980261657768152</v>
          </cell>
          <cell r="R30">
            <v>0.97648225414399092</v>
          </cell>
          <cell r="S30">
            <v>0.98168436111126578</v>
          </cell>
          <cell r="T30">
            <v>0.98573576609100078</v>
          </cell>
          <cell r="U30">
            <v>0.98889100346175773</v>
          </cell>
        </row>
        <row r="31">
          <cell r="B31" t="str">
            <v>Glass-New</v>
          </cell>
          <cell r="C31" t="str">
            <v>LO5Med</v>
          </cell>
          <cell r="D31">
            <v>4.2999999999999997E-2</v>
          </cell>
          <cell r="E31">
            <v>9.5797142280278316E-2</v>
          </cell>
          <cell r="F31">
            <v>0.16040539374775648</v>
          </cell>
          <cell r="G31">
            <v>0.23540539374775649</v>
          </cell>
          <cell r="H31">
            <v>0.32095239121809005</v>
          </cell>
          <cell r="I31">
            <v>0.42096711425629652</v>
          </cell>
          <cell r="J31">
            <v>0.53068481860864725</v>
          </cell>
          <cell r="K31">
            <v>0.642769203728351</v>
          </cell>
          <cell r="L31">
            <v>0.74839528535557953</v>
          </cell>
          <cell r="M31">
            <v>0.83918984935345187</v>
          </cell>
          <cell r="N31">
            <v>0.90945051634530116</v>
          </cell>
          <cell r="O31">
            <v>0.9576688767502457</v>
          </cell>
          <cell r="P31">
            <v>0.9865231113648858</v>
          </cell>
          <cell r="Q31">
            <v>1.0012970762896924</v>
          </cell>
          <cell r="R31">
            <v>1.0076356106578106</v>
          </cell>
          <cell r="S31">
            <v>1.0098624683774413</v>
          </cell>
          <cell r="T31">
            <v>1.0104871783970797</v>
          </cell>
          <cell r="U31">
            <v>1.010623336815976</v>
          </cell>
        </row>
        <row r="32">
          <cell r="B32" t="str">
            <v>Glass-NR</v>
          </cell>
          <cell r="C32" t="str">
            <v>LO5Med</v>
          </cell>
          <cell r="D32">
            <v>4.2999999999999997E-2</v>
          </cell>
          <cell r="E32">
            <v>9.5797142280278316E-2</v>
          </cell>
          <cell r="F32">
            <v>0.16040539374775648</v>
          </cell>
          <cell r="G32">
            <v>0.23540539374775649</v>
          </cell>
          <cell r="H32">
            <v>0.32095239121809005</v>
          </cell>
          <cell r="I32">
            <v>0.42096711425629652</v>
          </cell>
          <cell r="J32">
            <v>0.53068481860864725</v>
          </cell>
          <cell r="K32">
            <v>0.642769203728351</v>
          </cell>
          <cell r="L32">
            <v>0.74839528535557953</v>
          </cell>
          <cell r="M32">
            <v>0.83918984935345187</v>
          </cell>
          <cell r="N32">
            <v>0.90945051634530116</v>
          </cell>
          <cell r="O32">
            <v>0.9576688767502457</v>
          </cell>
          <cell r="P32">
            <v>0.9865231113648858</v>
          </cell>
          <cell r="Q32">
            <v>1.0012970762896924</v>
          </cell>
          <cell r="R32">
            <v>1.0076356106578106</v>
          </cell>
          <cell r="S32">
            <v>1.0098624683774413</v>
          </cell>
          <cell r="T32">
            <v>1.0104871783970797</v>
          </cell>
          <cell r="U32">
            <v>1.010623336815976</v>
          </cell>
        </row>
        <row r="33">
          <cell r="B33" t="str">
            <v>Glass-Retro</v>
          </cell>
          <cell r="C33" t="str">
            <v>Retro1Slow</v>
          </cell>
          <cell r="D33">
            <v>2.5643970768378654E-3</v>
          </cell>
          <cell r="E33">
            <v>5.1260615529385989E-3</v>
          </cell>
          <cell r="F33">
            <v>9.1015544176433795E-3</v>
          </cell>
          <cell r="G33">
            <v>1.4804925730045659E-2</v>
          </cell>
          <cell r="H33">
            <v>2.2471809420486211E-2</v>
          </cell>
          <cell r="I33">
            <v>3.2184432813882391E-2</v>
          </cell>
          <cell r="J33">
            <v>4.3779667172004086E-2</v>
          </cell>
          <cell r="K33">
            <v>5.675426075474499E-2</v>
          </cell>
          <cell r="L33">
            <v>7.0195239068707532E-2</v>
          </cell>
          <cell r="M33">
            <v>8.2776861842756788E-2</v>
          </cell>
          <cell r="N33">
            <v>9.2870259507494834E-2</v>
          </cell>
          <cell r="O33">
            <v>9.8796470678915727E-2</v>
          </cell>
          <cell r="P33">
            <v>9.9208932889988999E-2</v>
          </cell>
          <cell r="Q33">
            <v>9.3521150494244254E-2</v>
          </cell>
          <cell r="R33">
            <v>8.2226007896862296E-2</v>
          </cell>
          <cell r="S33">
            <v>6.6933566027365665E-2</v>
          </cell>
          <cell r="T33">
            <v>5.0029565143448806E-2</v>
          </cell>
          <cell r="U33">
            <v>3.402486521893211E-2</v>
          </cell>
        </row>
        <row r="34">
          <cell r="B34" t="str">
            <v>Advanced Rooftop Controller-New</v>
          </cell>
          <cell r="C34" t="str">
            <v>LO3Slow</v>
          </cell>
          <cell r="D34">
            <v>5.5320496977002724E-3</v>
          </cell>
          <cell r="E34">
            <v>1.4227918344261844E-2</v>
          </cell>
          <cell r="F34">
            <v>3.1619655637384989E-2</v>
          </cell>
          <cell r="G34">
            <v>6.2055195900350503E-2</v>
          </cell>
          <cell r="H34">
            <v>0.10939936964274129</v>
          </cell>
          <cell r="I34">
            <v>0.17568121288208835</v>
          </cell>
          <cell r="J34">
            <v>0.26003992245943919</v>
          </cell>
          <cell r="K34">
            <v>0.3584584169663485</v>
          </cell>
          <cell r="L34">
            <v>0.46444756489686617</v>
          </cell>
          <cell r="M34">
            <v>0.57043671282738384</v>
          </cell>
          <cell r="N34">
            <v>0.66935991756253377</v>
          </cell>
          <cell r="O34">
            <v>0.75591772170578986</v>
          </cell>
          <cell r="P34">
            <v>0.82720061923553012</v>
          </cell>
          <cell r="Q34">
            <v>0.88264287286977261</v>
          </cell>
          <cell r="R34">
            <v>0.92349505975816193</v>
          </cell>
          <cell r="S34">
            <v>0.95209159058003434</v>
          </cell>
          <cell r="T34">
            <v>0.97115594446128262</v>
          </cell>
          <cell r="U34">
            <v>0.98328780602207699</v>
          </cell>
        </row>
        <row r="35">
          <cell r="B35" t="str">
            <v>Advanced Rooftop Controller-NR</v>
          </cell>
          <cell r="C35" t="str">
            <v>LO3Slow</v>
          </cell>
          <cell r="D35">
            <v>5.5320496977002724E-3</v>
          </cell>
          <cell r="E35">
            <v>1.4227918344261844E-2</v>
          </cell>
          <cell r="F35">
            <v>3.1619655637384989E-2</v>
          </cell>
          <cell r="G35">
            <v>6.2055195900350503E-2</v>
          </cell>
          <cell r="H35">
            <v>0.10939936964274129</v>
          </cell>
          <cell r="I35">
            <v>0.17568121288208835</v>
          </cell>
          <cell r="J35">
            <v>0.26003992245943919</v>
          </cell>
          <cell r="K35">
            <v>0.3584584169663485</v>
          </cell>
          <cell r="L35">
            <v>0.46444756489686617</v>
          </cell>
          <cell r="M35">
            <v>0.57043671282738384</v>
          </cell>
          <cell r="N35">
            <v>0.66935991756253377</v>
          </cell>
          <cell r="O35">
            <v>0.75591772170578986</v>
          </cell>
          <cell r="P35">
            <v>0.82720061923553012</v>
          </cell>
          <cell r="Q35">
            <v>0.88264287286977261</v>
          </cell>
          <cell r="R35">
            <v>0.92349505975816193</v>
          </cell>
          <cell r="S35">
            <v>0.95209159058003434</v>
          </cell>
          <cell r="T35">
            <v>0.97115594446128262</v>
          </cell>
          <cell r="U35">
            <v>0.98328780602207699</v>
          </cell>
        </row>
        <row r="36">
          <cell r="B36" t="str">
            <v>Advanced Rooftop Controller-Retro</v>
          </cell>
          <cell r="C36" t="str">
            <v>Retro3Slow</v>
          </cell>
          <cell r="D36">
            <v>5.5320496977002724E-3</v>
          </cell>
          <cell r="E36">
            <v>8.6958686465615706E-3</v>
          </cell>
          <cell r="F36">
            <v>1.7391737293123145E-2</v>
          </cell>
          <cell r="G36">
            <v>3.0435540262965514E-2</v>
          </cell>
          <cell r="H36">
            <v>4.7344173742390784E-2</v>
          </cell>
          <cell r="I36">
            <v>6.6281843239347063E-2</v>
          </cell>
          <cell r="J36">
            <v>8.4358709577350838E-2</v>
          </cell>
          <cell r="K36">
            <v>9.8418494506909315E-2</v>
          </cell>
          <cell r="L36">
            <v>0.10598914793051767</v>
          </cell>
          <cell r="M36">
            <v>0.10598914793051767</v>
          </cell>
          <cell r="N36">
            <v>9.8923204735149928E-2</v>
          </cell>
          <cell r="O36">
            <v>8.655780414325609E-2</v>
          </cell>
          <cell r="P36">
            <v>7.1282897529740263E-2</v>
          </cell>
          <cell r="Q36">
            <v>5.5442253634242489E-2</v>
          </cell>
          <cell r="R36">
            <v>4.0852186888389319E-2</v>
          </cell>
          <cell r="S36">
            <v>2.8596530821872412E-2</v>
          </cell>
          <cell r="T36">
            <v>1.9064353881248275E-2</v>
          </cell>
          <cell r="U36">
            <v>1.2131861560794377E-2</v>
          </cell>
        </row>
        <row r="37">
          <cell r="B37" t="str">
            <v>Variable Speed Chiller-New</v>
          </cell>
          <cell r="C37" t="str">
            <v>LO50Fast</v>
          </cell>
          <cell r="D37">
            <v>0.45</v>
          </cell>
          <cell r="E37">
            <v>0.66</v>
          </cell>
          <cell r="F37">
            <v>0.8</v>
          </cell>
          <cell r="G37">
            <v>0.89</v>
          </cell>
          <cell r="H37">
            <v>0.94954036260972652</v>
          </cell>
          <cell r="I37">
            <v>0.97931054391458994</v>
          </cell>
          <cell r="J37">
            <v>0.99254173560564019</v>
          </cell>
          <cell r="K37">
            <v>0.99783421228206048</v>
          </cell>
          <cell r="L37">
            <v>0.99975874925530417</v>
          </cell>
          <cell r="M37">
            <v>1.0004002615797187</v>
          </cell>
          <cell r="N37">
            <v>1.0005976499872309</v>
          </cell>
          <cell r="O37">
            <v>1.0006540466750915</v>
          </cell>
          <cell r="P37">
            <v>1.0006690857918545</v>
          </cell>
          <cell r="Q37">
            <v>1.000672845571045</v>
          </cell>
          <cell r="R37">
            <v>1.0006737302249724</v>
          </cell>
          <cell r="S37">
            <v>1.0006739268147338</v>
          </cell>
          <cell r="T37">
            <v>1.0006739682020522</v>
          </cell>
          <cell r="U37">
            <v>1.0006739764795158</v>
          </cell>
        </row>
        <row r="38">
          <cell r="B38" t="str">
            <v>Variable Speed Chiller-NR</v>
          </cell>
          <cell r="C38" t="str">
            <v>LO50Fast</v>
          </cell>
          <cell r="D38">
            <v>0.45</v>
          </cell>
          <cell r="E38">
            <v>0.66</v>
          </cell>
          <cell r="F38">
            <v>0.8</v>
          </cell>
          <cell r="G38">
            <v>0.89</v>
          </cell>
          <cell r="H38">
            <v>0.94954036260972652</v>
          </cell>
          <cell r="I38">
            <v>0.97931054391458994</v>
          </cell>
          <cell r="J38">
            <v>0.99254173560564019</v>
          </cell>
          <cell r="K38">
            <v>0.99783421228206048</v>
          </cell>
          <cell r="L38">
            <v>0.99975874925530417</v>
          </cell>
          <cell r="M38">
            <v>1.0004002615797187</v>
          </cell>
          <cell r="N38">
            <v>1.0005976499872309</v>
          </cell>
          <cell r="O38">
            <v>1.0006540466750915</v>
          </cell>
          <cell r="P38">
            <v>1.0006690857918545</v>
          </cell>
          <cell r="Q38">
            <v>1.000672845571045</v>
          </cell>
          <cell r="R38">
            <v>1.0006737302249724</v>
          </cell>
          <cell r="S38">
            <v>1.0006739268147338</v>
          </cell>
          <cell r="T38">
            <v>1.0006739682020522</v>
          </cell>
          <cell r="U38">
            <v>1.0006739764795158</v>
          </cell>
        </row>
        <row r="39">
          <cell r="B39" t="str">
            <v>Commercial EM-New</v>
          </cell>
          <cell r="C39" t="str">
            <v>LO1Slow</v>
          </cell>
          <cell r="D39">
            <v>2.5643970768378654E-3</v>
          </cell>
          <cell r="E39">
            <v>7.6904586297764643E-3</v>
          </cell>
          <cell r="F39">
            <v>1.6792013047419844E-2</v>
          </cell>
          <cell r="G39">
            <v>3.15969387774655E-2</v>
          </cell>
          <cell r="H39">
            <v>5.406874819795171E-2</v>
          </cell>
          <cell r="I39">
            <v>8.6253181011834101E-2</v>
          </cell>
          <cell r="J39">
            <v>0.1300328481838382</v>
          </cell>
          <cell r="K39">
            <v>0.18678710893858319</v>
          </cell>
          <cell r="L39">
            <v>0.2569823480072907</v>
          </cell>
          <cell r="M39">
            <v>0.33975920985004748</v>
          </cell>
          <cell r="N39">
            <v>0.43262946935754232</v>
          </cell>
          <cell r="O39">
            <v>0.53142594003645804</v>
          </cell>
          <cell r="P39">
            <v>0.63063487292644704</v>
          </cell>
          <cell r="Q39">
            <v>0.7241560234206913</v>
          </cell>
          <cell r="R39">
            <v>0.80638203131755359</v>
          </cell>
          <cell r="S39">
            <v>0.87331559734491926</v>
          </cell>
          <cell r="T39">
            <v>0.92334516248836807</v>
          </cell>
          <cell r="U39">
            <v>0.95737002770730018</v>
          </cell>
        </row>
        <row r="40">
          <cell r="B40" t="str">
            <v>Commercial EM-NR</v>
          </cell>
          <cell r="C40" t="str">
            <v>LO12Med</v>
          </cell>
          <cell r="D40">
            <v>0.10937459468255628</v>
          </cell>
          <cell r="E40">
            <v>0.23437459468255628</v>
          </cell>
          <cell r="F40">
            <v>0.37109283803575166</v>
          </cell>
          <cell r="G40">
            <v>0.51409283803575168</v>
          </cell>
          <cell r="H40">
            <v>0.65142143068963099</v>
          </cell>
          <cell r="I40">
            <v>0.76586192456786373</v>
          </cell>
          <cell r="J40">
            <v>0.85169229497653831</v>
          </cell>
          <cell r="K40">
            <v>0.91021300207336175</v>
          </cell>
          <cell r="L40">
            <v>0.94678844400887652</v>
          </cell>
          <cell r="M40">
            <v>0.96788966051013492</v>
          </cell>
          <cell r="N40">
            <v>0.97919388363580917</v>
          </cell>
          <cell r="O40">
            <v>0.98484599519864635</v>
          </cell>
          <cell r="P40">
            <v>0.98749542249372613</v>
          </cell>
          <cell r="Q40">
            <v>0.98866428747684965</v>
          </cell>
          <cell r="R40">
            <v>0.98915131455315108</v>
          </cell>
          <cell r="S40">
            <v>0.98934356208327012</v>
          </cell>
          <cell r="T40">
            <v>0.98941565490706473</v>
          </cell>
          <cell r="U40">
            <v>0.98944140234413425</v>
          </cell>
        </row>
        <row r="41">
          <cell r="B41" t="str">
            <v>Commercial EM-Retro</v>
          </cell>
          <cell r="C41" t="str">
            <v>Retro12Med</v>
          </cell>
          <cell r="D41">
            <v>0.10937459468255628</v>
          </cell>
          <cell r="E41">
            <v>0.125</v>
          </cell>
          <cell r="F41">
            <v>0.13671824335319538</v>
          </cell>
          <cell r="G41">
            <v>0.14299999999999999</v>
          </cell>
          <cell r="H41">
            <v>0.13732859265387931</v>
          </cell>
          <cell r="I41">
            <v>0.11444049387823274</v>
          </cell>
          <cell r="J41">
            <v>8.5830370408674583E-2</v>
          </cell>
          <cell r="K41">
            <v>5.8520707096823443E-2</v>
          </cell>
          <cell r="L41">
            <v>3.6575441935514763E-2</v>
          </cell>
          <cell r="M41">
            <v>2.1101216501258402E-2</v>
          </cell>
          <cell r="N41">
            <v>1.1304223125674251E-2</v>
          </cell>
          <cell r="O41">
            <v>5.652111562837181E-3</v>
          </cell>
          <cell r="P41">
            <v>2.6494272950797759E-3</v>
          </cell>
          <cell r="Q41">
            <v>1.1688649831235187E-3</v>
          </cell>
          <cell r="R41">
            <v>4.8702707630143838E-4</v>
          </cell>
          <cell r="S41">
            <v>1.922475301190385E-4</v>
          </cell>
          <cell r="T41">
            <v>7.2092823794611682E-5</v>
          </cell>
          <cell r="U41">
            <v>2.5747437069512102E-5</v>
          </cell>
        </row>
        <row r="42">
          <cell r="B42" t="str">
            <v>Evaporative Assist Cooling-New</v>
          </cell>
          <cell r="C42" t="str">
            <v>LO1Slow</v>
          </cell>
          <cell r="D42">
            <v>2.5643970768378654E-3</v>
          </cell>
          <cell r="E42">
            <v>7.6904586297764643E-3</v>
          </cell>
          <cell r="F42">
            <v>1.6792013047419844E-2</v>
          </cell>
          <cell r="G42">
            <v>3.15969387774655E-2</v>
          </cell>
          <cell r="H42">
            <v>5.406874819795171E-2</v>
          </cell>
          <cell r="I42">
            <v>8.6253181011834101E-2</v>
          </cell>
          <cell r="J42">
            <v>0.1300328481838382</v>
          </cell>
          <cell r="K42">
            <v>0.18678710893858319</v>
          </cell>
          <cell r="L42">
            <v>0.2569823480072907</v>
          </cell>
          <cell r="M42">
            <v>0.33975920985004748</v>
          </cell>
          <cell r="N42">
            <v>0.43262946935754232</v>
          </cell>
          <cell r="O42">
            <v>0.53142594003645804</v>
          </cell>
          <cell r="P42">
            <v>0.63063487292644704</v>
          </cell>
          <cell r="Q42">
            <v>0.7241560234206913</v>
          </cell>
          <cell r="R42">
            <v>0.80638203131755359</v>
          </cell>
          <cell r="S42">
            <v>0.87331559734491926</v>
          </cell>
          <cell r="T42">
            <v>0.92334516248836807</v>
          </cell>
          <cell r="U42">
            <v>0.95737002770730018</v>
          </cell>
        </row>
        <row r="43">
          <cell r="B43" t="str">
            <v>Evaporative Assist Cooling-NR</v>
          </cell>
          <cell r="C43" t="str">
            <v>LO1Slow</v>
          </cell>
          <cell r="D43">
            <v>2.5643970768378654E-3</v>
          </cell>
          <cell r="E43">
            <v>7.6904586297764643E-3</v>
          </cell>
          <cell r="F43">
            <v>1.6792013047419844E-2</v>
          </cell>
          <cell r="G43">
            <v>3.15969387774655E-2</v>
          </cell>
          <cell r="H43">
            <v>5.406874819795171E-2</v>
          </cell>
          <cell r="I43">
            <v>8.6253181011834101E-2</v>
          </cell>
          <cell r="J43">
            <v>0.1300328481838382</v>
          </cell>
          <cell r="K43">
            <v>0.18678710893858319</v>
          </cell>
          <cell r="L43">
            <v>0.2569823480072907</v>
          </cell>
          <cell r="M43">
            <v>0.33975920985004748</v>
          </cell>
          <cell r="N43">
            <v>0.43262946935754232</v>
          </cell>
          <cell r="O43">
            <v>0.53142594003645804</v>
          </cell>
          <cell r="P43">
            <v>0.63063487292644704</v>
          </cell>
          <cell r="Q43">
            <v>0.7241560234206913</v>
          </cell>
          <cell r="R43">
            <v>0.80638203131755359</v>
          </cell>
          <cell r="S43">
            <v>0.87331559734491926</v>
          </cell>
          <cell r="T43">
            <v>0.92334516248836807</v>
          </cell>
          <cell r="U43">
            <v>0.95737002770730018</v>
          </cell>
        </row>
        <row r="44">
          <cell r="B44" t="str">
            <v>Low Pressure Distribution Complex HVAC-New</v>
          </cell>
          <cell r="C44" t="str">
            <v>LO1Slow</v>
          </cell>
          <cell r="D44">
            <v>2.5643970768378654E-3</v>
          </cell>
          <cell r="E44">
            <v>7.6904586297764643E-3</v>
          </cell>
          <cell r="F44">
            <v>1.6792013047419844E-2</v>
          </cell>
          <cell r="G44">
            <v>3.15969387774655E-2</v>
          </cell>
          <cell r="H44">
            <v>5.406874819795171E-2</v>
          </cell>
          <cell r="I44">
            <v>8.6253181011834101E-2</v>
          </cell>
          <cell r="J44">
            <v>0.1300328481838382</v>
          </cell>
          <cell r="K44">
            <v>0.18678710893858319</v>
          </cell>
          <cell r="L44">
            <v>0.2569823480072907</v>
          </cell>
          <cell r="M44">
            <v>0.33975920985004748</v>
          </cell>
          <cell r="N44">
            <v>0.43262946935754232</v>
          </cell>
          <cell r="O44">
            <v>0.53142594003645804</v>
          </cell>
          <cell r="P44">
            <v>0.63063487292644704</v>
          </cell>
          <cell r="Q44">
            <v>0.7241560234206913</v>
          </cell>
          <cell r="R44">
            <v>0.80638203131755359</v>
          </cell>
          <cell r="S44">
            <v>0.87331559734491926</v>
          </cell>
          <cell r="T44">
            <v>0.92334516248836807</v>
          </cell>
          <cell r="U44">
            <v>0.95737002770730018</v>
          </cell>
        </row>
        <row r="45">
          <cell r="B45" t="str">
            <v>Demand Control Ventilation-New</v>
          </cell>
          <cell r="C45" t="str">
            <v>LOEven20</v>
          </cell>
          <cell r="D45">
            <v>0.05</v>
          </cell>
          <cell r="E45">
            <v>0.1</v>
          </cell>
          <cell r="F45">
            <v>0.15000000000000002</v>
          </cell>
          <cell r="G45">
            <v>0.2</v>
          </cell>
          <cell r="H45">
            <v>0.25</v>
          </cell>
          <cell r="I45">
            <v>0.3</v>
          </cell>
          <cell r="J45">
            <v>0.35</v>
          </cell>
          <cell r="K45">
            <v>0.39999999999999997</v>
          </cell>
          <cell r="L45">
            <v>0.44999999999999996</v>
          </cell>
          <cell r="M45">
            <v>0.49999999999999994</v>
          </cell>
          <cell r="N45">
            <v>0.54999999999999993</v>
          </cell>
          <cell r="O45">
            <v>0.6</v>
          </cell>
          <cell r="P45">
            <v>0.65</v>
          </cell>
          <cell r="Q45">
            <v>0.70000000000000007</v>
          </cell>
          <cell r="R45">
            <v>0.75000000000000011</v>
          </cell>
          <cell r="S45">
            <v>0.80000000000000016</v>
          </cell>
          <cell r="T45">
            <v>0.8500000000000002</v>
          </cell>
          <cell r="U45">
            <v>0.90000000000000024</v>
          </cell>
        </row>
        <row r="46">
          <cell r="B46" t="str">
            <v>Demand Control Ventilation-NR</v>
          </cell>
          <cell r="C46" t="str">
            <v>LOEven20</v>
          </cell>
          <cell r="D46">
            <v>0.05</v>
          </cell>
          <cell r="E46">
            <v>0.1</v>
          </cell>
          <cell r="F46">
            <v>0.15000000000000002</v>
          </cell>
          <cell r="G46">
            <v>0.2</v>
          </cell>
          <cell r="H46">
            <v>0.25</v>
          </cell>
          <cell r="I46">
            <v>0.3</v>
          </cell>
          <cell r="J46">
            <v>0.35</v>
          </cell>
          <cell r="K46">
            <v>0.39999999999999997</v>
          </cell>
          <cell r="L46">
            <v>0.44999999999999996</v>
          </cell>
          <cell r="M46">
            <v>0.49999999999999994</v>
          </cell>
          <cell r="N46">
            <v>0.54999999999999993</v>
          </cell>
          <cell r="O46">
            <v>0.6</v>
          </cell>
          <cell r="P46">
            <v>0.65</v>
          </cell>
          <cell r="Q46">
            <v>0.70000000000000007</v>
          </cell>
          <cell r="R46">
            <v>0.75000000000000011</v>
          </cell>
          <cell r="S46">
            <v>0.80000000000000016</v>
          </cell>
          <cell r="T46">
            <v>0.8500000000000002</v>
          </cell>
          <cell r="U46">
            <v>0.90000000000000024</v>
          </cell>
        </row>
        <row r="47">
          <cell r="B47" t="str">
            <v>Demand Control Ventilation-Retro</v>
          </cell>
          <cell r="C47" t="str">
            <v>RetroEven20</v>
          </cell>
          <cell r="D47">
            <v>0.05</v>
          </cell>
          <cell r="E47">
            <v>0.05</v>
          </cell>
          <cell r="F47">
            <v>0.05</v>
          </cell>
          <cell r="G47">
            <v>0.05</v>
          </cell>
          <cell r="H47">
            <v>0.05</v>
          </cell>
          <cell r="I47">
            <v>0.05</v>
          </cell>
          <cell r="J47">
            <v>0.05</v>
          </cell>
          <cell r="K47">
            <v>0.05</v>
          </cell>
          <cell r="L47">
            <v>0.05</v>
          </cell>
          <cell r="M47">
            <v>0.05</v>
          </cell>
          <cell r="N47">
            <v>0.05</v>
          </cell>
          <cell r="O47">
            <v>0.05</v>
          </cell>
          <cell r="P47">
            <v>0.05</v>
          </cell>
          <cell r="Q47">
            <v>0.05</v>
          </cell>
          <cell r="R47">
            <v>0.05</v>
          </cell>
          <cell r="S47">
            <v>0.05</v>
          </cell>
          <cell r="T47">
            <v>0.05</v>
          </cell>
          <cell r="U47">
            <v>0.05</v>
          </cell>
        </row>
        <row r="48">
          <cell r="B48" t="str">
            <v>Premium Fume Hood-NR</v>
          </cell>
          <cell r="C48" t="str">
            <v>LOEven20</v>
          </cell>
          <cell r="D48">
            <v>0.05</v>
          </cell>
          <cell r="E48">
            <v>0.1</v>
          </cell>
          <cell r="F48">
            <v>0.15000000000000002</v>
          </cell>
          <cell r="G48">
            <v>0.2</v>
          </cell>
          <cell r="H48">
            <v>0.25</v>
          </cell>
          <cell r="I48">
            <v>0.3</v>
          </cell>
          <cell r="J48">
            <v>0.35</v>
          </cell>
          <cell r="K48">
            <v>0.39999999999999997</v>
          </cell>
          <cell r="L48">
            <v>0.44999999999999996</v>
          </cell>
          <cell r="M48">
            <v>0.49999999999999994</v>
          </cell>
          <cell r="N48">
            <v>0.54999999999999993</v>
          </cell>
          <cell r="O48">
            <v>0.6</v>
          </cell>
          <cell r="P48">
            <v>0.65</v>
          </cell>
          <cell r="Q48">
            <v>0.70000000000000007</v>
          </cell>
          <cell r="R48">
            <v>0.75000000000000011</v>
          </cell>
          <cell r="S48">
            <v>0.80000000000000016</v>
          </cell>
          <cell r="T48">
            <v>0.8500000000000002</v>
          </cell>
          <cell r="U48">
            <v>0.90000000000000024</v>
          </cell>
        </row>
        <row r="49">
          <cell r="B49" t="str">
            <v>DCV Restaurant Hood-Retro</v>
          </cell>
          <cell r="C49" t="str">
            <v>Retro20Fast</v>
          </cell>
          <cell r="D49">
            <v>0.22119921692859512</v>
          </cell>
          <cell r="E49">
            <v>0.17227012335877145</v>
          </cell>
          <cell r="F49">
            <v>0.13416410697161874</v>
          </cell>
          <cell r="G49">
            <v>0.10448711156957236</v>
          </cell>
          <cell r="H49">
            <v>8.1374644311252187E-2</v>
          </cell>
          <cell r="I49">
            <v>6.3374636711760357E-2</v>
          </cell>
          <cell r="J49">
            <v>4.9356216697984623E-2</v>
          </cell>
          <cell r="K49">
            <v>3.8438660213832465E-2</v>
          </cell>
          <cell r="L49">
            <v>2.9936058674748356E-2</v>
          </cell>
          <cell r="M49">
            <v>2.3314225937965505E-2</v>
          </cell>
          <cell r="N49">
            <v>1.8157137417191271E-2</v>
          </cell>
          <cell r="O49">
            <v>1.4140792838843619E-2</v>
          </cell>
          <cell r="P49">
            <v>1.1012860536141922E-2</v>
          </cell>
          <cell r="Q49">
            <v>8.5768244094035495E-3</v>
          </cell>
          <cell r="R49">
            <v>6.6796375663094043E-3</v>
          </cell>
          <cell r="S49">
            <v>5.2021069672748554E-3</v>
          </cell>
          <cell r="T49">
            <v>4.051404979734996E-3</v>
          </cell>
          <cell r="U49">
            <v>3.1552373707569581E-3</v>
          </cell>
        </row>
        <row r="50">
          <cell r="B50" t="str">
            <v>DCV Parking Garage-Retro</v>
          </cell>
          <cell r="C50" t="str">
            <v>Retro20Fast</v>
          </cell>
          <cell r="D50">
            <v>0.22119921692859512</v>
          </cell>
          <cell r="E50">
            <v>0.17227012335877145</v>
          </cell>
          <cell r="F50">
            <v>0.13416410697161874</v>
          </cell>
          <cell r="G50">
            <v>0.10448711156957236</v>
          </cell>
          <cell r="H50">
            <v>8.1374644311252187E-2</v>
          </cell>
          <cell r="I50">
            <v>6.3374636711760357E-2</v>
          </cell>
          <cell r="J50">
            <v>4.9356216697984623E-2</v>
          </cell>
          <cell r="K50">
            <v>3.8438660213832465E-2</v>
          </cell>
          <cell r="L50">
            <v>2.9936058674748356E-2</v>
          </cell>
          <cell r="M50">
            <v>2.3314225937965505E-2</v>
          </cell>
          <cell r="N50">
            <v>1.8157137417191271E-2</v>
          </cell>
          <cell r="O50">
            <v>1.4140792838843619E-2</v>
          </cell>
          <cell r="P50">
            <v>1.1012860536141922E-2</v>
          </cell>
          <cell r="Q50">
            <v>8.5768244094035495E-3</v>
          </cell>
          <cell r="R50">
            <v>6.6796375663094043E-3</v>
          </cell>
          <cell r="S50">
            <v>5.2021069672748554E-3</v>
          </cell>
          <cell r="T50">
            <v>4.051404979734996E-3</v>
          </cell>
          <cell r="U50">
            <v>3.1552373707569581E-3</v>
          </cell>
        </row>
        <row r="51">
          <cell r="B51" t="str">
            <v>Weatherization - School-Retro</v>
          </cell>
          <cell r="C51" t="str">
            <v>RetroEven20</v>
          </cell>
          <cell r="D51">
            <v>0.05</v>
          </cell>
          <cell r="E51">
            <v>0.05</v>
          </cell>
          <cell r="F51">
            <v>0.05</v>
          </cell>
          <cell r="G51">
            <v>0.05</v>
          </cell>
          <cell r="H51">
            <v>0.05</v>
          </cell>
          <cell r="I51">
            <v>0.05</v>
          </cell>
          <cell r="J51">
            <v>0.05</v>
          </cell>
          <cell r="K51">
            <v>0.05</v>
          </cell>
          <cell r="L51">
            <v>0.05</v>
          </cell>
          <cell r="M51">
            <v>0.05</v>
          </cell>
          <cell r="N51">
            <v>0.05</v>
          </cell>
          <cell r="O51">
            <v>0.05</v>
          </cell>
          <cell r="P51">
            <v>0.05</v>
          </cell>
          <cell r="Q51">
            <v>0.05</v>
          </cell>
          <cell r="R51">
            <v>0.05</v>
          </cell>
          <cell r="S51">
            <v>0.05</v>
          </cell>
          <cell r="T51">
            <v>0.05</v>
          </cell>
          <cell r="U51">
            <v>0.05</v>
          </cell>
        </row>
        <row r="52">
          <cell r="B52" t="str">
            <v>Commercial Computer Laptop-NR</v>
          </cell>
          <cell r="C52" t="str">
            <v>LO5Med</v>
          </cell>
          <cell r="D52">
            <v>4.2999999999999997E-2</v>
          </cell>
          <cell r="E52">
            <v>9.5797142280278316E-2</v>
          </cell>
          <cell r="F52">
            <v>0.16040539374775648</v>
          </cell>
          <cell r="G52">
            <v>0.23540539374775649</v>
          </cell>
          <cell r="H52">
            <v>0.32095239121809005</v>
          </cell>
          <cell r="I52">
            <v>0.42096711425629652</v>
          </cell>
          <cell r="J52">
            <v>0.53068481860864725</v>
          </cell>
          <cell r="K52">
            <v>0.642769203728351</v>
          </cell>
          <cell r="L52">
            <v>0.74839528535557953</v>
          </cell>
          <cell r="M52">
            <v>0.83918984935345187</v>
          </cell>
          <cell r="N52">
            <v>0.90945051634530116</v>
          </cell>
          <cell r="O52">
            <v>0.9576688767502457</v>
          </cell>
          <cell r="P52">
            <v>0.9865231113648858</v>
          </cell>
          <cell r="Q52">
            <v>1.0012970762896924</v>
          </cell>
          <cell r="R52">
            <v>1.0076356106578106</v>
          </cell>
          <cell r="S52">
            <v>1.0098624683774413</v>
          </cell>
          <cell r="T52">
            <v>1.0104871783970797</v>
          </cell>
          <cell r="U52">
            <v>1.010623336815976</v>
          </cell>
        </row>
        <row r="53">
          <cell r="B53" t="str">
            <v>AC Heat Recovery for Water Heating-NR</v>
          </cell>
          <cell r="C53" t="str">
            <v>LO5Med</v>
          </cell>
          <cell r="D53">
            <v>4.2999999999999997E-2</v>
          </cell>
          <cell r="E53">
            <v>9.5797142280278316E-2</v>
          </cell>
          <cell r="F53">
            <v>0.16040539374775648</v>
          </cell>
          <cell r="G53">
            <v>0.23540539374775649</v>
          </cell>
          <cell r="H53">
            <v>0.32095239121809005</v>
          </cell>
          <cell r="I53">
            <v>0.42096711425629652</v>
          </cell>
          <cell r="J53">
            <v>0.53068481860864725</v>
          </cell>
          <cell r="K53">
            <v>0.642769203728351</v>
          </cell>
          <cell r="L53">
            <v>0.74839528535557953</v>
          </cell>
          <cell r="M53">
            <v>0.83918984935345187</v>
          </cell>
          <cell r="N53">
            <v>0.90945051634530116</v>
          </cell>
          <cell r="O53">
            <v>0.9576688767502457</v>
          </cell>
          <cell r="P53">
            <v>0.9865231113648858</v>
          </cell>
          <cell r="Q53">
            <v>1.0012970762896924</v>
          </cell>
          <cell r="R53">
            <v>1.0076356106578106</v>
          </cell>
          <cell r="S53">
            <v>1.0098624683774413</v>
          </cell>
          <cell r="T53">
            <v>1.0104871783970797</v>
          </cell>
          <cell r="U53">
            <v>1.010623336815976</v>
          </cell>
        </row>
        <row r="54">
          <cell r="B54" t="str">
            <v>Room Occupancy Sensors in Lodging-Retro</v>
          </cell>
          <cell r="C54" t="str">
            <v>LO5Med</v>
          </cell>
          <cell r="D54">
            <v>4.2999999999999997E-2</v>
          </cell>
          <cell r="E54">
            <v>9.5797142280278316E-2</v>
          </cell>
          <cell r="F54">
            <v>0.16040539374775648</v>
          </cell>
          <cell r="G54">
            <v>0.23540539374775649</v>
          </cell>
          <cell r="H54">
            <v>0.32095239121809005</v>
          </cell>
          <cell r="I54">
            <v>0.42096711425629652</v>
          </cell>
          <cell r="J54">
            <v>0.53068481860864725</v>
          </cell>
          <cell r="K54">
            <v>0.642769203728351</v>
          </cell>
          <cell r="L54">
            <v>0.74839528535557953</v>
          </cell>
          <cell r="M54">
            <v>0.83918984935345187</v>
          </cell>
          <cell r="N54">
            <v>0.90945051634530116</v>
          </cell>
          <cell r="O54">
            <v>0.9576688767502457</v>
          </cell>
          <cell r="P54">
            <v>0.9865231113648858</v>
          </cell>
          <cell r="Q54">
            <v>1.0012970762896924</v>
          </cell>
          <cell r="R54">
            <v>1.0076356106578106</v>
          </cell>
          <cell r="S54">
            <v>1.0098624683774413</v>
          </cell>
          <cell r="T54">
            <v>1.0104871783970797</v>
          </cell>
          <cell r="U54">
            <v>1.010623336815976</v>
          </cell>
        </row>
        <row r="55">
          <cell r="B55" t="str">
            <v>Chiller - chilled water retrofit-Retro</v>
          </cell>
          <cell r="C55" t="str">
            <v>Retro12Med</v>
          </cell>
          <cell r="D55">
            <v>0.10937459468255628</v>
          </cell>
          <cell r="E55">
            <v>0.125</v>
          </cell>
          <cell r="F55">
            <v>0.13671824335319538</v>
          </cell>
          <cell r="G55">
            <v>0.14299999999999999</v>
          </cell>
          <cell r="H55">
            <v>0.13732859265387931</v>
          </cell>
          <cell r="I55">
            <v>0.11444049387823274</v>
          </cell>
          <cell r="J55">
            <v>8.5830370408674583E-2</v>
          </cell>
          <cell r="K55">
            <v>5.8520707096823443E-2</v>
          </cell>
          <cell r="L55">
            <v>3.6575441935514763E-2</v>
          </cell>
          <cell r="M55">
            <v>2.1101216501258402E-2</v>
          </cell>
          <cell r="N55">
            <v>1.1304223125674251E-2</v>
          </cell>
          <cell r="O55">
            <v>5.652111562837181E-3</v>
          </cell>
          <cell r="P55">
            <v>2.6494272950797759E-3</v>
          </cell>
          <cell r="Q55">
            <v>1.1688649831235187E-3</v>
          </cell>
          <cell r="R55">
            <v>4.8702707630143838E-4</v>
          </cell>
          <cell r="S55">
            <v>1.922475301190385E-4</v>
          </cell>
          <cell r="T55">
            <v>7.2092823794611682E-5</v>
          </cell>
          <cell r="U55">
            <v>2.5747437069512102E-5</v>
          </cell>
        </row>
        <row r="61">
          <cell r="B61" t="str">
            <v>VRF-New</v>
          </cell>
          <cell r="C61" t="str">
            <v>LO1Slow</v>
          </cell>
          <cell r="D61">
            <v>2.5643970768378654E-3</v>
          </cell>
          <cell r="E61">
            <v>7.6904586297764643E-3</v>
          </cell>
          <cell r="F61">
            <v>1.6792013047419844E-2</v>
          </cell>
          <cell r="G61">
            <v>3.15969387774655E-2</v>
          </cell>
          <cell r="H61">
            <v>5.406874819795171E-2</v>
          </cell>
          <cell r="I61">
            <v>8.6253181011834101E-2</v>
          </cell>
          <cell r="J61">
            <v>0.1300328481838382</v>
          </cell>
          <cell r="K61">
            <v>0.18678710893858319</v>
          </cell>
          <cell r="L61">
            <v>0.2569823480072907</v>
          </cell>
          <cell r="M61">
            <v>0.33975920985004748</v>
          </cell>
          <cell r="N61">
            <v>0.43262946935754232</v>
          </cell>
          <cell r="O61">
            <v>0.53142594003645804</v>
          </cell>
          <cell r="P61">
            <v>0.63063487292644704</v>
          </cell>
          <cell r="Q61">
            <v>0.7241560234206913</v>
          </cell>
          <cell r="R61">
            <v>0.80638203131755359</v>
          </cell>
          <cell r="S61">
            <v>0.87331559734491926</v>
          </cell>
          <cell r="T61">
            <v>0.92334516248836807</v>
          </cell>
        </row>
        <row r="62">
          <cell r="B62" t="str">
            <v>VRF-Retro</v>
          </cell>
          <cell r="C62" t="str">
            <v>Retro1Slow</v>
          </cell>
          <cell r="D62">
            <v>2.5643970768378654E-3</v>
          </cell>
          <cell r="E62">
            <v>5.1260615529385989E-3</v>
          </cell>
          <cell r="F62">
            <v>9.1015544176433795E-3</v>
          </cell>
          <cell r="G62">
            <v>1.4804925730045659E-2</v>
          </cell>
          <cell r="H62">
            <v>2.2471809420486211E-2</v>
          </cell>
          <cell r="I62">
            <v>3.2184432813882391E-2</v>
          </cell>
          <cell r="J62">
            <v>4.3779667172004086E-2</v>
          </cell>
          <cell r="K62">
            <v>5.675426075474499E-2</v>
          </cell>
          <cell r="L62">
            <v>7.0195239068707532E-2</v>
          </cell>
          <cell r="M62">
            <v>8.2776861842756788E-2</v>
          </cell>
          <cell r="N62">
            <v>9.2870259507494834E-2</v>
          </cell>
          <cell r="O62">
            <v>9.8796470678915727E-2</v>
          </cell>
          <cell r="P62">
            <v>9.9208932889988999E-2</v>
          </cell>
          <cell r="Q62">
            <v>9.3521150494244254E-2</v>
          </cell>
          <cell r="R62">
            <v>8.2226007896862296E-2</v>
          </cell>
          <cell r="S62">
            <v>6.6933566027365665E-2</v>
          </cell>
          <cell r="T62">
            <v>5.0029565143448806E-2</v>
          </cell>
        </row>
        <row r="63">
          <cell r="B63" t="str">
            <v>Evaporator Roof Top HVAC-Retro</v>
          </cell>
          <cell r="C63" t="str">
            <v>RetroEven20</v>
          </cell>
          <cell r="D63">
            <v>0.05</v>
          </cell>
          <cell r="E63">
            <v>0.05</v>
          </cell>
          <cell r="F63">
            <v>0.05</v>
          </cell>
          <cell r="G63">
            <v>0.05</v>
          </cell>
          <cell r="H63">
            <v>0.05</v>
          </cell>
          <cell r="I63">
            <v>0.05</v>
          </cell>
          <cell r="J63">
            <v>0.05</v>
          </cell>
          <cell r="K63">
            <v>0.05</v>
          </cell>
          <cell r="L63">
            <v>0.05</v>
          </cell>
          <cell r="M63">
            <v>0.05</v>
          </cell>
          <cell r="N63">
            <v>0.05</v>
          </cell>
          <cell r="O63">
            <v>0.05</v>
          </cell>
          <cell r="P63">
            <v>0.05</v>
          </cell>
          <cell r="Q63">
            <v>0.05</v>
          </cell>
          <cell r="R63">
            <v>0.05</v>
          </cell>
          <cell r="S63">
            <v>0.05</v>
          </cell>
          <cell r="T63">
            <v>0.05</v>
          </cell>
        </row>
        <row r="64">
          <cell r="B64" t="str">
            <v>Secondary Glazing Systems-Retro</v>
          </cell>
          <cell r="C64" t="str">
            <v>Retro1Slow</v>
          </cell>
          <cell r="D64">
            <v>2.5643970768378654E-3</v>
          </cell>
          <cell r="E64">
            <v>5.1260615529385989E-3</v>
          </cell>
          <cell r="F64">
            <v>9.1015544176433795E-3</v>
          </cell>
          <cell r="G64">
            <v>1.4804925730045659E-2</v>
          </cell>
          <cell r="H64">
            <v>2.2471809420486211E-2</v>
          </cell>
          <cell r="I64">
            <v>3.2184432813882391E-2</v>
          </cell>
          <cell r="J64">
            <v>4.3779667172004086E-2</v>
          </cell>
          <cell r="K64">
            <v>5.675426075474499E-2</v>
          </cell>
          <cell r="L64">
            <v>7.0195239068707532E-2</v>
          </cell>
          <cell r="M64">
            <v>8.2776861842756788E-2</v>
          </cell>
          <cell r="N64">
            <v>9.2870259507494834E-2</v>
          </cell>
          <cell r="O64">
            <v>9.8796470678915727E-2</v>
          </cell>
          <cell r="P64">
            <v>9.9208932889988999E-2</v>
          </cell>
          <cell r="Q64">
            <v>9.3521150494244254E-2</v>
          </cell>
          <cell r="R64">
            <v>8.2226007896862296E-2</v>
          </cell>
          <cell r="S64">
            <v>6.6933566027365665E-2</v>
          </cell>
          <cell r="T64">
            <v>5.0029565143448806E-2</v>
          </cell>
        </row>
        <row r="65">
          <cell r="B65" t="str">
            <v>LPD Package-New</v>
          </cell>
          <cell r="C65" t="str">
            <v>LO20Fast</v>
          </cell>
          <cell r="D65">
            <v>0.22119921692859512</v>
          </cell>
          <cell r="E65">
            <v>0.39346934028736658</v>
          </cell>
          <cell r="F65">
            <v>0.52763344725898531</v>
          </cell>
          <cell r="G65">
            <v>0.63212055882855767</v>
          </cell>
          <cell r="H65">
            <v>0.71349520313980985</v>
          </cell>
          <cell r="I65">
            <v>0.77686983985157021</v>
          </cell>
          <cell r="J65">
            <v>0.82622605654955483</v>
          </cell>
          <cell r="K65">
            <v>0.8646647167633873</v>
          </cell>
          <cell r="L65">
            <v>0.89460077543813565</v>
          </cell>
          <cell r="M65">
            <v>0.91791500137610116</v>
          </cell>
          <cell r="N65">
            <v>0.93607213879329243</v>
          </cell>
          <cell r="O65">
            <v>0.95021293163213605</v>
          </cell>
          <cell r="P65">
            <v>0.96122579216827797</v>
          </cell>
          <cell r="Q65">
            <v>0.96980261657768152</v>
          </cell>
          <cell r="R65">
            <v>0.97648225414399092</v>
          </cell>
          <cell r="S65">
            <v>0.98168436111126578</v>
          </cell>
          <cell r="T65">
            <v>0.98573576609100078</v>
          </cell>
        </row>
        <row r="66">
          <cell r="B66" t="str">
            <v>LPD Package-NR</v>
          </cell>
          <cell r="C66" t="str">
            <v>LO20Fast</v>
          </cell>
          <cell r="D66">
            <v>0.22119921692859512</v>
          </cell>
          <cell r="E66">
            <v>0.39346934028736658</v>
          </cell>
          <cell r="F66">
            <v>0.52763344725898531</v>
          </cell>
          <cell r="G66">
            <v>0.63212055882855767</v>
          </cell>
          <cell r="H66">
            <v>0.71349520313980985</v>
          </cell>
          <cell r="I66">
            <v>0.77686983985157021</v>
          </cell>
          <cell r="J66">
            <v>0.82622605654955483</v>
          </cell>
          <cell r="K66">
            <v>0.8646647167633873</v>
          </cell>
          <cell r="L66">
            <v>0.89460077543813565</v>
          </cell>
          <cell r="M66">
            <v>0.91791500137610116</v>
          </cell>
          <cell r="N66">
            <v>0.93607213879329243</v>
          </cell>
          <cell r="O66">
            <v>0.95021293163213605</v>
          </cell>
          <cell r="P66">
            <v>0.96122579216827797</v>
          </cell>
          <cell r="Q66">
            <v>0.96980261657768152</v>
          </cell>
          <cell r="R66">
            <v>0.97648225414399092</v>
          </cell>
          <cell r="S66">
            <v>0.98168436111126578</v>
          </cell>
          <cell r="T66">
            <v>0.98573576609100078</v>
          </cell>
        </row>
        <row r="67">
          <cell r="B67" t="str">
            <v>LPD Package-Retro</v>
          </cell>
          <cell r="C67" t="str">
            <v>Retro12Med</v>
          </cell>
          <cell r="D67">
            <v>0.10937459468255628</v>
          </cell>
          <cell r="E67">
            <v>0.125</v>
          </cell>
          <cell r="F67">
            <v>0.13671824335319538</v>
          </cell>
          <cell r="G67">
            <v>0.14299999999999999</v>
          </cell>
          <cell r="H67">
            <v>0.13732859265387931</v>
          </cell>
          <cell r="I67">
            <v>0.11444049387823274</v>
          </cell>
          <cell r="J67">
            <v>8.5830370408674583E-2</v>
          </cell>
          <cell r="K67">
            <v>5.8520707096823443E-2</v>
          </cell>
          <cell r="L67">
            <v>3.6575441935514763E-2</v>
          </cell>
          <cell r="M67">
            <v>2.1101216501258402E-2</v>
          </cell>
          <cell r="N67">
            <v>1.1304223125674251E-2</v>
          </cell>
          <cell r="O67">
            <v>5.652111562837181E-3</v>
          </cell>
          <cell r="P67">
            <v>2.6494272950797759E-3</v>
          </cell>
          <cell r="Q67">
            <v>1.1688649831235187E-3</v>
          </cell>
          <cell r="R67">
            <v>4.8702707630143838E-4</v>
          </cell>
          <cell r="S67">
            <v>1.922475301190385E-4</v>
          </cell>
          <cell r="T67">
            <v>7.2092823794611682E-5</v>
          </cell>
        </row>
        <row r="68">
          <cell r="B68" t="str">
            <v>Top Daylighting-New</v>
          </cell>
          <cell r="C68" t="str">
            <v>LO12Med</v>
          </cell>
          <cell r="D68">
            <v>0.10937459468255628</v>
          </cell>
          <cell r="E68">
            <v>0.23437459468255628</v>
          </cell>
          <cell r="F68">
            <v>0.37109283803575166</v>
          </cell>
          <cell r="G68">
            <v>0.51409283803575168</v>
          </cell>
          <cell r="H68">
            <v>0.65142143068963099</v>
          </cell>
          <cell r="I68">
            <v>0.76586192456786373</v>
          </cell>
          <cell r="J68">
            <v>0.85169229497653831</v>
          </cell>
          <cell r="K68">
            <v>0.91021300207336175</v>
          </cell>
          <cell r="L68">
            <v>0.94678844400887652</v>
          </cell>
          <cell r="M68">
            <v>0.96788966051013492</v>
          </cell>
          <cell r="N68">
            <v>0.97919388363580917</v>
          </cell>
          <cell r="O68">
            <v>0.98484599519864635</v>
          </cell>
          <cell r="P68">
            <v>0.98749542249372613</v>
          </cell>
          <cell r="Q68">
            <v>0.98866428747684965</v>
          </cell>
          <cell r="R68">
            <v>0.98915131455315108</v>
          </cell>
          <cell r="S68">
            <v>0.98934356208327012</v>
          </cell>
          <cell r="T68">
            <v>0.98941565490706473</v>
          </cell>
        </row>
        <row r="69">
          <cell r="B69" t="str">
            <v>Perimeter Daylighting Controls Advanced-New</v>
          </cell>
          <cell r="C69" t="str">
            <v>LO5Med</v>
          </cell>
          <cell r="D69">
            <v>4.2999999999999997E-2</v>
          </cell>
          <cell r="E69">
            <v>9.5797142280278316E-2</v>
          </cell>
          <cell r="F69">
            <v>0.16040539374775648</v>
          </cell>
          <cell r="G69">
            <v>0.23540539374775649</v>
          </cell>
          <cell r="H69">
            <v>0.32095239121809005</v>
          </cell>
          <cell r="I69">
            <v>0.42096711425629652</v>
          </cell>
          <cell r="J69">
            <v>0.53068481860864725</v>
          </cell>
          <cell r="K69">
            <v>0.642769203728351</v>
          </cell>
          <cell r="L69">
            <v>0.74839528535557953</v>
          </cell>
          <cell r="M69">
            <v>0.83918984935345187</v>
          </cell>
          <cell r="N69">
            <v>0.90945051634530116</v>
          </cell>
          <cell r="O69">
            <v>0.9576688767502457</v>
          </cell>
          <cell r="P69">
            <v>0.9865231113648858</v>
          </cell>
          <cell r="Q69">
            <v>1.0012970762896924</v>
          </cell>
          <cell r="R69">
            <v>1.0076356106578106</v>
          </cell>
          <cell r="S69">
            <v>1.0098624683774413</v>
          </cell>
          <cell r="T69">
            <v>1.0104871783970797</v>
          </cell>
        </row>
        <row r="70">
          <cell r="B70" t="str">
            <v>Perimeter Daylighting Controls Advanced-NR</v>
          </cell>
          <cell r="C70" t="str">
            <v>LO5Med</v>
          </cell>
          <cell r="D70">
            <v>4.2999999999999997E-2</v>
          </cell>
          <cell r="E70">
            <v>9.5797142280278316E-2</v>
          </cell>
          <cell r="F70">
            <v>0.16040539374775648</v>
          </cell>
          <cell r="G70">
            <v>0.23540539374775649</v>
          </cell>
          <cell r="H70">
            <v>0.32095239121809005</v>
          </cell>
          <cell r="I70">
            <v>0.42096711425629652</v>
          </cell>
          <cell r="J70">
            <v>0.53068481860864725</v>
          </cell>
          <cell r="K70">
            <v>0.642769203728351</v>
          </cell>
          <cell r="L70">
            <v>0.74839528535557953</v>
          </cell>
          <cell r="M70">
            <v>0.83918984935345187</v>
          </cell>
          <cell r="N70">
            <v>0.90945051634530116</v>
          </cell>
          <cell r="O70">
            <v>0.9576688767502457</v>
          </cell>
          <cell r="P70">
            <v>0.9865231113648858</v>
          </cell>
          <cell r="Q70">
            <v>1.0012970762896924</v>
          </cell>
          <cell r="R70">
            <v>1.0076356106578106</v>
          </cell>
          <cell r="S70">
            <v>1.0098624683774413</v>
          </cell>
          <cell r="T70">
            <v>1.0104871783970797</v>
          </cell>
        </row>
        <row r="71">
          <cell r="B71" t="str">
            <v>Lighting Controls Interior-New</v>
          </cell>
          <cell r="C71" t="str">
            <v>LO20Fast</v>
          </cell>
          <cell r="D71">
            <v>0.22119921692859512</v>
          </cell>
          <cell r="E71">
            <v>0.39346934028736658</v>
          </cell>
          <cell r="F71">
            <v>0.52763344725898531</v>
          </cell>
          <cell r="G71">
            <v>0.63212055882855767</v>
          </cell>
          <cell r="H71">
            <v>0.71349520313980985</v>
          </cell>
          <cell r="I71">
            <v>0.77686983985157021</v>
          </cell>
          <cell r="J71">
            <v>0.82622605654955483</v>
          </cell>
          <cell r="K71">
            <v>0.8646647167633873</v>
          </cell>
          <cell r="L71">
            <v>0.89460077543813565</v>
          </cell>
          <cell r="M71">
            <v>0.91791500137610116</v>
          </cell>
          <cell r="N71">
            <v>0.93607213879329243</v>
          </cell>
          <cell r="O71">
            <v>0.95021293163213605</v>
          </cell>
          <cell r="P71">
            <v>0.96122579216827797</v>
          </cell>
          <cell r="Q71">
            <v>0.96980261657768152</v>
          </cell>
          <cell r="R71">
            <v>0.97648225414399092</v>
          </cell>
          <cell r="S71">
            <v>0.98168436111126578</v>
          </cell>
          <cell r="T71">
            <v>0.98573576609100078</v>
          </cell>
        </row>
        <row r="72">
          <cell r="B72" t="str">
            <v>Lighting Controls Interior-NR</v>
          </cell>
          <cell r="C72" t="str">
            <v>LO20Fast</v>
          </cell>
          <cell r="D72">
            <v>0.22119921692859512</v>
          </cell>
          <cell r="E72">
            <v>0.39346934028736658</v>
          </cell>
          <cell r="F72">
            <v>0.52763344725898531</v>
          </cell>
          <cell r="G72">
            <v>0.63212055882855767</v>
          </cell>
          <cell r="H72">
            <v>0.71349520313980985</v>
          </cell>
          <cell r="I72">
            <v>0.77686983985157021</v>
          </cell>
          <cell r="J72">
            <v>0.82622605654955483</v>
          </cell>
          <cell r="K72">
            <v>0.8646647167633873</v>
          </cell>
          <cell r="L72">
            <v>0.89460077543813565</v>
          </cell>
          <cell r="M72">
            <v>0.91791500137610116</v>
          </cell>
          <cell r="N72">
            <v>0.93607213879329243</v>
          </cell>
          <cell r="O72">
            <v>0.95021293163213605</v>
          </cell>
          <cell r="P72">
            <v>0.96122579216827797</v>
          </cell>
          <cell r="Q72">
            <v>0.96980261657768152</v>
          </cell>
          <cell r="R72">
            <v>0.97648225414399092</v>
          </cell>
          <cell r="S72">
            <v>0.98168436111126578</v>
          </cell>
          <cell r="T72">
            <v>0.98573576609100078</v>
          </cell>
        </row>
        <row r="73">
          <cell r="B73" t="str">
            <v>Exterior Building Lighting-New</v>
          </cell>
          <cell r="C73" t="str">
            <v>LO20Fast</v>
          </cell>
          <cell r="D73">
            <v>0.22119921692859512</v>
          </cell>
          <cell r="E73">
            <v>0.39346934028736658</v>
          </cell>
          <cell r="F73">
            <v>0.52763344725898531</v>
          </cell>
          <cell r="G73">
            <v>0.63212055882855767</v>
          </cell>
          <cell r="H73">
            <v>0.71349520313980985</v>
          </cell>
          <cell r="I73">
            <v>0.77686983985157021</v>
          </cell>
          <cell r="J73">
            <v>0.82622605654955483</v>
          </cell>
          <cell r="K73">
            <v>0.8646647167633873</v>
          </cell>
          <cell r="L73">
            <v>0.89460077543813565</v>
          </cell>
          <cell r="M73">
            <v>0.91791500137610116</v>
          </cell>
          <cell r="N73">
            <v>0.93607213879329243</v>
          </cell>
          <cell r="O73">
            <v>0.95021293163213605</v>
          </cell>
          <cell r="P73">
            <v>0.96122579216827797</v>
          </cell>
          <cell r="Q73">
            <v>0.96980261657768152</v>
          </cell>
          <cell r="R73">
            <v>0.97648225414399092</v>
          </cell>
          <cell r="S73">
            <v>0.98168436111126578</v>
          </cell>
          <cell r="T73">
            <v>0.98573576609100078</v>
          </cell>
        </row>
        <row r="74">
          <cell r="B74" t="str">
            <v>Exterior Building Lighting-NR</v>
          </cell>
          <cell r="C74" t="str">
            <v>LO20Fast</v>
          </cell>
          <cell r="D74">
            <v>0.22119921692859512</v>
          </cell>
          <cell r="E74">
            <v>0.39346934028736658</v>
          </cell>
          <cell r="F74">
            <v>0.52763344725898531</v>
          </cell>
          <cell r="G74">
            <v>0.63212055882855767</v>
          </cell>
          <cell r="H74">
            <v>0.71349520313980985</v>
          </cell>
          <cell r="I74">
            <v>0.77686983985157021</v>
          </cell>
          <cell r="J74">
            <v>0.82622605654955483</v>
          </cell>
          <cell r="K74">
            <v>0.8646647167633873</v>
          </cell>
          <cell r="L74">
            <v>0.89460077543813565</v>
          </cell>
          <cell r="M74">
            <v>0.91791500137610116</v>
          </cell>
          <cell r="N74">
            <v>0.93607213879329243</v>
          </cell>
          <cell r="O74">
            <v>0.95021293163213605</v>
          </cell>
          <cell r="P74">
            <v>0.96122579216827797</v>
          </cell>
          <cell r="Q74">
            <v>0.96980261657768152</v>
          </cell>
          <cell r="R74">
            <v>0.97648225414399092</v>
          </cell>
          <cell r="S74">
            <v>0.98168436111126578</v>
          </cell>
          <cell r="T74">
            <v>0.98573576609100078</v>
          </cell>
        </row>
        <row r="75">
          <cell r="B75" t="str">
            <v>Street and Roadway Lighting-New</v>
          </cell>
          <cell r="C75" t="str">
            <v>LO50Fast</v>
          </cell>
          <cell r="D75">
            <v>0.45</v>
          </cell>
          <cell r="E75">
            <v>0.66</v>
          </cell>
          <cell r="F75">
            <v>0.8</v>
          </cell>
          <cell r="G75">
            <v>0.89</v>
          </cell>
          <cell r="H75">
            <v>0.94954036260972652</v>
          </cell>
          <cell r="I75">
            <v>0.97931054391458994</v>
          </cell>
          <cell r="J75">
            <v>0.99254173560564019</v>
          </cell>
          <cell r="K75">
            <v>0.99783421228206048</v>
          </cell>
          <cell r="L75">
            <v>0.99975874925530417</v>
          </cell>
          <cell r="M75">
            <v>1.0004002615797187</v>
          </cell>
          <cell r="N75">
            <v>1.0005976499872309</v>
          </cell>
          <cell r="O75">
            <v>1.0006540466750915</v>
          </cell>
          <cell r="P75">
            <v>1.0006690857918545</v>
          </cell>
          <cell r="Q75">
            <v>1.000672845571045</v>
          </cell>
          <cell r="R75">
            <v>1.0006737302249724</v>
          </cell>
          <cell r="S75">
            <v>1.0006739268147338</v>
          </cell>
          <cell r="T75">
            <v>1.0006739682020522</v>
          </cell>
        </row>
        <row r="76">
          <cell r="B76" t="str">
            <v>Street and Roadway Lighting-NR</v>
          </cell>
          <cell r="C76" t="str">
            <v>LO50Fast</v>
          </cell>
          <cell r="D76">
            <v>0.45</v>
          </cell>
          <cell r="E76">
            <v>0.66</v>
          </cell>
          <cell r="F76">
            <v>0.8</v>
          </cell>
          <cell r="G76">
            <v>0.89</v>
          </cell>
          <cell r="H76">
            <v>0.94954036260972652</v>
          </cell>
          <cell r="I76">
            <v>0.97931054391458994</v>
          </cell>
          <cell r="J76">
            <v>0.99254173560564019</v>
          </cell>
          <cell r="K76">
            <v>0.99783421228206048</v>
          </cell>
          <cell r="L76">
            <v>0.99975874925530417</v>
          </cell>
          <cell r="M76">
            <v>1.0004002615797187</v>
          </cell>
          <cell r="N76">
            <v>1.0005976499872309</v>
          </cell>
          <cell r="O76">
            <v>1.0006540466750915</v>
          </cell>
          <cell r="P76">
            <v>1.0006690857918545</v>
          </cell>
          <cell r="Q76">
            <v>1.000672845571045</v>
          </cell>
          <cell r="R76">
            <v>1.0006737302249724</v>
          </cell>
          <cell r="S76">
            <v>1.0006739268147338</v>
          </cell>
          <cell r="T76">
            <v>1.0006739682020522</v>
          </cell>
        </row>
        <row r="77">
          <cell r="B77" t="str">
            <v>Parking Lighting-New</v>
          </cell>
          <cell r="C77" t="str">
            <v>LO50Fast</v>
          </cell>
          <cell r="D77">
            <v>0.45</v>
          </cell>
          <cell r="E77">
            <v>0.66</v>
          </cell>
          <cell r="F77">
            <v>0.8</v>
          </cell>
          <cell r="G77">
            <v>0.89</v>
          </cell>
          <cell r="H77">
            <v>0.94954036260972652</v>
          </cell>
          <cell r="I77">
            <v>0.97931054391458994</v>
          </cell>
          <cell r="J77">
            <v>0.99254173560564019</v>
          </cell>
          <cell r="K77">
            <v>0.99783421228206048</v>
          </cell>
          <cell r="L77">
            <v>0.99975874925530417</v>
          </cell>
          <cell r="M77">
            <v>1.0004002615797187</v>
          </cell>
          <cell r="N77">
            <v>1.0005976499872309</v>
          </cell>
          <cell r="O77">
            <v>1.0006540466750915</v>
          </cell>
          <cell r="P77">
            <v>1.0006690857918545</v>
          </cell>
          <cell r="Q77">
            <v>1.000672845571045</v>
          </cell>
          <cell r="R77">
            <v>1.0006737302249724</v>
          </cell>
          <cell r="S77">
            <v>1.0006739268147338</v>
          </cell>
          <cell r="T77">
            <v>1.0006739682020522</v>
          </cell>
        </row>
        <row r="78">
          <cell r="B78" t="str">
            <v>Parking Lighting-NR</v>
          </cell>
          <cell r="C78" t="str">
            <v>LO12Med</v>
          </cell>
          <cell r="D78">
            <v>0.10937459468255628</v>
          </cell>
          <cell r="E78">
            <v>0.23437459468255628</v>
          </cell>
          <cell r="F78">
            <v>0.37109283803575166</v>
          </cell>
          <cell r="G78">
            <v>0.51409283803575168</v>
          </cell>
          <cell r="H78">
            <v>0.65142143068963099</v>
          </cell>
          <cell r="I78">
            <v>0.76586192456786373</v>
          </cell>
          <cell r="J78">
            <v>0.85169229497653831</v>
          </cell>
          <cell r="K78">
            <v>0.91021300207336175</v>
          </cell>
          <cell r="L78">
            <v>0.94678844400887652</v>
          </cell>
          <cell r="M78">
            <v>0.96788966051013492</v>
          </cell>
          <cell r="N78">
            <v>0.97919388363580917</v>
          </cell>
          <cell r="O78">
            <v>0.98484599519864635</v>
          </cell>
          <cell r="P78">
            <v>0.98749542249372613</v>
          </cell>
          <cell r="Q78">
            <v>0.98866428747684965</v>
          </cell>
          <cell r="R78">
            <v>0.98915131455315108</v>
          </cell>
          <cell r="S78">
            <v>0.98934356208327012</v>
          </cell>
          <cell r="T78">
            <v>0.98941565490706473</v>
          </cell>
        </row>
        <row r="79">
          <cell r="B79" t="str">
            <v>Luminaire Level Lighting Controls-Retro</v>
          </cell>
          <cell r="C79" t="str">
            <v>Retro5Med</v>
          </cell>
          <cell r="D79">
            <v>4.2999999999999997E-2</v>
          </cell>
          <cell r="E79">
            <v>5.279714228027832E-2</v>
          </cell>
          <cell r="F79">
            <v>6.4608251467478173E-2</v>
          </cell>
          <cell r="G79">
            <v>7.4999999999999997E-2</v>
          </cell>
          <cell r="H79">
            <v>8.5546997470333563E-2</v>
          </cell>
          <cell r="I79">
            <v>0.10001472303820647</v>
          </cell>
          <cell r="J79">
            <v>0.10971770435235073</v>
          </cell>
          <cell r="K79">
            <v>0.11208438511970376</v>
          </cell>
          <cell r="L79">
            <v>0.10562608162722853</v>
          </cell>
          <cell r="M79">
            <v>9.0794563997872335E-2</v>
          </cell>
          <cell r="N79">
            <v>7.0260666991849297E-2</v>
          </cell>
          <cell r="O79">
            <v>4.8218360404944538E-2</v>
          </cell>
          <cell r="P79">
            <v>2.8854234614640095E-2</v>
          </cell>
          <cell r="Q79">
            <v>1.4773964924806759E-2</v>
          </cell>
          <cell r="R79">
            <v>6.3385343681182649E-3</v>
          </cell>
          <cell r="S79">
            <v>2.2268577196306039E-3</v>
          </cell>
          <cell r="T79">
            <v>6.2471001963848583E-4</v>
          </cell>
        </row>
        <row r="80">
          <cell r="B80" t="str">
            <v>ECM-VAV-New</v>
          </cell>
          <cell r="C80" t="str">
            <v>LO12Med</v>
          </cell>
          <cell r="D80">
            <v>0.10937459468255628</v>
          </cell>
          <cell r="E80">
            <v>0.23437459468255628</v>
          </cell>
          <cell r="F80">
            <v>0.37109283803575166</v>
          </cell>
          <cell r="G80">
            <v>0.51409283803575168</v>
          </cell>
          <cell r="H80">
            <v>0.65142143068963099</v>
          </cell>
          <cell r="I80">
            <v>0.76586192456786373</v>
          </cell>
          <cell r="J80">
            <v>0.85169229497653831</v>
          </cell>
          <cell r="K80">
            <v>0.91021300207336175</v>
          </cell>
          <cell r="L80">
            <v>0.94678844400887652</v>
          </cell>
          <cell r="M80">
            <v>0.96788966051013492</v>
          </cell>
          <cell r="N80">
            <v>0.97919388363580917</v>
          </cell>
          <cell r="O80">
            <v>0.98484599519864635</v>
          </cell>
          <cell r="P80">
            <v>0.98749542249372613</v>
          </cell>
          <cell r="Q80">
            <v>0.98866428747684965</v>
          </cell>
          <cell r="R80">
            <v>0.98915131455315108</v>
          </cell>
          <cell r="S80">
            <v>0.98934356208327012</v>
          </cell>
          <cell r="T80">
            <v>0.98941565490706473</v>
          </cell>
        </row>
        <row r="81">
          <cell r="B81" t="str">
            <v>ECM-VAV-NR</v>
          </cell>
          <cell r="C81" t="str">
            <v>LO12Med</v>
          </cell>
          <cell r="D81">
            <v>0.10937459468255628</v>
          </cell>
          <cell r="E81">
            <v>0.23437459468255628</v>
          </cell>
          <cell r="F81">
            <v>0.37109283803575166</v>
          </cell>
          <cell r="G81">
            <v>0.51409283803575168</v>
          </cell>
          <cell r="H81">
            <v>0.65142143068963099</v>
          </cell>
          <cell r="I81">
            <v>0.76586192456786373</v>
          </cell>
          <cell r="J81">
            <v>0.85169229497653831</v>
          </cell>
          <cell r="K81">
            <v>0.91021300207336175</v>
          </cell>
          <cell r="L81">
            <v>0.94678844400887652</v>
          </cell>
          <cell r="M81">
            <v>0.96788966051013492</v>
          </cell>
          <cell r="N81">
            <v>0.97919388363580917</v>
          </cell>
          <cell r="O81">
            <v>0.98484599519864635</v>
          </cell>
          <cell r="P81">
            <v>0.98749542249372613</v>
          </cell>
          <cell r="Q81">
            <v>0.98866428747684965</v>
          </cell>
          <cell r="R81">
            <v>0.98915131455315108</v>
          </cell>
          <cell r="S81">
            <v>0.98934356208327012</v>
          </cell>
          <cell r="T81">
            <v>0.98941565490706473</v>
          </cell>
        </row>
        <row r="82">
          <cell r="B82" t="str">
            <v>Pool pumps-Retro</v>
          </cell>
          <cell r="C82" t="str">
            <v>Retro20Fast</v>
          </cell>
          <cell r="D82">
            <v>0.22119921692859512</v>
          </cell>
          <cell r="E82">
            <v>0.17227012335877145</v>
          </cell>
          <cell r="F82">
            <v>0.13416410697161874</v>
          </cell>
          <cell r="G82">
            <v>0.10448711156957236</v>
          </cell>
          <cell r="H82">
            <v>8.1374644311252187E-2</v>
          </cell>
          <cell r="I82">
            <v>6.3374636711760357E-2</v>
          </cell>
          <cell r="J82">
            <v>4.9356216697984623E-2</v>
          </cell>
          <cell r="K82">
            <v>3.8438660213832465E-2</v>
          </cell>
          <cell r="L82">
            <v>2.9936058674748356E-2</v>
          </cell>
          <cell r="M82">
            <v>2.3314225937965505E-2</v>
          </cell>
          <cell r="N82">
            <v>1.8157137417191271E-2</v>
          </cell>
          <cell r="O82">
            <v>1.4140792838843619E-2</v>
          </cell>
          <cell r="P82">
            <v>1.1012860536141922E-2</v>
          </cell>
          <cell r="Q82">
            <v>8.5768244094035495E-3</v>
          </cell>
          <cell r="R82">
            <v>6.6796375663094043E-3</v>
          </cell>
          <cell r="S82">
            <v>5.2021069672748554E-3</v>
          </cell>
          <cell r="T82">
            <v>4.051404979734996E-3</v>
          </cell>
        </row>
        <row r="83">
          <cell r="B83" t="str">
            <v>MotorsRewind-New</v>
          </cell>
          <cell r="C83" t="str">
            <v>LO12Med</v>
          </cell>
          <cell r="D83">
            <v>0.10937459468255628</v>
          </cell>
          <cell r="E83">
            <v>0.23437459468255628</v>
          </cell>
          <cell r="F83">
            <v>0.37109283803575166</v>
          </cell>
          <cell r="G83">
            <v>0.51409283803575168</v>
          </cell>
          <cell r="H83">
            <v>0.65142143068963099</v>
          </cell>
          <cell r="I83">
            <v>0.76586192456786373</v>
          </cell>
          <cell r="J83">
            <v>0.85169229497653831</v>
          </cell>
          <cell r="K83">
            <v>0.91021300207336175</v>
          </cell>
          <cell r="L83">
            <v>0.94678844400887652</v>
          </cell>
          <cell r="M83">
            <v>0.96788966051013492</v>
          </cell>
          <cell r="N83">
            <v>0.97919388363580917</v>
          </cell>
          <cell r="O83">
            <v>0.98484599519864635</v>
          </cell>
          <cell r="P83">
            <v>0.98749542249372613</v>
          </cell>
          <cell r="Q83">
            <v>0.98866428747684965</v>
          </cell>
          <cell r="R83">
            <v>0.98915131455315108</v>
          </cell>
          <cell r="S83">
            <v>0.98934356208327012</v>
          </cell>
          <cell r="T83">
            <v>0.98941565490706473</v>
          </cell>
        </row>
        <row r="84">
          <cell r="B84" t="str">
            <v>MotorsRewind-NR</v>
          </cell>
          <cell r="C84" t="str">
            <v>LO12Med</v>
          </cell>
          <cell r="D84">
            <v>0.10937459468255628</v>
          </cell>
          <cell r="E84">
            <v>0.23437459468255628</v>
          </cell>
          <cell r="F84">
            <v>0.37109283803575166</v>
          </cell>
          <cell r="G84">
            <v>0.51409283803575168</v>
          </cell>
          <cell r="H84">
            <v>0.65142143068963099</v>
          </cell>
          <cell r="I84">
            <v>0.76586192456786373</v>
          </cell>
          <cell r="J84">
            <v>0.85169229497653831</v>
          </cell>
          <cell r="K84">
            <v>0.91021300207336175</v>
          </cell>
          <cell r="L84">
            <v>0.94678844400887652</v>
          </cell>
          <cell r="M84">
            <v>0.96788966051013492</v>
          </cell>
          <cell r="N84">
            <v>0.97919388363580917</v>
          </cell>
          <cell r="O84">
            <v>0.98484599519864635</v>
          </cell>
          <cell r="P84">
            <v>0.98749542249372613</v>
          </cell>
          <cell r="Q84">
            <v>0.98866428747684965</v>
          </cell>
          <cell r="R84">
            <v>0.98915131455315108</v>
          </cell>
          <cell r="S84">
            <v>0.98934356208327012</v>
          </cell>
          <cell r="T84">
            <v>0.98941565490706473</v>
          </cell>
        </row>
        <row r="85">
          <cell r="B85" t="str">
            <v>Municipal Sewage Treatment-Retro</v>
          </cell>
          <cell r="C85" t="str">
            <v>Retro20Fast</v>
          </cell>
          <cell r="D85">
            <v>0.22119921692859512</v>
          </cell>
          <cell r="E85">
            <v>0.17227012335877145</v>
          </cell>
          <cell r="F85">
            <v>0.13416410697161874</v>
          </cell>
          <cell r="G85">
            <v>0.10448711156957236</v>
          </cell>
          <cell r="H85">
            <v>8.1374644311252187E-2</v>
          </cell>
          <cell r="I85">
            <v>6.3374636711760357E-2</v>
          </cell>
          <cell r="J85">
            <v>4.9356216697984623E-2</v>
          </cell>
          <cell r="K85">
            <v>3.8438660213832465E-2</v>
          </cell>
          <cell r="L85">
            <v>2.9936058674748356E-2</v>
          </cell>
          <cell r="M85">
            <v>2.3314225937965505E-2</v>
          </cell>
          <cell r="N85">
            <v>1.8157137417191271E-2</v>
          </cell>
          <cell r="O85">
            <v>1.4140792838843619E-2</v>
          </cell>
          <cell r="P85">
            <v>1.1012860536141922E-2</v>
          </cell>
          <cell r="Q85">
            <v>8.5768244094035495E-3</v>
          </cell>
          <cell r="R85">
            <v>6.6796375663094043E-3</v>
          </cell>
          <cell r="S85">
            <v>5.2021069672748554E-3</v>
          </cell>
          <cell r="T85">
            <v>4.051404979734996E-3</v>
          </cell>
        </row>
        <row r="86">
          <cell r="B86" t="str">
            <v>Municipal Water Supply-Retro</v>
          </cell>
          <cell r="C86" t="str">
            <v>Retro20Fast</v>
          </cell>
          <cell r="D86">
            <v>0.22119921692859512</v>
          </cell>
          <cell r="E86">
            <v>0.17227012335877145</v>
          </cell>
          <cell r="F86">
            <v>0.13416410697161874</v>
          </cell>
          <cell r="G86">
            <v>0.10448711156957236</v>
          </cell>
          <cell r="H86">
            <v>8.1374644311252187E-2</v>
          </cell>
          <cell r="I86">
            <v>6.3374636711760357E-2</v>
          </cell>
          <cell r="J86">
            <v>4.9356216697984623E-2</v>
          </cell>
          <cell r="K86">
            <v>3.8438660213832465E-2</v>
          </cell>
          <cell r="L86">
            <v>2.9936058674748356E-2</v>
          </cell>
          <cell r="M86">
            <v>2.3314225937965505E-2</v>
          </cell>
          <cell r="N86">
            <v>1.8157137417191271E-2</v>
          </cell>
          <cell r="O86">
            <v>1.4140792838843619E-2</v>
          </cell>
          <cell r="P86">
            <v>1.1012860536141922E-2</v>
          </cell>
          <cell r="Q86">
            <v>8.5768244094035495E-3</v>
          </cell>
          <cell r="R86">
            <v>6.6796375663094043E-3</v>
          </cell>
          <cell r="S86">
            <v>5.2021069672748554E-3</v>
          </cell>
          <cell r="T86">
            <v>4.051404979734996E-3</v>
          </cell>
        </row>
        <row r="87">
          <cell r="B87" t="str">
            <v>Engine Generator Block Heaters-Retro</v>
          </cell>
          <cell r="C87" t="str">
            <v>Retro20Fast</v>
          </cell>
          <cell r="D87">
            <v>0.22119921692859512</v>
          </cell>
          <cell r="E87">
            <v>0.17227012335877145</v>
          </cell>
          <cell r="F87">
            <v>0.13416410697161874</v>
          </cell>
          <cell r="G87">
            <v>0.10448711156957236</v>
          </cell>
          <cell r="H87">
            <v>8.1374644311252187E-2</v>
          </cell>
          <cell r="I87">
            <v>6.3374636711760357E-2</v>
          </cell>
          <cell r="J87">
            <v>4.9356216697984623E-2</v>
          </cell>
          <cell r="K87">
            <v>3.8438660213832465E-2</v>
          </cell>
          <cell r="L87">
            <v>2.9936058674748356E-2</v>
          </cell>
          <cell r="M87">
            <v>2.3314225937965505E-2</v>
          </cell>
          <cell r="N87">
            <v>1.8157137417191271E-2</v>
          </cell>
          <cell r="O87">
            <v>1.4140792838843619E-2</v>
          </cell>
          <cell r="P87">
            <v>1.1012860536141922E-2</v>
          </cell>
          <cell r="Q87">
            <v>8.5768244094035495E-3</v>
          </cell>
          <cell r="R87">
            <v>6.6796375663094043E-3</v>
          </cell>
          <cell r="S87">
            <v>5.2021069672748554E-3</v>
          </cell>
          <cell r="T87">
            <v>4.051404979734996E-3</v>
          </cell>
        </row>
        <row r="88">
          <cell r="B88" t="str">
            <v>Grocery Refrigeration Bundle-Retro</v>
          </cell>
          <cell r="C88" t="str">
            <v>RetroEven20</v>
          </cell>
          <cell r="D88">
            <v>0.05</v>
          </cell>
          <cell r="E88">
            <v>0.05</v>
          </cell>
          <cell r="F88">
            <v>0.05</v>
          </cell>
          <cell r="G88">
            <v>0.05</v>
          </cell>
          <cell r="H88">
            <v>0.05</v>
          </cell>
          <cell r="I88">
            <v>0.05</v>
          </cell>
          <cell r="J88">
            <v>0.05</v>
          </cell>
          <cell r="K88">
            <v>0.05</v>
          </cell>
          <cell r="L88">
            <v>0.05</v>
          </cell>
          <cell r="M88">
            <v>0.05</v>
          </cell>
          <cell r="N88">
            <v>0.05</v>
          </cell>
          <cell r="O88">
            <v>0.05</v>
          </cell>
          <cell r="P88">
            <v>0.05</v>
          </cell>
          <cell r="Q88">
            <v>0.05</v>
          </cell>
          <cell r="R88">
            <v>0.05</v>
          </cell>
          <cell r="S88">
            <v>0.05</v>
          </cell>
          <cell r="T88">
            <v>0.05</v>
          </cell>
        </row>
        <row r="89">
          <cell r="B89" t="str">
            <v>Packaged Refrigeration Equipment-New</v>
          </cell>
          <cell r="C89" t="str">
            <v>LOEven20</v>
          </cell>
          <cell r="D89">
            <v>0.05</v>
          </cell>
          <cell r="E89">
            <v>0.1</v>
          </cell>
          <cell r="F89">
            <v>0.15000000000000002</v>
          </cell>
          <cell r="G89">
            <v>0.2</v>
          </cell>
          <cell r="H89">
            <v>0.25</v>
          </cell>
          <cell r="I89">
            <v>0.3</v>
          </cell>
          <cell r="J89">
            <v>0.35</v>
          </cell>
          <cell r="K89">
            <v>0.39999999999999997</v>
          </cell>
          <cell r="L89">
            <v>0.44999999999999996</v>
          </cell>
          <cell r="M89">
            <v>0.49999999999999994</v>
          </cell>
          <cell r="N89">
            <v>0.54999999999999993</v>
          </cell>
          <cell r="O89">
            <v>0.6</v>
          </cell>
          <cell r="P89">
            <v>0.65</v>
          </cell>
          <cell r="Q89">
            <v>0.70000000000000007</v>
          </cell>
          <cell r="R89">
            <v>0.75000000000000011</v>
          </cell>
          <cell r="S89">
            <v>0.80000000000000016</v>
          </cell>
          <cell r="T89">
            <v>0.8500000000000002</v>
          </cell>
        </row>
        <row r="90">
          <cell r="B90" t="str">
            <v>Appliances - Freezers-NR</v>
          </cell>
          <cell r="C90" t="str">
            <v>LO5Med</v>
          </cell>
          <cell r="D90">
            <v>4.2999999999999997E-2</v>
          </cell>
          <cell r="E90">
            <v>9.5797142280278316E-2</v>
          </cell>
          <cell r="F90">
            <v>0.16040539374775648</v>
          </cell>
          <cell r="G90">
            <v>0.23540539374775649</v>
          </cell>
          <cell r="H90">
            <v>0.32095239121809005</v>
          </cell>
          <cell r="I90">
            <v>0.42096711425629652</v>
          </cell>
          <cell r="J90">
            <v>0.53068481860864725</v>
          </cell>
          <cell r="K90">
            <v>0.642769203728351</v>
          </cell>
          <cell r="L90">
            <v>0.74839528535557953</v>
          </cell>
          <cell r="M90">
            <v>0.83918984935345187</v>
          </cell>
          <cell r="N90">
            <v>0.90945051634530116</v>
          </cell>
          <cell r="O90">
            <v>0.9576688767502457</v>
          </cell>
          <cell r="P90">
            <v>0.9865231113648858</v>
          </cell>
          <cell r="Q90">
            <v>1.0012970762896924</v>
          </cell>
          <cell r="R90">
            <v>1.0076356106578106</v>
          </cell>
          <cell r="S90">
            <v>1.0098624683774413</v>
          </cell>
          <cell r="T90">
            <v>1.0104871783970797</v>
          </cell>
        </row>
        <row r="91">
          <cell r="B91" t="str">
            <v>Appliances - Refrigerators-NR</v>
          </cell>
          <cell r="C91" t="str">
            <v>LO5Med</v>
          </cell>
          <cell r="D91">
            <v>4.2999999999999997E-2</v>
          </cell>
          <cell r="E91">
            <v>9.5797142280278316E-2</v>
          </cell>
          <cell r="F91">
            <v>0.16040539374775648</v>
          </cell>
          <cell r="G91">
            <v>0.23540539374775649</v>
          </cell>
          <cell r="H91">
            <v>0.32095239121809005</v>
          </cell>
          <cell r="I91">
            <v>0.42096711425629652</v>
          </cell>
          <cell r="J91">
            <v>0.53068481860864725</v>
          </cell>
          <cell r="K91">
            <v>0.642769203728351</v>
          </cell>
          <cell r="L91">
            <v>0.74839528535557953</v>
          </cell>
          <cell r="M91">
            <v>0.83918984935345187</v>
          </cell>
          <cell r="N91">
            <v>0.90945051634530116</v>
          </cell>
          <cell r="O91">
            <v>0.9576688767502457</v>
          </cell>
          <cell r="P91">
            <v>0.9865231113648858</v>
          </cell>
          <cell r="Q91">
            <v>1.0012970762896924</v>
          </cell>
          <cell r="R91">
            <v>1.0076356106578106</v>
          </cell>
          <cell r="S91">
            <v>1.0098624683774413</v>
          </cell>
          <cell r="T91">
            <v>1.0104871783970797</v>
          </cell>
        </row>
        <row r="92">
          <cell r="B92" t="str">
            <v>Water Cooler Controls-Retro</v>
          </cell>
          <cell r="C92" t="str">
            <v>Retro5Med</v>
          </cell>
          <cell r="D92">
            <v>4.2999999999999997E-2</v>
          </cell>
          <cell r="E92">
            <v>5.279714228027832E-2</v>
          </cell>
          <cell r="F92">
            <v>6.4608251467478173E-2</v>
          </cell>
          <cell r="G92">
            <v>7.4999999999999997E-2</v>
          </cell>
          <cell r="H92">
            <v>8.5546997470333563E-2</v>
          </cell>
          <cell r="I92">
            <v>0.10001472303820647</v>
          </cell>
          <cell r="J92">
            <v>0.10971770435235073</v>
          </cell>
          <cell r="K92">
            <v>0.11208438511970376</v>
          </cell>
          <cell r="L92">
            <v>0.10562608162722853</v>
          </cell>
          <cell r="M92">
            <v>9.0794563997872335E-2</v>
          </cell>
          <cell r="N92">
            <v>7.0260666991849297E-2</v>
          </cell>
          <cell r="O92">
            <v>4.8218360404944538E-2</v>
          </cell>
          <cell r="P92">
            <v>2.8854234614640095E-2</v>
          </cell>
          <cell r="Q92">
            <v>1.4773964924806759E-2</v>
          </cell>
          <cell r="R92">
            <v>6.3385343681182649E-3</v>
          </cell>
          <cell r="S92">
            <v>2.2268577196306039E-3</v>
          </cell>
          <cell r="T92">
            <v>6.2471001963848583E-4</v>
          </cell>
        </row>
        <row r="93">
          <cell r="B93" t="str">
            <v>WHTanks-New</v>
          </cell>
          <cell r="C93" t="str">
            <v>LO12Med</v>
          </cell>
          <cell r="D93">
            <v>0.10937459468255628</v>
          </cell>
          <cell r="E93">
            <v>0.23437459468255628</v>
          </cell>
          <cell r="F93">
            <v>0.37109283803575166</v>
          </cell>
          <cell r="G93">
            <v>0.51409283803575168</v>
          </cell>
          <cell r="H93">
            <v>0.65142143068963099</v>
          </cell>
          <cell r="I93">
            <v>0.76586192456786373</v>
          </cell>
          <cell r="J93">
            <v>0.85169229497653831</v>
          </cell>
          <cell r="K93">
            <v>0.91021300207336175</v>
          </cell>
          <cell r="L93">
            <v>0.94678844400887652</v>
          </cell>
          <cell r="M93">
            <v>0.96788966051013492</v>
          </cell>
          <cell r="N93">
            <v>0.97919388363580917</v>
          </cell>
          <cell r="O93">
            <v>0.98484599519864635</v>
          </cell>
          <cell r="P93">
            <v>0.98749542249372613</v>
          </cell>
          <cell r="Q93">
            <v>0.98866428747684965</v>
          </cell>
          <cell r="R93">
            <v>0.98915131455315108</v>
          </cell>
          <cell r="S93">
            <v>0.98934356208327012</v>
          </cell>
          <cell r="T93">
            <v>0.98941565490706473</v>
          </cell>
        </row>
        <row r="94">
          <cell r="B94" t="str">
            <v>WHTanks-NR</v>
          </cell>
          <cell r="C94" t="str">
            <v>LO12Med</v>
          </cell>
          <cell r="D94">
            <v>0.10937459468255628</v>
          </cell>
          <cell r="E94">
            <v>0.23437459468255628</v>
          </cell>
          <cell r="F94">
            <v>0.37109283803575166</v>
          </cell>
          <cell r="G94">
            <v>0.51409283803575168</v>
          </cell>
          <cell r="H94">
            <v>0.65142143068963099</v>
          </cell>
          <cell r="I94">
            <v>0.76586192456786373</v>
          </cell>
          <cell r="J94">
            <v>0.85169229497653831</v>
          </cell>
          <cell r="K94">
            <v>0.91021300207336175</v>
          </cell>
          <cell r="L94">
            <v>0.94678844400887652</v>
          </cell>
          <cell r="M94">
            <v>0.96788966051013492</v>
          </cell>
          <cell r="N94">
            <v>0.97919388363580917</v>
          </cell>
          <cell r="O94">
            <v>0.98484599519864635</v>
          </cell>
          <cell r="P94">
            <v>0.98749542249372613</v>
          </cell>
          <cell r="Q94">
            <v>0.98866428747684965</v>
          </cell>
          <cell r="R94">
            <v>0.98915131455315108</v>
          </cell>
          <cell r="S94">
            <v>0.98934356208327012</v>
          </cell>
          <cell r="T94">
            <v>0.98941565490706473</v>
          </cell>
        </row>
        <row r="95">
          <cell r="B95" t="str">
            <v>Appliances - Clothes Washers-NR</v>
          </cell>
          <cell r="C95" t="str">
            <v>Retro20Fast</v>
          </cell>
          <cell r="D95">
            <v>0.22119921692859512</v>
          </cell>
          <cell r="E95">
            <v>0.17227012335877145</v>
          </cell>
          <cell r="F95">
            <v>0.13416410697161874</v>
          </cell>
          <cell r="G95">
            <v>0.10448711156957236</v>
          </cell>
          <cell r="H95">
            <v>8.1374644311252187E-2</v>
          </cell>
          <cell r="I95">
            <v>6.3374636711760357E-2</v>
          </cell>
          <cell r="J95">
            <v>4.9356216697984623E-2</v>
          </cell>
          <cell r="K95">
            <v>3.8438660213832465E-2</v>
          </cell>
          <cell r="L95">
            <v>2.9936058674748356E-2</v>
          </cell>
          <cell r="M95">
            <v>2.3314225937965505E-2</v>
          </cell>
          <cell r="N95">
            <v>1.8157137417191271E-2</v>
          </cell>
          <cell r="O95">
            <v>1.4140792838843619E-2</v>
          </cell>
          <cell r="P95">
            <v>1.1012860536141922E-2</v>
          </cell>
          <cell r="Q95">
            <v>8.5768244094035495E-3</v>
          </cell>
          <cell r="R95">
            <v>6.6796375663094043E-3</v>
          </cell>
          <cell r="S95">
            <v>5.2021069672748554E-3</v>
          </cell>
          <cell r="T95">
            <v>4.051404979734996E-3</v>
          </cell>
        </row>
        <row r="96">
          <cell r="B96" t="str">
            <v>Showerheads-Retro</v>
          </cell>
          <cell r="C96" t="str">
            <v>Retro20Fast</v>
          </cell>
          <cell r="D96">
            <v>0.22119921692859512</v>
          </cell>
          <cell r="E96">
            <v>0.17227012335877145</v>
          </cell>
          <cell r="F96">
            <v>0.13416410697161874</v>
          </cell>
          <cell r="G96">
            <v>0.10448711156957236</v>
          </cell>
          <cell r="H96">
            <v>8.1374644311252187E-2</v>
          </cell>
          <cell r="I96">
            <v>6.3374636711760357E-2</v>
          </cell>
          <cell r="J96">
            <v>4.9356216697984623E-2</v>
          </cell>
          <cell r="K96">
            <v>3.8438660213832465E-2</v>
          </cell>
          <cell r="L96">
            <v>2.9936058674748356E-2</v>
          </cell>
          <cell r="M96">
            <v>2.3314225937965505E-2</v>
          </cell>
          <cell r="N96">
            <v>1.8157137417191271E-2</v>
          </cell>
          <cell r="O96">
            <v>1.4140792838843619E-2</v>
          </cell>
          <cell r="P96">
            <v>1.1012860536141922E-2</v>
          </cell>
          <cell r="Q96">
            <v>8.5768244094035495E-3</v>
          </cell>
          <cell r="R96">
            <v>6.6796375663094043E-3</v>
          </cell>
          <cell r="S96">
            <v>5.2021069672748554E-3</v>
          </cell>
          <cell r="T96">
            <v>4.051404979734996E-3</v>
          </cell>
        </row>
        <row r="97">
          <cell r="B97" t="str">
            <v>Water Heating - GFHX-New</v>
          </cell>
          <cell r="C97" t="str">
            <v>Retro20Fast</v>
          </cell>
          <cell r="D97">
            <v>0.22119921692859512</v>
          </cell>
          <cell r="E97">
            <v>0.17227012335877145</v>
          </cell>
          <cell r="F97">
            <v>0.13416410697161874</v>
          </cell>
          <cell r="G97">
            <v>0.10448711156957236</v>
          </cell>
          <cell r="H97">
            <v>8.1374644311252187E-2</v>
          </cell>
          <cell r="I97">
            <v>6.3374636711760357E-2</v>
          </cell>
          <cell r="J97">
            <v>4.9356216697984623E-2</v>
          </cell>
          <cell r="K97">
            <v>3.8438660213832465E-2</v>
          </cell>
          <cell r="L97">
            <v>2.9936058674748356E-2</v>
          </cell>
          <cell r="M97">
            <v>2.3314225937965505E-2</v>
          </cell>
          <cell r="N97">
            <v>1.8157137417191271E-2</v>
          </cell>
          <cell r="O97">
            <v>1.4140792838843619E-2</v>
          </cell>
          <cell r="P97">
            <v>1.1012860536141922E-2</v>
          </cell>
          <cell r="Q97">
            <v>8.5768244094035495E-3</v>
          </cell>
          <cell r="R97">
            <v>6.6796375663094043E-3</v>
          </cell>
          <cell r="S97">
            <v>5.2021069672748554E-3</v>
          </cell>
          <cell r="T97">
            <v>4.051404979734996E-3</v>
          </cell>
        </row>
        <row r="98">
          <cell r="B98" t="str">
            <v>Demand Control Circulating system DHW-Retro</v>
          </cell>
          <cell r="C98" t="str">
            <v>RetroEven20</v>
          </cell>
          <cell r="D98">
            <v>0.05</v>
          </cell>
          <cell r="E98">
            <v>0.05</v>
          </cell>
          <cell r="F98">
            <v>0.05</v>
          </cell>
          <cell r="G98">
            <v>0.05</v>
          </cell>
          <cell r="H98">
            <v>0.05</v>
          </cell>
          <cell r="I98">
            <v>0.05</v>
          </cell>
          <cell r="J98">
            <v>0.05</v>
          </cell>
          <cell r="K98">
            <v>0.05</v>
          </cell>
          <cell r="L98">
            <v>0.05</v>
          </cell>
          <cell r="M98">
            <v>0.05</v>
          </cell>
          <cell r="N98">
            <v>0.05</v>
          </cell>
          <cell r="O98">
            <v>0.05</v>
          </cell>
          <cell r="P98">
            <v>0.05</v>
          </cell>
          <cell r="Q98">
            <v>0.05</v>
          </cell>
          <cell r="R98">
            <v>0.05</v>
          </cell>
          <cell r="S98">
            <v>0.05</v>
          </cell>
          <cell r="T98">
            <v>0.05</v>
          </cell>
        </row>
        <row r="99">
          <cell r="B99" t="str">
            <v>Central HPWH MF-Retro</v>
          </cell>
          <cell r="C99" t="str">
            <v>Retro20Fast</v>
          </cell>
          <cell r="D99">
            <v>0.22119921692859512</v>
          </cell>
          <cell r="E99">
            <v>0.17227012335877145</v>
          </cell>
          <cell r="F99">
            <v>0.13416410697161874</v>
          </cell>
          <cell r="G99">
            <v>0.10448711156957236</v>
          </cell>
          <cell r="H99">
            <v>8.1374644311252187E-2</v>
          </cell>
          <cell r="I99">
            <v>6.3374636711760357E-2</v>
          </cell>
          <cell r="J99">
            <v>4.9356216697984623E-2</v>
          </cell>
          <cell r="K99">
            <v>3.8438660213832465E-2</v>
          </cell>
          <cell r="L99">
            <v>2.9936058674748356E-2</v>
          </cell>
          <cell r="M99">
            <v>2.3314225937965505E-2</v>
          </cell>
          <cell r="N99">
            <v>1.8157137417191271E-2</v>
          </cell>
          <cell r="O99">
            <v>1.4140792838843619E-2</v>
          </cell>
          <cell r="P99">
            <v>1.1012860536141922E-2</v>
          </cell>
          <cell r="Q99">
            <v>8.5768244094035495E-3</v>
          </cell>
          <cell r="R99">
            <v>6.6796375663094043E-3</v>
          </cell>
          <cell r="S99">
            <v>5.2021069672748554E-3</v>
          </cell>
          <cell r="T99">
            <v>4.051404979734996E-3</v>
          </cell>
        </row>
        <row r="100">
          <cell r="B100" t="str">
            <v>Ultra Low Energy Building-New</v>
          </cell>
          <cell r="C100" t="str">
            <v>LO1Slow</v>
          </cell>
          <cell r="D100">
            <v>2.5643970768378654E-3</v>
          </cell>
          <cell r="E100">
            <v>7.6904586297764643E-3</v>
          </cell>
          <cell r="F100">
            <v>1.6792013047419844E-2</v>
          </cell>
          <cell r="G100">
            <v>3.15969387774655E-2</v>
          </cell>
          <cell r="H100">
            <v>5.406874819795171E-2</v>
          </cell>
          <cell r="I100">
            <v>8.6253181011834101E-2</v>
          </cell>
          <cell r="J100">
            <v>0.1300328481838382</v>
          </cell>
          <cell r="K100">
            <v>0.18678710893858319</v>
          </cell>
          <cell r="L100">
            <v>0.2569823480072907</v>
          </cell>
          <cell r="M100">
            <v>0.33975920985004748</v>
          </cell>
          <cell r="N100">
            <v>0.43262946935754232</v>
          </cell>
          <cell r="O100">
            <v>0.53142594003645804</v>
          </cell>
          <cell r="P100">
            <v>0.63063487292644704</v>
          </cell>
          <cell r="Q100">
            <v>0.7241560234206913</v>
          </cell>
          <cell r="R100">
            <v>0.80638203131755359</v>
          </cell>
          <cell r="S100">
            <v>0.87331559734491926</v>
          </cell>
          <cell r="T100">
            <v>0.92334516248836807</v>
          </cell>
        </row>
      </sheetData>
      <sheetData sheetId="8"/>
      <sheetData sheetId="9"/>
      <sheetData sheetId="10"/>
      <sheetData sheetId="11">
        <row r="13">
          <cell r="B13" t="str">
            <v>FORECAST</v>
          </cell>
        </row>
        <row r="17">
          <cell r="B17" t="str">
            <v>FloorA%TYP</v>
          </cell>
          <cell r="C17">
            <v>0.49844828664156315</v>
          </cell>
          <cell r="D17">
            <v>0.39725857197361958</v>
          </cell>
          <cell r="E17">
            <v>0.10429314138481716</v>
          </cell>
          <cell r="F17">
            <v>0.29289805028089561</v>
          </cell>
          <cell r="G17">
            <v>0.11837446567671327</v>
          </cell>
          <cell r="H17">
            <v>0.44658380004081855</v>
          </cell>
          <cell r="I17">
            <v>0.14214368400157257</v>
          </cell>
          <cell r="J17">
            <v>0.58044164275770982</v>
          </cell>
          <cell r="K17">
            <v>0.41955835724229024</v>
          </cell>
          <cell r="L17">
            <v>1</v>
          </cell>
          <cell r="M17">
            <v>0.70766579331774959</v>
          </cell>
          <cell r="N17">
            <v>0.29233420668225041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</row>
        <row r="18">
          <cell r="B18" t="str">
            <v>FloorA%REG</v>
          </cell>
          <cell r="C18">
            <v>0.15073291148870363</v>
          </cell>
          <cell r="D18">
            <v>0.12013270538231059</v>
          </cell>
          <cell r="E18">
            <v>3.1538695729415013E-2</v>
          </cell>
          <cell r="F18">
            <v>2.6820893655991742E-2</v>
          </cell>
          <cell r="G18">
            <v>1.0839638408159987E-2</v>
          </cell>
          <cell r="H18">
            <v>4.0894012773033235E-2</v>
          </cell>
          <cell r="I18">
            <v>1.3016203517984767E-2</v>
          </cell>
          <cell r="J18">
            <v>3.0886857559635036E-2</v>
          </cell>
          <cell r="K18">
            <v>2.2325826170102026E-2</v>
          </cell>
          <cell r="L18">
            <v>0.10087192274660353</v>
          </cell>
          <cell r="M18">
            <v>6.1675003194375045E-3</v>
          </cell>
          <cell r="N18">
            <v>2.5477723102065148E-3</v>
          </cell>
          <cell r="O18">
            <v>1.1693580853842011E-2</v>
          </cell>
          <cell r="P18">
            <v>2.3957473342185561E-2</v>
          </cell>
          <cell r="Q18">
            <v>4.4965056377242296E-2</v>
          </cell>
          <cell r="R18">
            <v>5.827742495837801E-2</v>
          </cell>
          <cell r="S18">
            <v>9.0984350406775827E-2</v>
          </cell>
          <cell r="T18">
            <v>0.21334717399999265</v>
          </cell>
        </row>
        <row r="19">
          <cell r="B19" t="str">
            <v>ElecHt%TYP</v>
          </cell>
          <cell r="C19">
            <v>9.379008321141083E-2</v>
          </cell>
          <cell r="D19">
            <v>5.7141018201974592E-2</v>
          </cell>
          <cell r="E19">
            <v>6.3540893141458221E-2</v>
          </cell>
          <cell r="F19">
            <v>0.52114684573848291</v>
          </cell>
          <cell r="G19">
            <v>0.64094486042254439</v>
          </cell>
          <cell r="H19">
            <v>0.56159710090996928</v>
          </cell>
          <cell r="I19">
            <v>0.19952525247533903</v>
          </cell>
          <cell r="J19">
            <v>0.22286467137317267</v>
          </cell>
          <cell r="K19">
            <v>0.15885643507420852</v>
          </cell>
          <cell r="L19">
            <v>0.52114684573848291</v>
          </cell>
          <cell r="M19">
            <v>1.5377816133020691E-2</v>
          </cell>
          <cell r="N19">
            <v>0</v>
          </cell>
          <cell r="O19">
            <v>5.5212362541074519E-2</v>
          </cell>
          <cell r="P19">
            <v>0.34342063041492848</v>
          </cell>
          <cell r="Q19">
            <v>0.10311447532768504</v>
          </cell>
          <cell r="R19">
            <v>5.6083613809662864E-3</v>
          </cell>
          <cell r="S19">
            <v>5.6083613809662864E-3</v>
          </cell>
          <cell r="T19">
            <v>0.24031041917780901</v>
          </cell>
        </row>
        <row r="20">
          <cell r="B20" t="str">
            <v>GasHt%TYP</v>
          </cell>
          <cell r="C20">
            <v>0.80872784176745371</v>
          </cell>
          <cell r="D20">
            <v>0.93108561158422598</v>
          </cell>
          <cell r="E20">
            <v>0.65879042006554966</v>
          </cell>
          <cell r="F20">
            <v>0.30364464955032466</v>
          </cell>
          <cell r="G20">
            <v>0.20980203614718312</v>
          </cell>
          <cell r="H20">
            <v>0.42422729730852854</v>
          </cell>
          <cell r="I20">
            <v>0.44747439425166918</v>
          </cell>
          <cell r="J20">
            <v>0.53090550528653346</v>
          </cell>
          <cell r="K20">
            <v>0.73038501205930684</v>
          </cell>
          <cell r="L20">
            <v>0.30364464955032466</v>
          </cell>
          <cell r="M20">
            <v>0.88455863187555051</v>
          </cell>
          <cell r="N20">
            <v>0.99620809267302346</v>
          </cell>
          <cell r="O20">
            <v>0.88366906107173016</v>
          </cell>
          <cell r="P20">
            <v>0.53617368361870132</v>
          </cell>
          <cell r="Q20">
            <v>0.74192623135844471</v>
          </cell>
          <cell r="R20">
            <v>0.98575716289794368</v>
          </cell>
          <cell r="S20">
            <v>0.98575716289794368</v>
          </cell>
          <cell r="T20">
            <v>0.6783643954380898</v>
          </cell>
        </row>
        <row r="21">
          <cell r="B21" t="str">
            <v>HtPmpHt%TYP</v>
          </cell>
          <cell r="C21">
            <v>9.7482075021135345E-2</v>
          </cell>
          <cell r="D21">
            <v>1.1773370213799438E-2</v>
          </cell>
          <cell r="E21">
            <v>0.27766868679299217</v>
          </cell>
          <cell r="F21">
            <v>0.17520850471119245</v>
          </cell>
          <cell r="G21">
            <v>0.14925310343027248</v>
          </cell>
          <cell r="H21">
            <v>1.4175601781502387E-2</v>
          </cell>
          <cell r="I21">
            <v>0.35300035327299167</v>
          </cell>
          <cell r="J21">
            <v>0.24622982334029381</v>
          </cell>
          <cell r="K21">
            <v>0.1107585528664846</v>
          </cell>
          <cell r="L21">
            <v>0.17520850471119245</v>
          </cell>
          <cell r="M21">
            <v>0.1000635519914288</v>
          </cell>
          <cell r="N21">
            <v>3.7919073269764856E-3</v>
          </cell>
          <cell r="O21">
            <v>6.1118576387195395E-2</v>
          </cell>
          <cell r="P21">
            <v>0.12040568596637012</v>
          </cell>
          <cell r="Q21">
            <v>0.15495929331387026</v>
          </cell>
          <cell r="R21">
            <v>8.6344757210899958E-3</v>
          </cell>
          <cell r="S21">
            <v>8.6344757210899958E-3</v>
          </cell>
          <cell r="T21">
            <v>8.1325185384101065E-2</v>
          </cell>
        </row>
        <row r="22">
          <cell r="B22" t="str">
            <v>CoolSat%TYP</v>
          </cell>
          <cell r="C22">
            <v>0.95128694884061893</v>
          </cell>
          <cell r="D22">
            <v>0.97665874571205136</v>
          </cell>
          <cell r="E22">
            <v>0.91122609210258287</v>
          </cell>
          <cell r="F22">
            <v>0.98608503921852686</v>
          </cell>
          <cell r="G22">
            <v>0.77181511362305244</v>
          </cell>
          <cell r="H22">
            <v>0.90527535536267667</v>
          </cell>
          <cell r="I22">
            <v>0.53668215741883951</v>
          </cell>
          <cell r="J22">
            <v>0.96128535178408803</v>
          </cell>
          <cell r="K22">
            <v>0.75</v>
          </cell>
          <cell r="L22">
            <v>0.18162271351024481</v>
          </cell>
          <cell r="M22">
            <v>0.92147944946531313</v>
          </cell>
          <cell r="N22">
            <v>0.83868998628257874</v>
          </cell>
          <cell r="O22">
            <v>0.99999997512427186</v>
          </cell>
          <cell r="P22">
            <v>0.94438859080377269</v>
          </cell>
          <cell r="Q22">
            <v>0.95</v>
          </cell>
          <cell r="R22">
            <v>0.8423386600487599</v>
          </cell>
          <cell r="S22">
            <v>0.91177234717447209</v>
          </cell>
          <cell r="T22">
            <v>0.87717751610580841</v>
          </cell>
        </row>
        <row r="23">
          <cell r="B23" t="str">
            <v>CoolSat%ACT</v>
          </cell>
          <cell r="C23">
            <v>0.95718804003839186</v>
          </cell>
          <cell r="F23">
            <v>0.86075287434919978</v>
          </cell>
          <cell r="J23">
            <v>0.87263881668019661</v>
          </cell>
          <cell r="L23">
            <v>0.18162271351024481</v>
          </cell>
          <cell r="M23">
            <v>0.897277257424139</v>
          </cell>
          <cell r="O23">
            <v>0.99999997512427186</v>
          </cell>
          <cell r="P23">
            <v>0.94438859080377269</v>
          </cell>
          <cell r="Q23">
            <v>0.89616933002437993</v>
          </cell>
          <cell r="S23">
            <v>0.91177234717447209</v>
          </cell>
          <cell r="T23">
            <v>0.87717751610580841</v>
          </cell>
        </row>
        <row r="24">
          <cell r="B24" t="str">
            <v>PackRT%TYP</v>
          </cell>
          <cell r="C24">
            <v>0.15</v>
          </cell>
          <cell r="D24">
            <v>0.75</v>
          </cell>
          <cell r="E24">
            <v>0.95</v>
          </cell>
          <cell r="F24">
            <v>0.95</v>
          </cell>
          <cell r="G24">
            <v>0.9</v>
          </cell>
          <cell r="H24">
            <v>0.9</v>
          </cell>
          <cell r="I24">
            <v>0.3</v>
          </cell>
          <cell r="J24">
            <v>0.3</v>
          </cell>
          <cell r="K24">
            <v>0.5</v>
          </cell>
          <cell r="L24">
            <v>0.35</v>
          </cell>
          <cell r="M24">
            <v>0.9</v>
          </cell>
          <cell r="N24">
            <v>0.9</v>
          </cell>
          <cell r="O24">
            <v>0.95</v>
          </cell>
          <cell r="P24">
            <v>0.5</v>
          </cell>
          <cell r="Q24">
            <v>0.1</v>
          </cell>
          <cell r="R24">
            <v>0.6</v>
          </cell>
          <cell r="S24">
            <v>0.5</v>
          </cell>
          <cell r="T24">
            <v>0.5</v>
          </cell>
        </row>
        <row r="25">
          <cell r="B25" t="str">
            <v>PackRT%ACT</v>
          </cell>
          <cell r="C25">
            <v>0.50026702886083674</v>
          </cell>
          <cell r="F25">
            <v>0.78455381811533043</v>
          </cell>
          <cell r="J25">
            <v>0.36953195539995587</v>
          </cell>
          <cell r="L25">
            <v>0.35</v>
          </cell>
          <cell r="M25">
            <v>0.90000000000000013</v>
          </cell>
          <cell r="O25">
            <v>0.95</v>
          </cell>
          <cell r="P25">
            <v>0.5</v>
          </cell>
          <cell r="Q25">
            <v>0.45832204515370584</v>
          </cell>
          <cell r="S25">
            <v>0.5</v>
          </cell>
          <cell r="T25">
            <v>0.5</v>
          </cell>
        </row>
        <row r="26">
          <cell r="B26" t="str">
            <v>BuiltUp%TYP</v>
          </cell>
          <cell r="C26">
            <v>0.85</v>
          </cell>
          <cell r="D26">
            <v>0.35</v>
          </cell>
          <cell r="E26">
            <v>0.18010901567330029</v>
          </cell>
          <cell r="F26">
            <v>0.2530928144049488</v>
          </cell>
          <cell r="G26">
            <v>0.2530928144049488</v>
          </cell>
          <cell r="H26">
            <v>0.2530928144049488</v>
          </cell>
          <cell r="I26">
            <v>0.2530928144049488</v>
          </cell>
          <cell r="J26">
            <v>0.45489304544728093</v>
          </cell>
          <cell r="K26">
            <v>0.45489304544728093</v>
          </cell>
          <cell r="L26">
            <v>0.68364721407456519</v>
          </cell>
          <cell r="M26">
            <v>0.20656505403266429</v>
          </cell>
          <cell r="N26">
            <v>0.20656505403266429</v>
          </cell>
          <cell r="O26">
            <v>5.8610362131589246E-2</v>
          </cell>
          <cell r="P26">
            <v>0.68482020855141457</v>
          </cell>
          <cell r="Q26">
            <v>0.53</v>
          </cell>
          <cell r="R26">
            <v>0.53</v>
          </cell>
          <cell r="S26">
            <v>0.27379566641599334</v>
          </cell>
          <cell r="T26">
            <v>0.46120223430256424</v>
          </cell>
          <cell r="U26" t="str">
            <v>Use for Com-EM</v>
          </cell>
        </row>
        <row r="27">
          <cell r="B27" t="str">
            <v>BuiltUp%ACT</v>
          </cell>
          <cell r="C27">
            <v>0.52249684792760431</v>
          </cell>
          <cell r="F27">
            <v>6.2181060258327321E-2</v>
          </cell>
          <cell r="J27">
            <v>0.75664862673331257</v>
          </cell>
          <cell r="L27">
            <v>0.10310000000000001</v>
          </cell>
          <cell r="M27">
            <v>0.11560000000000001</v>
          </cell>
          <cell r="O27">
            <v>0.11560000000000001</v>
          </cell>
          <cell r="P27">
            <v>0.32380000000000003</v>
          </cell>
          <cell r="Q27">
            <v>0.83345440239005475</v>
          </cell>
          <cell r="S27">
            <v>0.3</v>
          </cell>
          <cell r="T27">
            <v>0.47130000000000005</v>
          </cell>
        </row>
        <row r="28">
          <cell r="B28" t="str">
            <v>VAV%TYP</v>
          </cell>
          <cell r="C28">
            <v>0.6</v>
          </cell>
          <cell r="D28">
            <v>0.2</v>
          </cell>
          <cell r="E28">
            <v>0</v>
          </cell>
          <cell r="F28">
            <v>0.01</v>
          </cell>
          <cell r="G28">
            <v>0</v>
          </cell>
          <cell r="H28">
            <v>0</v>
          </cell>
          <cell r="I28">
            <v>0</v>
          </cell>
          <cell r="J28">
            <v>0.25</v>
          </cell>
          <cell r="K28">
            <v>0.4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</v>
          </cell>
          <cell r="R28">
            <v>0.4</v>
          </cell>
          <cell r="S28">
            <v>0.1</v>
          </cell>
          <cell r="T28">
            <v>0.3</v>
          </cell>
        </row>
        <row r="29">
          <cell r="B29" t="str">
            <v>VAV%ACT</v>
          </cell>
          <cell r="C29">
            <v>0.34868166674859297</v>
          </cell>
          <cell r="F29">
            <v>2.3808219851502894E-3</v>
          </cell>
          <cell r="J29">
            <v>0.30214896654996692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Q29">
            <v>0.42833559096925883</v>
          </cell>
          <cell r="S29">
            <v>0.1</v>
          </cell>
          <cell r="T29">
            <v>0.3</v>
          </cell>
        </row>
        <row r="30">
          <cell r="B30" t="str">
            <v>LSYieldElecHt&amp;AC</v>
          </cell>
          <cell r="C30">
            <v>0.92464156437246825</v>
          </cell>
          <cell r="D30">
            <v>0.92743246202832574</v>
          </cell>
          <cell r="E30">
            <v>0.70313295749949067</v>
          </cell>
          <cell r="F30">
            <v>0.85735615745151994</v>
          </cell>
          <cell r="G30">
            <v>0.70892672045214944</v>
          </cell>
          <cell r="H30">
            <v>0.71863304264352112</v>
          </cell>
          <cell r="I30">
            <v>0.75976868046444901</v>
          </cell>
          <cell r="J30">
            <v>0.61612853517840882</v>
          </cell>
          <cell r="K30">
            <v>0.6725000000000001</v>
          </cell>
          <cell r="L30">
            <v>0.61</v>
          </cell>
          <cell r="M30">
            <v>0.85371835595722523</v>
          </cell>
          <cell r="N30">
            <v>0.72741659807956105</v>
          </cell>
          <cell r="O30">
            <v>0.42999999950248563</v>
          </cell>
          <cell r="P30">
            <v>0.69443885908037739</v>
          </cell>
          <cell r="Q30">
            <v>0.28950000000000004</v>
          </cell>
          <cell r="R30">
            <v>0.68423386600487623</v>
          </cell>
          <cell r="S30">
            <v>0.92029495818919216</v>
          </cell>
          <cell r="T30">
            <v>0.91648952677163908</v>
          </cell>
        </row>
        <row r="31">
          <cell r="B31" t="str">
            <v>LSYieldHtPmpHt&amp;AC</v>
          </cell>
          <cell r="C31">
            <v>1.02</v>
          </cell>
          <cell r="D31">
            <v>1.02</v>
          </cell>
          <cell r="E31">
            <v>0.95500000000000007</v>
          </cell>
          <cell r="F31">
            <v>1.0249999999999999</v>
          </cell>
          <cell r="G31">
            <v>0.96499999999999986</v>
          </cell>
          <cell r="H31">
            <v>0.92500000000000004</v>
          </cell>
          <cell r="I31">
            <v>0.97499999999999987</v>
          </cell>
          <cell r="J31">
            <v>0.8600000000000001</v>
          </cell>
          <cell r="K31">
            <v>0.95500000000000007</v>
          </cell>
          <cell r="L31">
            <v>0.80499999999999994</v>
          </cell>
          <cell r="M31">
            <v>0.9700000000000002</v>
          </cell>
          <cell r="N31">
            <v>0.94500000000000006</v>
          </cell>
          <cell r="O31">
            <v>0.72500000000000009</v>
          </cell>
          <cell r="P31">
            <v>0.90000000000000013</v>
          </cell>
          <cell r="Q31">
            <v>0.64999999999999991</v>
          </cell>
          <cell r="R31">
            <v>0.90000000000000013</v>
          </cell>
          <cell r="S31">
            <v>1.02</v>
          </cell>
          <cell r="T31">
            <v>1.02</v>
          </cell>
        </row>
        <row r="32">
          <cell r="B32" t="str">
            <v>LSYieldGasHt&amp;AC</v>
          </cell>
          <cell r="C32">
            <v>1.0878415643724679</v>
          </cell>
          <cell r="D32">
            <v>1.0906324620283256</v>
          </cell>
          <cell r="E32">
            <v>1.1292662908328239</v>
          </cell>
          <cell r="F32">
            <v>1.15655615745152</v>
          </cell>
          <cell r="G32">
            <v>1.0987933871188158</v>
          </cell>
          <cell r="H32">
            <v>1.0722330426435214</v>
          </cell>
          <cell r="I32">
            <v>1.0408353471311158</v>
          </cell>
          <cell r="J32">
            <v>1.051328535178409</v>
          </cell>
          <cell r="K32">
            <v>1.0986333333333334</v>
          </cell>
          <cell r="L32">
            <v>0.96360000000000001</v>
          </cell>
          <cell r="M32">
            <v>1.0531850226238919</v>
          </cell>
          <cell r="N32">
            <v>1.0810165980795612</v>
          </cell>
          <cell r="O32">
            <v>0.96493333283581861</v>
          </cell>
          <cell r="P32">
            <v>1.0571055257470443</v>
          </cell>
          <cell r="Q32">
            <v>0.94230000000000003</v>
          </cell>
          <cell r="R32">
            <v>1.0469005326715428</v>
          </cell>
          <cell r="S32">
            <v>1.0834949581891919</v>
          </cell>
          <cell r="T32">
            <v>1.0796895267716389</v>
          </cell>
        </row>
        <row r="33">
          <cell r="B33" t="str">
            <v>LSYieldElecHt</v>
          </cell>
          <cell r="C33">
            <v>0.82000000000000006</v>
          </cell>
          <cell r="D33">
            <v>0.82000000000000006</v>
          </cell>
          <cell r="E33">
            <v>0.53</v>
          </cell>
          <cell r="F33">
            <v>0.66999999999999993</v>
          </cell>
          <cell r="G33">
            <v>0.57000000000000006</v>
          </cell>
          <cell r="H33">
            <v>0.61</v>
          </cell>
          <cell r="I33">
            <v>0.69</v>
          </cell>
          <cell r="J33">
            <v>0.52</v>
          </cell>
          <cell r="K33">
            <v>0.53</v>
          </cell>
          <cell r="L33">
            <v>0.61</v>
          </cell>
          <cell r="M33">
            <v>0.78</v>
          </cell>
          <cell r="N33">
            <v>0.61</v>
          </cell>
          <cell r="O33">
            <v>0.41000000000000003</v>
          </cell>
          <cell r="P33">
            <v>0.6</v>
          </cell>
          <cell r="Q33">
            <v>0.28000000000000003</v>
          </cell>
          <cell r="R33">
            <v>0.6</v>
          </cell>
          <cell r="S33">
            <v>0.82000000000000006</v>
          </cell>
          <cell r="T33">
            <v>0.82000000000000006</v>
          </cell>
        </row>
        <row r="34">
          <cell r="B34" t="str">
            <v>LSYieldGasHt</v>
          </cell>
          <cell r="C34">
            <v>0.98319999999999996</v>
          </cell>
          <cell r="D34">
            <v>0.98319999999999996</v>
          </cell>
          <cell r="E34">
            <v>0.95613333333333328</v>
          </cell>
          <cell r="F34">
            <v>0.96919999999999995</v>
          </cell>
          <cell r="G34">
            <v>0.95986666666666665</v>
          </cell>
          <cell r="H34">
            <v>0.96360000000000001</v>
          </cell>
          <cell r="I34">
            <v>0.97106666666666663</v>
          </cell>
          <cell r="J34">
            <v>0.95520000000000005</v>
          </cell>
          <cell r="K34">
            <v>0.95613333333333328</v>
          </cell>
          <cell r="L34">
            <v>0.96360000000000001</v>
          </cell>
          <cell r="M34">
            <v>0.97946666666666671</v>
          </cell>
          <cell r="N34">
            <v>0.96360000000000001</v>
          </cell>
          <cell r="O34">
            <v>0.94493333333333329</v>
          </cell>
          <cell r="P34">
            <v>0.96266666666666667</v>
          </cell>
          <cell r="Q34">
            <v>0.93279999999999996</v>
          </cell>
          <cell r="R34">
            <v>0.96266666666666667</v>
          </cell>
          <cell r="S34">
            <v>0.98319999999999996</v>
          </cell>
          <cell r="T34">
            <v>0.98319999999999996</v>
          </cell>
        </row>
        <row r="35">
          <cell r="B35" t="str">
            <v>LSYieldThermsGasHt</v>
          </cell>
          <cell r="C35">
            <v>-8.1887999999999996E-3</v>
          </cell>
          <cell r="D35">
            <v>-8.1887999999999996E-3</v>
          </cell>
          <cell r="E35">
            <v>-2.1381866666666666E-2</v>
          </cell>
          <cell r="F35">
            <v>-1.50128E-2</v>
          </cell>
          <cell r="G35">
            <v>-1.9562133333333332E-2</v>
          </cell>
          <cell r="H35">
            <v>-1.7742399999999998E-2</v>
          </cell>
          <cell r="I35">
            <v>-1.4102933333333333E-2</v>
          </cell>
          <cell r="J35">
            <v>-2.18368E-2</v>
          </cell>
          <cell r="K35">
            <v>-2.1381866666666666E-2</v>
          </cell>
          <cell r="L35">
            <v>-1.7742399999999998E-2</v>
          </cell>
          <cell r="M35">
            <v>-1.0008533333333333E-2</v>
          </cell>
          <cell r="N35">
            <v>-1.7742399999999998E-2</v>
          </cell>
          <cell r="O35">
            <v>-2.6841066666666667E-2</v>
          </cell>
          <cell r="P35">
            <v>-1.8197333333333333E-2</v>
          </cell>
          <cell r="Q35">
            <v>-3.2755199999999998E-2</v>
          </cell>
          <cell r="R35">
            <v>-1.8197333333333333E-2</v>
          </cell>
          <cell r="S35">
            <v>-8.1887999999999996E-3</v>
          </cell>
          <cell r="T35">
            <v>-8.1887999999999996E-3</v>
          </cell>
        </row>
        <row r="36">
          <cell r="B36" t="str">
            <v>LSYieldThermsGasHt&amp;AC</v>
          </cell>
          <cell r="C36">
            <v>-8.1887999999999996E-3</v>
          </cell>
          <cell r="D36">
            <v>-8.1887999999999996E-3</v>
          </cell>
          <cell r="E36">
            <v>-2.1381866666666666E-2</v>
          </cell>
          <cell r="F36">
            <v>-1.50128E-2</v>
          </cell>
          <cell r="G36">
            <v>-1.9562133333333332E-2</v>
          </cell>
          <cell r="H36">
            <v>-1.7742399999999998E-2</v>
          </cell>
          <cell r="I36">
            <v>-1.4102933333333333E-2</v>
          </cell>
          <cell r="J36">
            <v>-2.18368E-2</v>
          </cell>
          <cell r="K36">
            <v>-2.1381866666666666E-2</v>
          </cell>
          <cell r="L36">
            <v>-1.7742399999999998E-2</v>
          </cell>
          <cell r="M36">
            <v>-1.0008533333333333E-2</v>
          </cell>
          <cell r="N36">
            <v>-1.7742399999999998E-2</v>
          </cell>
          <cell r="O36">
            <v>-2.6841066666666667E-2</v>
          </cell>
          <cell r="P36">
            <v>-1.8197333333333333E-2</v>
          </cell>
          <cell r="Q36">
            <v>-3.2755199999999998E-2</v>
          </cell>
          <cell r="R36">
            <v>-1.8197333333333333E-2</v>
          </cell>
          <cell r="S36">
            <v>-8.1887999999999996E-3</v>
          </cell>
          <cell r="T36">
            <v>-8.1887999999999996E-3</v>
          </cell>
        </row>
        <row r="37">
          <cell r="B37" t="str">
            <v>LPDAdjust</v>
          </cell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</row>
        <row r="38">
          <cell r="B38" t="str">
            <v>Chiller%TYP</v>
          </cell>
          <cell r="C38">
            <v>0.6</v>
          </cell>
          <cell r="D38">
            <v>0.1</v>
          </cell>
          <cell r="E38">
            <v>0</v>
          </cell>
          <cell r="F38">
            <v>0.05</v>
          </cell>
          <cell r="G38">
            <v>0</v>
          </cell>
          <cell r="H38">
            <v>0</v>
          </cell>
          <cell r="I38">
            <v>0.4</v>
          </cell>
          <cell r="J38">
            <v>0.4</v>
          </cell>
          <cell r="K38">
            <v>0.6</v>
          </cell>
          <cell r="L38">
            <v>0.03</v>
          </cell>
          <cell r="M38">
            <v>0</v>
          </cell>
          <cell r="N38">
            <v>0</v>
          </cell>
          <cell r="O38">
            <v>0</v>
          </cell>
          <cell r="P38">
            <v>0.15</v>
          </cell>
          <cell r="Q38">
            <v>0.75</v>
          </cell>
          <cell r="R38">
            <v>0.2</v>
          </cell>
          <cell r="S38">
            <v>0.1</v>
          </cell>
          <cell r="T38">
            <v>0.3</v>
          </cell>
        </row>
        <row r="39">
          <cell r="B39" t="str">
            <v>HOURSLght</v>
          </cell>
          <cell r="C39">
            <v>3300</v>
          </cell>
          <cell r="D39">
            <v>2800</v>
          </cell>
          <cell r="E39">
            <v>2600</v>
          </cell>
          <cell r="F39">
            <v>6200</v>
          </cell>
          <cell r="G39">
            <v>3800</v>
          </cell>
          <cell r="H39">
            <v>3800</v>
          </cell>
          <cell r="I39">
            <v>2800</v>
          </cell>
          <cell r="J39">
            <v>2700</v>
          </cell>
          <cell r="K39">
            <v>3600</v>
          </cell>
          <cell r="L39">
            <v>2700</v>
          </cell>
          <cell r="M39">
            <v>7300</v>
          </cell>
          <cell r="N39">
            <v>6800</v>
          </cell>
          <cell r="O39">
            <v>5400</v>
          </cell>
          <cell r="P39">
            <v>3000</v>
          </cell>
          <cell r="Q39">
            <v>6400</v>
          </cell>
          <cell r="R39">
            <v>5700</v>
          </cell>
          <cell r="S39">
            <v>3000</v>
          </cell>
          <cell r="T39">
            <v>4100</v>
          </cell>
        </row>
        <row r="40">
          <cell r="B40" t="str">
            <v>UnCondArea%TYP</v>
          </cell>
          <cell r="C40">
            <v>0.12</v>
          </cell>
          <cell r="D40">
            <v>7.0000000000000007E-2</v>
          </cell>
          <cell r="E40">
            <v>0.05</v>
          </cell>
          <cell r="F40">
            <v>0.03</v>
          </cell>
          <cell r="G40">
            <v>0.13</v>
          </cell>
          <cell r="H40">
            <v>0.1</v>
          </cell>
          <cell r="I40">
            <v>0.12</v>
          </cell>
          <cell r="J40">
            <v>0.01</v>
          </cell>
          <cell r="K40">
            <v>0.1</v>
          </cell>
          <cell r="L40">
            <v>0.31</v>
          </cell>
          <cell r="M40">
            <v>0.04</v>
          </cell>
          <cell r="N40">
            <v>0.04</v>
          </cell>
          <cell r="O40">
            <v>0.13</v>
          </cell>
          <cell r="P40">
            <v>0.05</v>
          </cell>
          <cell r="Q40">
            <v>0.12</v>
          </cell>
          <cell r="R40">
            <v>0.03</v>
          </cell>
          <cell r="S40">
            <v>0.15</v>
          </cell>
          <cell r="T40">
            <v>0.15</v>
          </cell>
        </row>
        <row r="41">
          <cell r="B41" t="str">
            <v>RTEcono%TYP</v>
          </cell>
          <cell r="C41">
            <v>1</v>
          </cell>
          <cell r="D41">
            <v>1</v>
          </cell>
          <cell r="E41">
            <v>0.77500000000000002</v>
          </cell>
          <cell r="F41">
            <v>1</v>
          </cell>
          <cell r="G41">
            <v>0.77500000000000002</v>
          </cell>
          <cell r="H41">
            <v>0.95</v>
          </cell>
          <cell r="I41">
            <v>0.82499999999999996</v>
          </cell>
          <cell r="J41">
            <v>1</v>
          </cell>
          <cell r="K41">
            <v>1</v>
          </cell>
          <cell r="L41">
            <v>0.72500000000000009</v>
          </cell>
          <cell r="M41">
            <v>0.85</v>
          </cell>
          <cell r="N41">
            <v>0.85</v>
          </cell>
          <cell r="O41">
            <v>0.85</v>
          </cell>
          <cell r="P41">
            <v>0.85</v>
          </cell>
          <cell r="Q41">
            <v>1</v>
          </cell>
          <cell r="R41">
            <v>0.85</v>
          </cell>
          <cell r="S41">
            <v>0.6</v>
          </cell>
          <cell r="T41">
            <v>0.6</v>
          </cell>
        </row>
        <row r="42">
          <cell r="B42" t="str">
            <v>FloorA%PRE2002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B43" t="str">
            <v>FloorA%PRE2006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>ElecHtComplex%TYP</v>
          </cell>
          <cell r="C44">
            <v>0.61680000000000001</v>
          </cell>
          <cell r="D44">
            <v>0.61680000000000001</v>
          </cell>
          <cell r="E44">
            <v>0.61680000000000001</v>
          </cell>
          <cell r="F44">
            <v>0.84279999999999999</v>
          </cell>
          <cell r="G44">
            <v>3.7900000000000003E-2</v>
          </cell>
          <cell r="H44">
            <v>3.7900000000000003E-2</v>
          </cell>
          <cell r="I44">
            <v>3.7900000000000003E-2</v>
          </cell>
          <cell r="J44">
            <v>6.0999999999999995E-3</v>
          </cell>
          <cell r="K44">
            <v>0.1794</v>
          </cell>
          <cell r="L44">
            <v>0.37840000000000001</v>
          </cell>
          <cell r="M44">
            <v>5.3399999999999996E-2</v>
          </cell>
          <cell r="N44">
            <v>5.3399999999999996E-2</v>
          </cell>
          <cell r="O44">
            <v>5.3399999999999996E-2</v>
          </cell>
          <cell r="P44">
            <v>7.7000000000000002E-3</v>
          </cell>
          <cell r="Q44">
            <v>8.1099999999999992E-2</v>
          </cell>
          <cell r="R44">
            <v>0.35409999999999997</v>
          </cell>
          <cell r="S44">
            <v>0.05</v>
          </cell>
          <cell r="T44">
            <v>0.31140000000000001</v>
          </cell>
        </row>
        <row r="45">
          <cell r="B45" t="str">
            <v>GasHtComplex%TYP</v>
          </cell>
          <cell r="C45">
            <v>0.25319999999999998</v>
          </cell>
          <cell r="D45">
            <v>0.25319999999999998</v>
          </cell>
          <cell r="E45">
            <v>0.25319999999999998</v>
          </cell>
          <cell r="F45">
            <v>0.15720000000000001</v>
          </cell>
          <cell r="G45">
            <v>0.31929999999999997</v>
          </cell>
          <cell r="H45">
            <v>0.31929999999999997</v>
          </cell>
          <cell r="I45">
            <v>0.31929999999999997</v>
          </cell>
          <cell r="J45">
            <v>0.83329999999999993</v>
          </cell>
          <cell r="K45">
            <v>0.82069999999999999</v>
          </cell>
          <cell r="L45">
            <v>0.62159999999999993</v>
          </cell>
          <cell r="M45">
            <v>0.9466</v>
          </cell>
          <cell r="N45">
            <v>0.9466</v>
          </cell>
          <cell r="O45">
            <v>0.9466</v>
          </cell>
          <cell r="P45">
            <v>0.56859999999999999</v>
          </cell>
          <cell r="Q45">
            <v>0.91890000000000005</v>
          </cell>
          <cell r="R45">
            <v>0.57330000000000003</v>
          </cell>
          <cell r="S45">
            <v>0.55000000000000004</v>
          </cell>
          <cell r="T45">
            <v>0.67430000000000001</v>
          </cell>
        </row>
        <row r="46">
          <cell r="B46" t="str">
            <v>HtPmpHtComplex%TYP</v>
          </cell>
          <cell r="C46">
            <v>0.13009999999999999</v>
          </cell>
          <cell r="D46">
            <v>0.13009999999999999</v>
          </cell>
          <cell r="E46">
            <v>0.13009999999999999</v>
          </cell>
          <cell r="F46">
            <v>0</v>
          </cell>
          <cell r="G46">
            <v>0.64280000000000004</v>
          </cell>
          <cell r="H46">
            <v>0.64280000000000004</v>
          </cell>
          <cell r="I46">
            <v>0.64280000000000004</v>
          </cell>
          <cell r="J46">
            <v>0.1605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0.42380000000000001</v>
          </cell>
          <cell r="Q46">
            <v>0</v>
          </cell>
          <cell r="R46">
            <v>7.2700000000000001E-2</v>
          </cell>
          <cell r="S46">
            <v>0.4</v>
          </cell>
          <cell r="T46">
            <v>1.4199999999999999E-2</v>
          </cell>
        </row>
        <row r="47">
          <cell r="B47" t="str">
            <v>ElecHtSimple%TYP</v>
          </cell>
          <cell r="C47">
            <v>0.05</v>
          </cell>
          <cell r="D47">
            <v>0.05</v>
          </cell>
          <cell r="E47">
            <v>0.05</v>
          </cell>
          <cell r="F47">
            <v>2.53E-2</v>
          </cell>
          <cell r="G47">
            <v>2.4700000000000003E-2</v>
          </cell>
          <cell r="H47">
            <v>2.4700000000000003E-2</v>
          </cell>
          <cell r="I47">
            <v>2.4700000000000003E-2</v>
          </cell>
          <cell r="J47">
            <v>2.41E-2</v>
          </cell>
          <cell r="K47">
            <v>0.18960000000000002</v>
          </cell>
          <cell r="L47">
            <v>0.1013</v>
          </cell>
          <cell r="M47">
            <v>1.03E-2</v>
          </cell>
          <cell r="N47">
            <v>1.03E-2</v>
          </cell>
          <cell r="O47">
            <v>1.03E-2</v>
          </cell>
          <cell r="P47">
            <v>0.37490000000000001</v>
          </cell>
          <cell r="Q47">
            <v>0.18149999999999999</v>
          </cell>
          <cell r="R47">
            <v>5.6999999999999993E-3</v>
          </cell>
          <cell r="S47">
            <v>0.1</v>
          </cell>
          <cell r="T47">
            <v>8.3400000000000002E-2</v>
          </cell>
        </row>
        <row r="48">
          <cell r="B48" t="str">
            <v>GasHtSimple%TYP</v>
          </cell>
          <cell r="C48">
            <v>0.85</v>
          </cell>
          <cell r="D48">
            <v>0.85</v>
          </cell>
          <cell r="E48">
            <v>0.85</v>
          </cell>
          <cell r="F48">
            <v>0.96689999999999998</v>
          </cell>
          <cell r="G48">
            <v>0.83260000000000001</v>
          </cell>
          <cell r="H48">
            <v>0.83260000000000001</v>
          </cell>
          <cell r="I48">
            <v>0.83260000000000001</v>
          </cell>
          <cell r="J48">
            <v>0.92970000000000008</v>
          </cell>
          <cell r="K48">
            <v>0.73620000000000008</v>
          </cell>
          <cell r="L48">
            <v>0.86060000000000003</v>
          </cell>
          <cell r="M48">
            <v>0.98720000000000008</v>
          </cell>
          <cell r="N48">
            <v>0.98720000000000008</v>
          </cell>
          <cell r="O48">
            <v>0.98720000000000008</v>
          </cell>
          <cell r="P48">
            <v>0.37859999999999994</v>
          </cell>
          <cell r="Q48">
            <v>0.78300000000000003</v>
          </cell>
          <cell r="R48">
            <v>0.99429999999999996</v>
          </cell>
          <cell r="S48">
            <v>0.8</v>
          </cell>
          <cell r="T48">
            <v>0.85329999999999995</v>
          </cell>
        </row>
        <row r="49">
          <cell r="B49" t="str">
            <v>HtPmpHtSimple%TYP</v>
          </cell>
          <cell r="C49">
            <v>0.1</v>
          </cell>
          <cell r="D49">
            <v>0.1</v>
          </cell>
          <cell r="E49">
            <v>0.1</v>
          </cell>
          <cell r="F49">
            <v>7.8000000000000005E-3</v>
          </cell>
          <cell r="G49">
            <v>0.14269999999999999</v>
          </cell>
          <cell r="H49">
            <v>0.14269999999999999</v>
          </cell>
          <cell r="I49">
            <v>0.14269999999999999</v>
          </cell>
          <cell r="J49">
            <v>4.6199999999999998E-2</v>
          </cell>
          <cell r="K49">
            <v>7.4200000000000002E-2</v>
          </cell>
          <cell r="L49">
            <v>3.8100000000000002E-2</v>
          </cell>
          <cell r="M49">
            <v>2.5000000000000001E-3</v>
          </cell>
          <cell r="N49">
            <v>2.5000000000000001E-3</v>
          </cell>
          <cell r="O49">
            <v>2.5000000000000001E-3</v>
          </cell>
          <cell r="P49">
            <v>0.24660000000000001</v>
          </cell>
          <cell r="Q49">
            <v>3.5400000000000001E-2</v>
          </cell>
          <cell r="R49">
            <v>0</v>
          </cell>
          <cell r="S49">
            <v>0.1</v>
          </cell>
          <cell r="T49">
            <v>6.3200000000000006E-2</v>
          </cell>
        </row>
        <row r="50">
          <cell r="B50" t="str">
            <v>ChillerAir%TYP</v>
          </cell>
          <cell r="C50">
            <v>0.5</v>
          </cell>
          <cell r="D50">
            <v>0.8</v>
          </cell>
          <cell r="E50">
            <v>0.8</v>
          </cell>
          <cell r="F50">
            <v>0.8</v>
          </cell>
          <cell r="G50">
            <v>0.8</v>
          </cell>
          <cell r="H50">
            <v>0.8</v>
          </cell>
          <cell r="I50">
            <v>0.8</v>
          </cell>
          <cell r="J50">
            <v>0.8</v>
          </cell>
          <cell r="K50">
            <v>0.8</v>
          </cell>
          <cell r="L50">
            <v>0.9</v>
          </cell>
          <cell r="M50">
            <v>1</v>
          </cell>
          <cell r="N50">
            <v>1</v>
          </cell>
          <cell r="O50">
            <v>1</v>
          </cell>
          <cell r="P50">
            <v>0.2</v>
          </cell>
          <cell r="Q50">
            <v>0.2</v>
          </cell>
          <cell r="R50">
            <v>0.6</v>
          </cell>
          <cell r="S50">
            <v>0.6</v>
          </cell>
          <cell r="T50">
            <v>0.2</v>
          </cell>
        </row>
        <row r="51">
          <cell r="B51" t="str">
            <v>ChillerWater%TYP</v>
          </cell>
          <cell r="C51">
            <v>0.5</v>
          </cell>
          <cell r="D51">
            <v>0.2</v>
          </cell>
          <cell r="E51">
            <v>0.2</v>
          </cell>
          <cell r="F51">
            <v>0.2</v>
          </cell>
          <cell r="G51">
            <v>0.2</v>
          </cell>
          <cell r="H51">
            <v>0.2</v>
          </cell>
          <cell r="I51">
            <v>0.2</v>
          </cell>
          <cell r="J51">
            <v>0.2</v>
          </cell>
          <cell r="K51">
            <v>0.2</v>
          </cell>
          <cell r="L51">
            <v>0.1</v>
          </cell>
          <cell r="M51">
            <v>0</v>
          </cell>
          <cell r="N51">
            <v>0</v>
          </cell>
          <cell r="O51">
            <v>0</v>
          </cell>
          <cell r="P51">
            <v>0.8</v>
          </cell>
          <cell r="Q51">
            <v>0.8</v>
          </cell>
          <cell r="R51">
            <v>0.4</v>
          </cell>
          <cell r="S51">
            <v>0.4</v>
          </cell>
          <cell r="T51">
            <v>0.8</v>
          </cell>
        </row>
        <row r="52">
          <cell r="B52" t="str">
            <v>WinFloorRatio%TYP</v>
          </cell>
          <cell r="C52">
            <v>0.16</v>
          </cell>
          <cell r="D52">
            <v>0.16</v>
          </cell>
          <cell r="E52">
            <v>0.16</v>
          </cell>
          <cell r="F52">
            <v>0.02</v>
          </cell>
          <cell r="G52">
            <v>0.16</v>
          </cell>
          <cell r="H52">
            <v>0.16</v>
          </cell>
          <cell r="I52">
            <v>0.04</v>
          </cell>
          <cell r="J52">
            <v>7.0000000000000007E-2</v>
          </cell>
          <cell r="K52">
            <v>0.12</v>
          </cell>
          <cell r="L52">
            <v>0.03</v>
          </cell>
          <cell r="M52">
            <v>0.04</v>
          </cell>
          <cell r="N52">
            <v>0.15</v>
          </cell>
          <cell r="O52">
            <v>0.18</v>
          </cell>
          <cell r="P52">
            <v>0.11</v>
          </cell>
          <cell r="Q52">
            <v>0.11</v>
          </cell>
          <cell r="R52">
            <v>0.12</v>
          </cell>
          <cell r="S52">
            <v>0.08</v>
          </cell>
          <cell r="T52">
            <v>0.1</v>
          </cell>
        </row>
        <row r="61">
          <cell r="C61" t="str">
            <v>Office</v>
          </cell>
          <cell r="D61" t="str">
            <v>Office</v>
          </cell>
          <cell r="E61" t="str">
            <v>Office</v>
          </cell>
          <cell r="F61" t="str">
            <v>Retail/Service</v>
          </cell>
          <cell r="G61" t="str">
            <v>Retail/Service</v>
          </cell>
          <cell r="H61" t="str">
            <v>Retail/Service</v>
          </cell>
          <cell r="I61" t="str">
            <v>Retail/Service</v>
          </cell>
          <cell r="M61" t="str">
            <v>Grocery</v>
          </cell>
          <cell r="N61" t="str">
            <v>Grocery</v>
          </cell>
        </row>
        <row r="62">
          <cell r="B62" t="str">
            <v>_PRE2013</v>
          </cell>
          <cell r="C62" t="str">
            <v>Office</v>
          </cell>
          <cell r="F62" t="str">
            <v>Retail/Service</v>
          </cell>
          <cell r="J62" t="str">
            <v>School</v>
          </cell>
          <cell r="L62" t="str">
            <v>Warehouse</v>
          </cell>
          <cell r="M62" t="str">
            <v>Grocery</v>
          </cell>
          <cell r="O62" t="str">
            <v>Restaurant</v>
          </cell>
          <cell r="P62" t="str">
            <v>Lodging</v>
          </cell>
          <cell r="Q62" t="str">
            <v>Health</v>
          </cell>
          <cell r="S62" t="str">
            <v>Assembly</v>
          </cell>
          <cell r="T62" t="str">
            <v>Other</v>
          </cell>
        </row>
        <row r="63">
          <cell r="B63" t="str">
            <v>FloorA%ACT</v>
          </cell>
          <cell r="C63">
            <v>0.21925891959556321</v>
          </cell>
          <cell r="F63">
            <v>0.170463671983236</v>
          </cell>
          <cell r="J63">
            <v>0.11027533939050128</v>
          </cell>
          <cell r="L63">
            <v>0.13203580856943528</v>
          </cell>
          <cell r="M63">
            <v>2.3026138677721724E-2</v>
          </cell>
          <cell r="O63">
            <v>1.5835296654172451E-2</v>
          </cell>
          <cell r="P63">
            <v>5.1068065124091046E-2</v>
          </cell>
          <cell r="Q63">
            <v>6.8347557000163706E-2</v>
          </cell>
          <cell r="S63">
            <v>0.11013494038183547</v>
          </cell>
          <cell r="T63">
            <v>9.9554262623279946E-2</v>
          </cell>
        </row>
        <row r="64">
          <cell r="B64" t="str">
            <v>_PRE2013</v>
          </cell>
          <cell r="C64" t="str">
            <v>Large Off</v>
          </cell>
          <cell r="D64" t="str">
            <v>Medium Off</v>
          </cell>
          <cell r="E64" t="str">
            <v>Small Off</v>
          </cell>
          <cell r="F64" t="str">
            <v>Xlarge Ret</v>
          </cell>
          <cell r="G64" t="str">
            <v>Large Ret</v>
          </cell>
          <cell r="H64" t="str">
            <v>Medium Ret</v>
          </cell>
          <cell r="I64" t="str">
            <v>Small Ret</v>
          </cell>
          <cell r="J64" t="str">
            <v>School K-12</v>
          </cell>
          <cell r="K64" t="str">
            <v>University</v>
          </cell>
          <cell r="L64" t="str">
            <v>Warehouse</v>
          </cell>
          <cell r="M64" t="str">
            <v>Supermarket</v>
          </cell>
          <cell r="N64" t="str">
            <v>MiniMart</v>
          </cell>
          <cell r="O64" t="str">
            <v>Restaurant</v>
          </cell>
          <cell r="P64" t="str">
            <v>Lodging</v>
          </cell>
          <cell r="Q64" t="str">
            <v>Hospital</v>
          </cell>
          <cell r="R64" t="str">
            <v>Residential Care</v>
          </cell>
          <cell r="S64" t="str">
            <v>Assembly</v>
          </cell>
          <cell r="T64" t="str">
            <v>Other</v>
          </cell>
        </row>
        <row r="65">
          <cell r="B65" t="str">
            <v>FloorA%TYP</v>
          </cell>
          <cell r="C65">
            <v>0.43937391922213881</v>
          </cell>
          <cell r="D65">
            <v>0.43063730719145626</v>
          </cell>
          <cell r="E65">
            <v>0.12998877358640493</v>
          </cell>
          <cell r="F65">
            <v>0.23462323739305441</v>
          </cell>
          <cell r="G65">
            <v>5.5262096022427078E-2</v>
          </cell>
          <cell r="H65">
            <v>0.60637878991755256</v>
          </cell>
          <cell r="I65">
            <v>0.10373587666696588</v>
          </cell>
          <cell r="J65">
            <v>0.66429751499430445</v>
          </cell>
          <cell r="K65">
            <v>0.33570248500569549</v>
          </cell>
          <cell r="L65">
            <v>1</v>
          </cell>
          <cell r="M65">
            <v>0.84840559081310307</v>
          </cell>
          <cell r="N65">
            <v>0.15159440918689687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</v>
          </cell>
        </row>
        <row r="66">
          <cell r="B66" t="str">
            <v>FloorA%REG</v>
          </cell>
          <cell r="C66">
            <v>9.6336650827114415E-2</v>
          </cell>
          <cell r="D66">
            <v>9.4421070712341362E-2</v>
          </cell>
          <cell r="E66">
            <v>2.8501198056107426E-2</v>
          </cell>
          <cell r="F66">
            <v>3.999473857861454E-2</v>
          </cell>
          <cell r="G66">
            <v>9.4201798094731004E-3</v>
          </cell>
          <cell r="H66">
            <v>0.10336555514209726</v>
          </cell>
          <cell r="I66">
            <v>1.7683198453051097E-2</v>
          </cell>
          <cell r="J66">
            <v>7.3255633922263544E-2</v>
          </cell>
          <cell r="K66">
            <v>3.701970546823774E-2</v>
          </cell>
          <cell r="L66">
            <v>0.13203580856943528</v>
          </cell>
          <cell r="M66">
            <v>1.9535504789016944E-2</v>
          </cell>
          <cell r="N66">
            <v>3.4906338887047794E-3</v>
          </cell>
          <cell r="O66">
            <v>1.5835296654172451E-2</v>
          </cell>
          <cell r="P66">
            <v>5.1068065124091046E-2</v>
          </cell>
          <cell r="Q66">
            <v>3.0978070527759683E-2</v>
          </cell>
          <cell r="R66">
            <v>3.7369486472404026E-2</v>
          </cell>
          <cell r="S66">
            <v>0.11013494038183547</v>
          </cell>
          <cell r="T66">
            <v>9.9554262623279946E-2</v>
          </cell>
        </row>
        <row r="67">
          <cell r="B67" t="str">
            <v>ElecHt%TYP</v>
          </cell>
          <cell r="C67">
            <v>0.20943280302167308</v>
          </cell>
          <cell r="D67">
            <v>0.22131165109110185</v>
          </cell>
          <cell r="E67">
            <v>0.30640942705415353</v>
          </cell>
          <cell r="F67">
            <v>5.2995881766435368E-2</v>
          </cell>
          <cell r="G67">
            <v>1.0593107738682607E-2</v>
          </cell>
          <cell r="H67">
            <v>0.12006240959495594</v>
          </cell>
          <cell r="I67">
            <v>0.2732917310450087</v>
          </cell>
          <cell r="J67">
            <v>5.8369343906151915E-2</v>
          </cell>
          <cell r="K67">
            <v>0.1</v>
          </cell>
          <cell r="L67">
            <v>6.3929137015483993E-3</v>
          </cell>
          <cell r="M67">
            <v>3.9182634298973458E-2</v>
          </cell>
          <cell r="N67">
            <v>9.8940421863423066E-3</v>
          </cell>
          <cell r="O67">
            <v>3.0050555941853869E-2</v>
          </cell>
          <cell r="P67">
            <v>0.44679184687802564</v>
          </cell>
          <cell r="Q67">
            <v>0.08</v>
          </cell>
          <cell r="R67">
            <v>0.33985691133471541</v>
          </cell>
          <cell r="S67">
            <v>0.10640191237323121</v>
          </cell>
          <cell r="T67">
            <v>0.16939513747697868</v>
          </cell>
        </row>
        <row r="68">
          <cell r="B68" t="str">
            <v>GasHt%TYP</v>
          </cell>
          <cell r="C68">
            <v>0.54037060186620078</v>
          </cell>
          <cell r="D68">
            <v>0.51430081857580845</v>
          </cell>
          <cell r="E68">
            <v>0.3275419203320854</v>
          </cell>
          <cell r="F68">
            <v>0.91606730000738101</v>
          </cell>
          <cell r="G68">
            <v>0.98322307122393326</v>
          </cell>
          <cell r="H68">
            <v>0.80985008893074606</v>
          </cell>
          <cell r="I68">
            <v>0.56717178566142912</v>
          </cell>
          <cell r="J68">
            <v>0.84777782221188291</v>
          </cell>
          <cell r="K68">
            <v>0.8</v>
          </cell>
          <cell r="L68">
            <v>0.98700382329725422</v>
          </cell>
          <cell r="M68">
            <v>0.46957192737561176</v>
          </cell>
          <cell r="N68">
            <v>0.86606113087441317</v>
          </cell>
          <cell r="O68">
            <v>0.79365284945968273</v>
          </cell>
          <cell r="P68">
            <v>0.24941748529786834</v>
          </cell>
          <cell r="Q68">
            <v>0.91</v>
          </cell>
          <cell r="R68">
            <v>0.40556621261939335</v>
          </cell>
          <cell r="S68">
            <v>0.77815390025512432</v>
          </cell>
          <cell r="T68">
            <v>0.7257160432726234</v>
          </cell>
        </row>
        <row r="69">
          <cell r="B69" t="str">
            <v>HtPmpHt%TYP</v>
          </cell>
          <cell r="C69">
            <v>0.25019659511212627</v>
          </cell>
          <cell r="D69">
            <v>0.26438753033308959</v>
          </cell>
          <cell r="E69">
            <v>0.36604865261376096</v>
          </cell>
          <cell r="F69">
            <v>3.0936818226183656E-2</v>
          </cell>
          <cell r="G69">
            <v>6.1838210373840949E-3</v>
          </cell>
          <cell r="H69">
            <v>7.0087501474297986E-2</v>
          </cell>
          <cell r="I69">
            <v>0.15953648329356207</v>
          </cell>
          <cell r="J69">
            <v>9.3852833881965178E-2</v>
          </cell>
          <cell r="K69">
            <v>0.1</v>
          </cell>
          <cell r="L69">
            <v>6.6032630011973147E-3</v>
          </cell>
          <cell r="M69">
            <v>6.234756715808213E-2</v>
          </cell>
          <cell r="N69">
            <v>1.5743440192688529E-2</v>
          </cell>
          <cell r="O69">
            <v>0.17629659459846331</v>
          </cell>
          <cell r="P69">
            <v>0.30379066782410608</v>
          </cell>
          <cell r="Q69">
            <v>0.01</v>
          </cell>
          <cell r="R69">
            <v>0.25457687604589124</v>
          </cell>
          <cell r="S69">
            <v>0.11544418737164447</v>
          </cell>
          <cell r="T69">
            <v>0.104888819250398</v>
          </cell>
        </row>
        <row r="70">
          <cell r="B70" t="str">
            <v>CoolSat%TYP</v>
          </cell>
          <cell r="C70">
            <v>0.76889412716362515</v>
          </cell>
          <cell r="D70">
            <v>0.9156533727398849</v>
          </cell>
          <cell r="E70">
            <v>0.85579006639653332</v>
          </cell>
          <cell r="F70">
            <v>0.95160006380782447</v>
          </cell>
          <cell r="G70">
            <v>0.98526989662125641</v>
          </cell>
          <cell r="H70">
            <v>0.65234151837252696</v>
          </cell>
          <cell r="I70">
            <v>0.66014461756611731</v>
          </cell>
          <cell r="J70">
            <v>0.69618308739231149</v>
          </cell>
          <cell r="K70">
            <v>0.75</v>
          </cell>
          <cell r="L70">
            <v>0.23</v>
          </cell>
          <cell r="M70">
            <v>0.89440943169321674</v>
          </cell>
          <cell r="N70">
            <v>0.91392039395838554</v>
          </cell>
          <cell r="O70">
            <v>0.9581056413122655</v>
          </cell>
          <cell r="P70">
            <v>0.82644591140120194</v>
          </cell>
          <cell r="Q70">
            <v>0.95</v>
          </cell>
          <cell r="R70">
            <v>0.82648440258098632</v>
          </cell>
          <cell r="S70">
            <v>0.77184416415983825</v>
          </cell>
          <cell r="T70">
            <v>0.71310077098671132</v>
          </cell>
        </row>
        <row r="71">
          <cell r="B71" t="str">
            <v>CoolSat%ACT</v>
          </cell>
          <cell r="C71">
            <v>0.84338963005455969</v>
          </cell>
          <cell r="F71">
            <v>0.74176230846303148</v>
          </cell>
          <cell r="J71">
            <v>0.7142495586900468</v>
          </cell>
          <cell r="L71">
            <v>0.23</v>
          </cell>
          <cell r="M71">
            <v>0.8973671844904727</v>
          </cell>
          <cell r="O71">
            <v>0.96</v>
          </cell>
          <cell r="P71">
            <v>0.88</v>
          </cell>
          <cell r="Q71">
            <v>0.88824220129049314</v>
          </cell>
          <cell r="S71">
            <v>0.77184416415983825</v>
          </cell>
          <cell r="T71">
            <v>0.71310077098671132</v>
          </cell>
        </row>
        <row r="72">
          <cell r="B72" t="str">
            <v>PackRT%TYP</v>
          </cell>
          <cell r="C72">
            <v>0.15</v>
          </cell>
          <cell r="D72">
            <v>0.75000000000000011</v>
          </cell>
          <cell r="E72">
            <v>0.95</v>
          </cell>
          <cell r="F72">
            <v>0.90880480523807783</v>
          </cell>
          <cell r="G72">
            <v>0.72388464763320426</v>
          </cell>
          <cell r="H72">
            <v>0.72388464763320426</v>
          </cell>
          <cell r="I72">
            <v>0.21126457727609282</v>
          </cell>
          <cell r="J72">
            <v>0.38624918003188907</v>
          </cell>
          <cell r="K72">
            <v>0.24174716638708693</v>
          </cell>
          <cell r="L72">
            <v>0.31046750131883327</v>
          </cell>
          <cell r="M72">
            <v>0.90000000000000013</v>
          </cell>
          <cell r="N72">
            <v>0.9</v>
          </cell>
          <cell r="O72">
            <v>0.76718515286285394</v>
          </cell>
          <cell r="P72">
            <v>0.41303161997673743</v>
          </cell>
          <cell r="Q72">
            <v>0.10000000000000002</v>
          </cell>
          <cell r="R72">
            <v>0.68523001119875304</v>
          </cell>
          <cell r="S72">
            <v>0.5</v>
          </cell>
          <cell r="T72">
            <v>0.49999999999999994</v>
          </cell>
        </row>
        <row r="73">
          <cell r="B73" t="str">
            <v>PackRT%ACT</v>
          </cell>
          <cell r="C73">
            <v>0.48584254414953354</v>
          </cell>
          <cell r="F73">
            <v>0.63256057960735712</v>
          </cell>
          <cell r="J73">
            <v>0.33750430289294164</v>
          </cell>
          <cell r="L73">
            <v>0.31046750131883327</v>
          </cell>
          <cell r="M73">
            <v>0.90000000000000013</v>
          </cell>
          <cell r="O73">
            <v>0.76718515286285394</v>
          </cell>
          <cell r="P73">
            <v>0.41303161997673743</v>
          </cell>
          <cell r="Q73">
            <v>0.49902981576861571</v>
          </cell>
          <cell r="S73">
            <v>0.5</v>
          </cell>
          <cell r="T73">
            <v>0.49999999999999994</v>
          </cell>
        </row>
        <row r="74">
          <cell r="B74" t="str">
            <v>BuiltUp%TYP</v>
          </cell>
          <cell r="C74">
            <v>0.72977881629252517</v>
          </cell>
          <cell r="D74">
            <v>0.46635610541382266</v>
          </cell>
          <cell r="E74">
            <v>0.18010901567330029</v>
          </cell>
          <cell r="F74">
            <v>0.2530928144049488</v>
          </cell>
          <cell r="G74">
            <v>0.2530928144049488</v>
          </cell>
          <cell r="H74">
            <v>0.2530928144049488</v>
          </cell>
          <cell r="I74">
            <v>0.2530928144049488</v>
          </cell>
          <cell r="J74">
            <v>0.45489304544728093</v>
          </cell>
          <cell r="K74">
            <v>0.45489304544728093</v>
          </cell>
          <cell r="L74">
            <v>0.68364721407456519</v>
          </cell>
          <cell r="M74">
            <v>0.20656505403266429</v>
          </cell>
          <cell r="N74">
            <v>0.20656505403266429</v>
          </cell>
          <cell r="O74">
            <v>5.8610362131589246E-2</v>
          </cell>
          <cell r="P74">
            <v>0.68482020855141457</v>
          </cell>
          <cell r="Q74">
            <v>0.53</v>
          </cell>
          <cell r="R74">
            <v>0.53</v>
          </cell>
          <cell r="S74">
            <v>0.27379566641599334</v>
          </cell>
          <cell r="T74">
            <v>0.46120223430256424</v>
          </cell>
        </row>
        <row r="75">
          <cell r="B75" t="str">
            <v>BuiltUp%ACT</v>
          </cell>
          <cell r="C75">
            <v>0.54488826616667041</v>
          </cell>
          <cell r="F75">
            <v>0.2530928144049488</v>
          </cell>
          <cell r="J75">
            <v>0.45489304544728093</v>
          </cell>
          <cell r="L75">
            <v>5.6541361272701172E-2</v>
          </cell>
          <cell r="M75">
            <v>8.7372210868686184E-2</v>
          </cell>
          <cell r="O75">
            <v>5.746308592387158E-2</v>
          </cell>
          <cell r="P75">
            <v>0.3949582335084047</v>
          </cell>
          <cell r="Q75">
            <v>0.5613264299674231</v>
          </cell>
          <cell r="S75">
            <v>0.1626109504520151</v>
          </cell>
          <cell r="T75">
            <v>0.43951473469986913</v>
          </cell>
        </row>
        <row r="76">
          <cell r="B76" t="str">
            <v>VAV%TYP</v>
          </cell>
          <cell r="C76">
            <v>0.51262713316969566</v>
          </cell>
          <cell r="D76">
            <v>4.1499660445302379E-2</v>
          </cell>
          <cell r="E76">
            <v>0</v>
          </cell>
          <cell r="F76">
            <v>2.6890823009043455E-2</v>
          </cell>
          <cell r="G76">
            <v>0</v>
          </cell>
          <cell r="H76">
            <v>0</v>
          </cell>
          <cell r="I76">
            <v>0</v>
          </cell>
          <cell r="J76">
            <v>0.10981313781515661</v>
          </cell>
          <cell r="K76">
            <v>0.33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3.1992300477329191E-2</v>
          </cell>
          <cell r="Q76">
            <v>0.33</v>
          </cell>
          <cell r="R76">
            <v>2.5191285207445461E-2</v>
          </cell>
          <cell r="S76">
            <v>0.15375982167586399</v>
          </cell>
          <cell r="T76">
            <v>0.18076091596327465</v>
          </cell>
        </row>
        <row r="77">
          <cell r="B77" t="str">
            <v>VAV%ACT</v>
          </cell>
          <cell r="C77">
            <v>0.35</v>
          </cell>
          <cell r="F77">
            <v>0.01</v>
          </cell>
          <cell r="J77">
            <v>0.11</v>
          </cell>
          <cell r="L77">
            <v>0</v>
          </cell>
          <cell r="M77">
            <v>0</v>
          </cell>
          <cell r="O77">
            <v>0</v>
          </cell>
          <cell r="P77">
            <v>0.04</v>
          </cell>
          <cell r="Q77">
            <v>0.21527670664708273</v>
          </cell>
          <cell r="S77">
            <v>0.17</v>
          </cell>
          <cell r="T77">
            <v>0.2</v>
          </cell>
        </row>
        <row r="78">
          <cell r="B78" t="str">
            <v>LSYieldElecHt&amp;AC</v>
          </cell>
          <cell r="C78">
            <v>0.90457835398799891</v>
          </cell>
          <cell r="D78">
            <v>0.92072187100138758</v>
          </cell>
          <cell r="E78">
            <v>0.69260011261534127</v>
          </cell>
          <cell r="F78">
            <v>0.85080401212348655</v>
          </cell>
          <cell r="G78">
            <v>0.74734858139182614</v>
          </cell>
          <cell r="H78">
            <v>0.68828098220470324</v>
          </cell>
          <cell r="I78">
            <v>0.77581880028359507</v>
          </cell>
          <cell r="J78">
            <v>0.58961830873923127</v>
          </cell>
          <cell r="K78">
            <v>0.6725000000000001</v>
          </cell>
          <cell r="L78">
            <v>0.61</v>
          </cell>
          <cell r="M78">
            <v>0.85155275453545742</v>
          </cell>
          <cell r="N78">
            <v>0.73794885515417397</v>
          </cell>
          <cell r="O78">
            <v>0.4291621128262455</v>
          </cell>
          <cell r="P78">
            <v>0.68264459114012044</v>
          </cell>
          <cell r="Q78">
            <v>0.28950000000000004</v>
          </cell>
          <cell r="R78">
            <v>0.68264844025809879</v>
          </cell>
          <cell r="S78">
            <v>0.90490285805758242</v>
          </cell>
          <cell r="T78">
            <v>0.89844108480853846</v>
          </cell>
        </row>
        <row r="79">
          <cell r="B79" t="str">
            <v>LSYieldHtPmpHt&amp;AC</v>
          </cell>
          <cell r="C79">
            <v>1.02</v>
          </cell>
          <cell r="D79">
            <v>1.02</v>
          </cell>
          <cell r="E79">
            <v>0.95500000000000007</v>
          </cell>
          <cell r="F79">
            <v>1.0249999999999999</v>
          </cell>
          <cell r="G79">
            <v>0.96499999999999986</v>
          </cell>
          <cell r="H79">
            <v>0.92500000000000004</v>
          </cell>
          <cell r="I79">
            <v>0.97499999999999987</v>
          </cell>
          <cell r="J79">
            <v>0.8600000000000001</v>
          </cell>
          <cell r="K79">
            <v>0.95500000000000007</v>
          </cell>
          <cell r="L79">
            <v>0.80499999999999994</v>
          </cell>
          <cell r="M79">
            <v>0.9700000000000002</v>
          </cell>
          <cell r="N79">
            <v>0.94500000000000006</v>
          </cell>
          <cell r="O79">
            <v>0.72500000000000009</v>
          </cell>
          <cell r="P79">
            <v>0.90000000000000013</v>
          </cell>
          <cell r="Q79">
            <v>0.64999999999999991</v>
          </cell>
          <cell r="R79">
            <v>0.90000000000000013</v>
          </cell>
          <cell r="S79">
            <v>1.02</v>
          </cell>
          <cell r="T79">
            <v>1.02</v>
          </cell>
        </row>
        <row r="80">
          <cell r="B80" t="str">
            <v>LSYieldGasHt&amp;AC</v>
          </cell>
          <cell r="C80">
            <v>1.0677783539879988</v>
          </cell>
          <cell r="D80">
            <v>1.0839218710013874</v>
          </cell>
          <cell r="E80">
            <v>1.1187334459486746</v>
          </cell>
          <cell r="F80">
            <v>1.1500040121234862</v>
          </cell>
          <cell r="G80">
            <v>1.1372152480584925</v>
          </cell>
          <cell r="H80">
            <v>1.0418809822047033</v>
          </cell>
          <cell r="I80">
            <v>1.0568854669502619</v>
          </cell>
          <cell r="J80">
            <v>1.0248183087392313</v>
          </cell>
          <cell r="K80">
            <v>1.0986333333333334</v>
          </cell>
          <cell r="L80">
            <v>0.96360000000000012</v>
          </cell>
          <cell r="M80">
            <v>1.051019421202124</v>
          </cell>
          <cell r="N80">
            <v>1.0915488551541741</v>
          </cell>
          <cell r="O80">
            <v>0.96409544615957854</v>
          </cell>
          <cell r="P80">
            <v>1.0453112578067871</v>
          </cell>
          <cell r="Q80">
            <v>0.94230000000000003</v>
          </cell>
          <cell r="R80">
            <v>1.0453151069247655</v>
          </cell>
          <cell r="S80">
            <v>1.0681028580575822</v>
          </cell>
          <cell r="T80">
            <v>1.0616410848085382</v>
          </cell>
        </row>
        <row r="81">
          <cell r="B81" t="str">
            <v>LSYieldElecHt</v>
          </cell>
          <cell r="C81">
            <v>0.82000000000000006</v>
          </cell>
          <cell r="D81">
            <v>0.82000000000000006</v>
          </cell>
          <cell r="E81">
            <v>0.53</v>
          </cell>
          <cell r="F81">
            <v>0.66999999999999993</v>
          </cell>
          <cell r="G81">
            <v>0.57000000000000006</v>
          </cell>
          <cell r="H81">
            <v>0.61</v>
          </cell>
          <cell r="I81">
            <v>0.69</v>
          </cell>
          <cell r="J81">
            <v>0.52</v>
          </cell>
          <cell r="K81">
            <v>0.53</v>
          </cell>
          <cell r="L81">
            <v>0.61</v>
          </cell>
          <cell r="M81">
            <v>0.78</v>
          </cell>
          <cell r="N81">
            <v>0.61</v>
          </cell>
          <cell r="O81">
            <v>0.41000000000000003</v>
          </cell>
          <cell r="P81">
            <v>0.6</v>
          </cell>
          <cell r="Q81">
            <v>0.28000000000000003</v>
          </cell>
          <cell r="R81">
            <v>0.6</v>
          </cell>
          <cell r="S81">
            <v>0.82000000000000006</v>
          </cell>
          <cell r="T81">
            <v>0.82000000000000006</v>
          </cell>
        </row>
        <row r="82">
          <cell r="B82" t="str">
            <v>LSYieldGasHt</v>
          </cell>
          <cell r="C82">
            <v>0.98319999999999996</v>
          </cell>
          <cell r="D82">
            <v>0.98319999999999996</v>
          </cell>
          <cell r="E82">
            <v>0.95613333333333328</v>
          </cell>
          <cell r="F82">
            <v>0.96919999999999995</v>
          </cell>
          <cell r="G82">
            <v>0.95986666666666665</v>
          </cell>
          <cell r="H82">
            <v>0.96360000000000001</v>
          </cell>
          <cell r="I82">
            <v>0.97106666666666663</v>
          </cell>
          <cell r="J82">
            <v>0.95520000000000005</v>
          </cell>
          <cell r="K82">
            <v>0.95613333333333328</v>
          </cell>
          <cell r="L82">
            <v>0.96360000000000001</v>
          </cell>
          <cell r="M82">
            <v>0.97946666666666671</v>
          </cell>
          <cell r="N82">
            <v>0.96360000000000001</v>
          </cell>
          <cell r="O82">
            <v>0.94493333333333329</v>
          </cell>
          <cell r="P82">
            <v>0.96266666666666667</v>
          </cell>
          <cell r="Q82">
            <v>0.93279999999999996</v>
          </cell>
          <cell r="R82">
            <v>0.96266666666666667</v>
          </cell>
          <cell r="S82">
            <v>0.98319999999999996</v>
          </cell>
          <cell r="T82">
            <v>0.98319999999999996</v>
          </cell>
        </row>
        <row r="83">
          <cell r="B83" t="str">
            <v>LSYieldThermsGasHt</v>
          </cell>
          <cell r="C83">
            <v>-8.1887999999999996E-3</v>
          </cell>
          <cell r="D83">
            <v>-8.1887999999999996E-3</v>
          </cell>
          <cell r="E83">
            <v>-2.1381866666666666E-2</v>
          </cell>
          <cell r="F83">
            <v>-1.50128E-2</v>
          </cell>
          <cell r="G83">
            <v>-1.9562133333333332E-2</v>
          </cell>
          <cell r="H83">
            <v>-1.7742399999999998E-2</v>
          </cell>
          <cell r="I83">
            <v>-1.4102933333333333E-2</v>
          </cell>
          <cell r="J83">
            <v>-2.18368E-2</v>
          </cell>
          <cell r="K83">
            <v>-2.1381866666666666E-2</v>
          </cell>
          <cell r="L83">
            <v>-1.7742399999999998E-2</v>
          </cell>
          <cell r="M83">
            <v>-1.0008533333333333E-2</v>
          </cell>
          <cell r="N83">
            <v>-1.7742399999999998E-2</v>
          </cell>
          <cell r="O83">
            <v>-2.6841066666666667E-2</v>
          </cell>
          <cell r="P83">
            <v>-1.8197333333333333E-2</v>
          </cell>
          <cell r="Q83">
            <v>-3.2755199999999998E-2</v>
          </cell>
          <cell r="R83">
            <v>-1.8197333333333333E-2</v>
          </cell>
          <cell r="S83">
            <v>-8.1887999999999996E-3</v>
          </cell>
          <cell r="T83">
            <v>-8.1887999999999996E-3</v>
          </cell>
        </row>
        <row r="84">
          <cell r="B84" t="str">
            <v>LSYieldThermsGasHt&amp;AC</v>
          </cell>
          <cell r="C84">
            <v>-8.1887999999999996E-3</v>
          </cell>
          <cell r="D84">
            <v>-8.1887999999999996E-3</v>
          </cell>
          <cell r="E84">
            <v>-2.1381866666666666E-2</v>
          </cell>
          <cell r="F84">
            <v>-1.50128E-2</v>
          </cell>
          <cell r="G84">
            <v>-1.9562133333333332E-2</v>
          </cell>
          <cell r="H84">
            <v>-1.7742399999999998E-2</v>
          </cell>
          <cell r="I84">
            <v>-1.4102933333333333E-2</v>
          </cell>
          <cell r="J84">
            <v>-2.18368E-2</v>
          </cell>
          <cell r="K84">
            <v>-2.1381866666666666E-2</v>
          </cell>
          <cell r="L84">
            <v>-1.7742399999999998E-2</v>
          </cell>
          <cell r="M84">
            <v>-1.0008533333333333E-2</v>
          </cell>
          <cell r="N84">
            <v>-1.7742399999999998E-2</v>
          </cell>
          <cell r="O84">
            <v>-2.6841066666666667E-2</v>
          </cell>
          <cell r="P84">
            <v>-1.8197333333333333E-2</v>
          </cell>
          <cell r="Q84">
            <v>-3.2755199999999998E-2</v>
          </cell>
          <cell r="R84">
            <v>-1.8197333333333333E-2</v>
          </cell>
          <cell r="S84">
            <v>-8.1887999999999996E-3</v>
          </cell>
          <cell r="T84">
            <v>-8.1887999999999996E-3</v>
          </cell>
        </row>
        <row r="85">
          <cell r="B85" t="str">
            <v>LPDAdjust</v>
          </cell>
          <cell r="C85">
            <v>1</v>
          </cell>
          <cell r="D85">
            <v>1</v>
          </cell>
          <cell r="E85">
            <v>1</v>
          </cell>
          <cell r="F85">
            <v>1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1</v>
          </cell>
        </row>
        <row r="86">
          <cell r="B86" t="str">
            <v>Chiller%TYP</v>
          </cell>
          <cell r="C86">
            <v>0.58498758462529865</v>
          </cell>
          <cell r="D86">
            <v>8.7818054713883376E-2</v>
          </cell>
          <cell r="E86">
            <v>0</v>
          </cell>
          <cell r="F86">
            <v>0.09</v>
          </cell>
          <cell r="G86">
            <v>0</v>
          </cell>
          <cell r="H86">
            <v>0</v>
          </cell>
          <cell r="I86">
            <v>0</v>
          </cell>
          <cell r="J86">
            <v>0.4348146874874485</v>
          </cell>
          <cell r="K86">
            <v>0.56010354277348595</v>
          </cell>
          <cell r="L86">
            <v>0</v>
          </cell>
          <cell r="M86">
            <v>0.15653169058088007</v>
          </cell>
          <cell r="N86">
            <v>0</v>
          </cell>
          <cell r="O86">
            <v>0</v>
          </cell>
          <cell r="P86">
            <v>0.15653169058088007</v>
          </cell>
          <cell r="Q86">
            <v>0.40098917705864051</v>
          </cell>
          <cell r="R86">
            <v>6.7888585236503013E-2</v>
          </cell>
          <cell r="S86">
            <v>0.17470421367705091</v>
          </cell>
          <cell r="T86">
            <v>0.1656240064846628</v>
          </cell>
        </row>
        <row r="87">
          <cell r="B87" t="str">
            <v>HOURSLght</v>
          </cell>
          <cell r="C87">
            <v>3300</v>
          </cell>
          <cell r="D87">
            <v>2800</v>
          </cell>
          <cell r="E87">
            <v>2600</v>
          </cell>
          <cell r="F87">
            <v>6200</v>
          </cell>
          <cell r="G87">
            <v>3800</v>
          </cell>
          <cell r="H87">
            <v>3800</v>
          </cell>
          <cell r="I87">
            <v>2800</v>
          </cell>
          <cell r="J87">
            <v>2700</v>
          </cell>
          <cell r="K87">
            <v>3600</v>
          </cell>
          <cell r="L87">
            <v>2700</v>
          </cell>
          <cell r="M87">
            <v>7300</v>
          </cell>
          <cell r="N87">
            <v>6800</v>
          </cell>
          <cell r="O87">
            <v>5400</v>
          </cell>
          <cell r="P87">
            <v>3000</v>
          </cell>
          <cell r="Q87">
            <v>6400</v>
          </cell>
          <cell r="R87">
            <v>5700</v>
          </cell>
          <cell r="S87">
            <v>3000</v>
          </cell>
          <cell r="T87">
            <v>4100</v>
          </cell>
        </row>
        <row r="88">
          <cell r="B88" t="str">
            <v>UnCondArea%TYP</v>
          </cell>
          <cell r="C88">
            <v>9.7915019519809049E-2</v>
          </cell>
          <cell r="D88">
            <v>2.2419448966079808E-2</v>
          </cell>
          <cell r="E88">
            <v>7.0265950135785918E-2</v>
          </cell>
          <cell r="F88">
            <v>1.9928358103564997E-2</v>
          </cell>
          <cell r="G88">
            <v>0.96021448828880007</v>
          </cell>
          <cell r="H88">
            <v>1.682861062838684E-2</v>
          </cell>
          <cell r="I88">
            <v>0.24046941503104796</v>
          </cell>
          <cell r="J88">
            <v>9.3965911445071555E-3</v>
          </cell>
          <cell r="K88">
            <v>9.3350590462247668E-2</v>
          </cell>
          <cell r="L88">
            <v>0.23147891652780339</v>
          </cell>
          <cell r="M88">
            <v>3.4175742327895269E-2</v>
          </cell>
          <cell r="N88">
            <v>5.7197564623818434E-2</v>
          </cell>
          <cell r="O88">
            <v>0.11219535867382037</v>
          </cell>
          <cell r="P88">
            <v>4.431584636138023E-2</v>
          </cell>
          <cell r="Q88">
            <v>7.2657454104040925E-2</v>
          </cell>
          <cell r="R88">
            <v>3.2474970371947381E-2</v>
          </cell>
          <cell r="S88">
            <v>8.1305475226007548E-2</v>
          </cell>
          <cell r="T88">
            <v>0.1783274256014224</v>
          </cell>
        </row>
        <row r="89">
          <cell r="B89" t="str">
            <v>RTEcono%TYP</v>
          </cell>
          <cell r="C89">
            <v>0.76153165389450173</v>
          </cell>
          <cell r="D89">
            <v>0.30073914524177386</v>
          </cell>
          <cell r="E89">
            <v>1.1359292164334371</v>
          </cell>
          <cell r="F89">
            <v>0.6263769264185407</v>
          </cell>
          <cell r="G89">
            <v>5.9822174868305114</v>
          </cell>
          <cell r="H89">
            <v>0.14273935163045462</v>
          </cell>
          <cell r="I89">
            <v>1.788329150005399</v>
          </cell>
          <cell r="J89">
            <v>0.87933859533450087</v>
          </cell>
          <cell r="K89">
            <v>0.87302047036538133</v>
          </cell>
          <cell r="L89">
            <v>0.54576541658209587</v>
          </cell>
          <cell r="M89">
            <v>0.76125181103107264</v>
          </cell>
          <cell r="N89">
            <v>1.2711829434238073</v>
          </cell>
          <cell r="O89">
            <v>0.77847937636462106</v>
          </cell>
          <cell r="P89">
            <v>0.79264014660550641</v>
          </cell>
          <cell r="Q89">
            <v>0.56873556010588189</v>
          </cell>
          <cell r="R89">
            <v>0.97419410677203033</v>
          </cell>
          <cell r="S89">
            <v>0.34099838347588574</v>
          </cell>
          <cell r="T89">
            <v>0.74814105584849844</v>
          </cell>
        </row>
        <row r="90">
          <cell r="B90" t="str">
            <v>DCV%TYP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FloorA%PRE2006</v>
          </cell>
          <cell r="C91">
            <v>1</v>
          </cell>
          <cell r="D91">
            <v>1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</row>
        <row r="92">
          <cell r="B92" t="str">
            <v>ElecHtComplex%TYP</v>
          </cell>
          <cell r="C92">
            <v>0.5032832003318185</v>
          </cell>
          <cell r="D92">
            <v>0.19754737317540033</v>
          </cell>
          <cell r="E92">
            <v>0.86680076087505498</v>
          </cell>
          <cell r="F92">
            <v>0.55985400698948606</v>
          </cell>
          <cell r="G92">
            <v>0.27993945466265791</v>
          </cell>
          <cell r="H92">
            <v>6.3780434281586118E-3</v>
          </cell>
          <cell r="I92">
            <v>7.5948256913972667E-2</v>
          </cell>
          <cell r="J92">
            <v>5.7319205981493631E-3</v>
          </cell>
          <cell r="K92">
            <v>0.1674709592892723</v>
          </cell>
          <cell r="L92">
            <v>0.2825536194003897</v>
          </cell>
          <cell r="M92">
            <v>4.5624616007740176E-2</v>
          </cell>
          <cell r="N92">
            <v>7.6358748772797594E-2</v>
          </cell>
          <cell r="O92">
            <v>4.608640117832314E-2</v>
          </cell>
          <cell r="P92">
            <v>6.824640339652556E-3</v>
          </cell>
          <cell r="Q92">
            <v>4.9104329398647659E-2</v>
          </cell>
          <cell r="R92">
            <v>0.38331290029021892</v>
          </cell>
          <cell r="S92">
            <v>2.7101825075335855E-2</v>
          </cell>
          <cell r="T92">
            <v>0.37020773554855302</v>
          </cell>
        </row>
        <row r="93">
          <cell r="B93" t="str">
            <v>GasHtComplex%TYP</v>
          </cell>
          <cell r="C93">
            <v>0.20660069118679708</v>
          </cell>
          <cell r="D93">
            <v>8.1094349688734371E-2</v>
          </cell>
          <cell r="E93">
            <v>0.35582677148761982</v>
          </cell>
          <cell r="F93">
            <v>0.1044245964626806</v>
          </cell>
          <cell r="G93">
            <v>2.3584345085431835</v>
          </cell>
          <cell r="H93">
            <v>5.3733753736439169E-2</v>
          </cell>
          <cell r="I93">
            <v>0.63984903516178027</v>
          </cell>
          <cell r="J93">
            <v>0.78301794007178116</v>
          </cell>
          <cell r="K93">
            <v>0.76612829592366649</v>
          </cell>
          <cell r="L93">
            <v>0.46415256294736318</v>
          </cell>
          <cell r="M93">
            <v>0.80876894218964157</v>
          </cell>
          <cell r="N93">
            <v>1.3535803668226631</v>
          </cell>
          <cell r="O93">
            <v>0.81695481938952597</v>
          </cell>
          <cell r="P93">
            <v>0.50395980482161595</v>
          </cell>
          <cell r="Q93">
            <v>0.55637445480169345</v>
          </cell>
          <cell r="R93">
            <v>0.62059668380791444</v>
          </cell>
          <cell r="S93">
            <v>0.29812007582869443</v>
          </cell>
          <cell r="T93">
            <v>0.80164122055359432</v>
          </cell>
        </row>
        <row r="94">
          <cell r="B94" t="str">
            <v>HtPmpHtComplex%TYP</v>
          </cell>
          <cell r="C94">
            <v>0.10615620032939298</v>
          </cell>
          <cell r="D94">
            <v>4.1668147292671175E-2</v>
          </cell>
          <cell r="E94">
            <v>0.18283200225331492</v>
          </cell>
          <cell r="F94">
            <v>0</v>
          </cell>
          <cell r="G94">
            <v>4.7478913313233901</v>
          </cell>
          <cell r="H94">
            <v>0.10817430911927059</v>
          </cell>
          <cell r="I94">
            <v>1.2881144998496472</v>
          </cell>
          <cell r="J94">
            <v>0.15081528786933984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0.37562111375905877</v>
          </cell>
          <cell r="Q94">
            <v>0</v>
          </cell>
          <cell r="R94">
            <v>7.8697678201352483E-2</v>
          </cell>
          <cell r="S94">
            <v>0.21681460060268684</v>
          </cell>
          <cell r="T94">
            <v>1.6881662956934655E-2</v>
          </cell>
        </row>
        <row r="95">
          <cell r="B95" t="str">
            <v>ElecHtSimple%TYP</v>
          </cell>
          <cell r="C95">
            <v>4.0797924799920442E-2</v>
          </cell>
          <cell r="D95">
            <v>7.6712861227859655E-2</v>
          </cell>
          <cell r="E95">
            <v>0.34629799136803036</v>
          </cell>
          <cell r="F95">
            <v>9.4309392161736581E-3</v>
          </cell>
          <cell r="G95">
            <v>0.69059559002041793</v>
          </cell>
          <cell r="H95">
            <v>1.5734290365582385E-2</v>
          </cell>
          <cell r="I95">
            <v>2.5440517986723227E-2</v>
          </cell>
          <cell r="J95">
            <v>0.22063592478811844</v>
          </cell>
          <cell r="K95">
            <v>0.18449615182326545</v>
          </cell>
          <cell r="L95">
            <v>8.5433934010164969E-2</v>
          </cell>
          <cell r="M95">
            <v>0.16530992978116466</v>
          </cell>
          <cell r="N95">
            <v>0.25453305525840347</v>
          </cell>
          <cell r="O95">
            <v>0.12256320691297852</v>
          </cell>
          <cell r="P95">
            <v>0.1701802809460462</v>
          </cell>
          <cell r="Q95">
            <v>7.6529644813639303E-2</v>
          </cell>
          <cell r="R95">
            <v>8.48023297102318E-2</v>
          </cell>
          <cell r="S95">
            <v>5.420365015067171E-2</v>
          </cell>
          <cell r="T95">
            <v>0.20159565917150249</v>
          </cell>
        </row>
        <row r="96">
          <cell r="B96" t="str">
            <v>GasHtSimple%TYP</v>
          </cell>
          <cell r="C96">
            <v>0.59645431773702551</v>
          </cell>
          <cell r="D96">
            <v>0.1751178154419134</v>
          </cell>
          <cell r="E96">
            <v>0.75286988633676921</v>
          </cell>
          <cell r="F96">
            <v>0.64860578911648015</v>
          </cell>
          <cell r="G96">
            <v>5.6577342666812855</v>
          </cell>
          <cell r="H96">
            <v>0.12890385494734588</v>
          </cell>
          <cell r="I96">
            <v>1.9096725785396154</v>
          </cell>
          <cell r="J96">
            <v>0.52936088218329336</v>
          </cell>
          <cell r="K96">
            <v>0.62505513690134207</v>
          </cell>
          <cell r="L96">
            <v>0.58469762342365594</v>
          </cell>
          <cell r="M96">
            <v>0.61036689721002213</v>
          </cell>
          <cell r="N96">
            <v>1.0544939191728511</v>
          </cell>
          <cell r="O96">
            <v>0.61909451647609204</v>
          </cell>
          <cell r="P96">
            <v>0.45909862320270312</v>
          </cell>
          <cell r="Q96">
            <v>0.45317337392380236</v>
          </cell>
          <cell r="R96">
            <v>0.90611735760696566</v>
          </cell>
          <cell r="S96">
            <v>0.43362920120537368</v>
          </cell>
          <cell r="T96">
            <v>0.74796368935357349</v>
          </cell>
        </row>
        <row r="97">
          <cell r="B97" t="str">
            <v>HtPmpHtSimple%TYP</v>
          </cell>
          <cell r="C97">
            <v>0.17870625346146285</v>
          </cell>
          <cell r="D97">
            <v>6.8447165702795604E-2</v>
          </cell>
          <cell r="E97">
            <v>0.30615112501091846</v>
          </cell>
          <cell r="F97">
            <v>5.1813731069269E-3</v>
          </cell>
          <cell r="G97">
            <v>1.0540200575293213</v>
          </cell>
          <cell r="H97">
            <v>2.4014427366708016E-2</v>
          </cell>
          <cell r="I97">
            <v>6.8798695399061222E-2</v>
          </cell>
          <cell r="J97">
            <v>0.18966230747930371</v>
          </cell>
          <cell r="K97">
            <v>0.12395461589786912</v>
          </cell>
          <cell r="L97">
            <v>7.657462491393198E-2</v>
          </cell>
          <cell r="M97">
            <v>7.8716731206195087E-2</v>
          </cell>
          <cell r="N97">
            <v>0.131827238222366</v>
          </cell>
          <cell r="O97">
            <v>0.12138349717877855</v>
          </cell>
          <cell r="P97">
            <v>0.25705457832201301</v>
          </cell>
          <cell r="Q97">
            <v>7.5760149152072437E-2</v>
          </cell>
          <cell r="R97">
            <v>9.1579325081048712E-2</v>
          </cell>
          <cell r="S97">
            <v>5.420365015067171E-2</v>
          </cell>
          <cell r="T97">
            <v>0.23925913126345466</v>
          </cell>
        </row>
        <row r="98">
          <cell r="B98" t="str">
            <v>ChillerAir%TYP</v>
          </cell>
          <cell r="C98">
            <v>0.5</v>
          </cell>
          <cell r="D98">
            <v>0.8</v>
          </cell>
          <cell r="E98">
            <v>0.8</v>
          </cell>
          <cell r="F98">
            <v>0.8</v>
          </cell>
          <cell r="G98">
            <v>0.8</v>
          </cell>
          <cell r="H98">
            <v>0.8</v>
          </cell>
          <cell r="I98">
            <v>0.8</v>
          </cell>
          <cell r="J98">
            <v>0.8</v>
          </cell>
          <cell r="K98">
            <v>0.8</v>
          </cell>
          <cell r="L98">
            <v>0.9</v>
          </cell>
          <cell r="M98">
            <v>1</v>
          </cell>
          <cell r="N98">
            <v>1</v>
          </cell>
          <cell r="O98">
            <v>1</v>
          </cell>
          <cell r="P98">
            <v>0.2</v>
          </cell>
          <cell r="Q98">
            <v>0.2</v>
          </cell>
          <cell r="R98">
            <v>0.6</v>
          </cell>
          <cell r="S98">
            <v>0.6</v>
          </cell>
          <cell r="T98">
            <v>0.2</v>
          </cell>
        </row>
        <row r="99">
          <cell r="B99" t="str">
            <v>ChillerWater%TYP</v>
          </cell>
          <cell r="C99">
            <v>0.5</v>
          </cell>
          <cell r="D99">
            <v>0.2</v>
          </cell>
          <cell r="E99">
            <v>0.2</v>
          </cell>
          <cell r="F99">
            <v>0.2</v>
          </cell>
          <cell r="G99">
            <v>0.2</v>
          </cell>
          <cell r="H99">
            <v>0.2</v>
          </cell>
          <cell r="I99">
            <v>0.2</v>
          </cell>
          <cell r="J99">
            <v>0.2</v>
          </cell>
          <cell r="K99">
            <v>0.2</v>
          </cell>
          <cell r="L99">
            <v>0.1</v>
          </cell>
          <cell r="M99">
            <v>0</v>
          </cell>
          <cell r="N99">
            <v>0</v>
          </cell>
          <cell r="O99">
            <v>0</v>
          </cell>
          <cell r="P99">
            <v>0.8</v>
          </cell>
          <cell r="Q99">
            <v>0.8</v>
          </cell>
          <cell r="R99">
            <v>0.4</v>
          </cell>
          <cell r="S99">
            <v>0.4</v>
          </cell>
          <cell r="T99">
            <v>0.8</v>
          </cell>
        </row>
        <row r="100">
          <cell r="B100" t="str">
            <v>WinFloorRatio%TYP</v>
          </cell>
          <cell r="C100">
            <v>0.11113127858742104</v>
          </cell>
          <cell r="D100">
            <v>4.3960578486503234E-2</v>
          </cell>
          <cell r="E100">
            <v>0.1917271954866456</v>
          </cell>
          <cell r="F100">
            <v>1.3285572069043333E-2</v>
          </cell>
          <cell r="G100">
            <v>1.1818024471246773</v>
          </cell>
          <cell r="H100">
            <v>2.6925777005418945E-2</v>
          </cell>
          <cell r="I100">
            <v>8.015647167701602E-2</v>
          </cell>
          <cell r="J100">
            <v>6.5776138011550078E-2</v>
          </cell>
          <cell r="K100">
            <v>0.11202070855469719</v>
          </cell>
          <cell r="L100">
            <v>2.2401185470432586E-2</v>
          </cell>
          <cell r="M100">
            <v>3.4175742327895269E-2</v>
          </cell>
          <cell r="N100">
            <v>0.21449086733931913</v>
          </cell>
          <cell r="O100">
            <v>0.15534741970221283</v>
          </cell>
          <cell r="P100">
            <v>9.7494861995036486E-2</v>
          </cell>
          <cell r="Q100">
            <v>6.6602666262037521E-2</v>
          </cell>
          <cell r="R100">
            <v>0.12989988148778953</v>
          </cell>
          <cell r="S100">
            <v>4.3362920120537364E-2</v>
          </cell>
          <cell r="T100">
            <v>0.11888495040094829</v>
          </cell>
        </row>
      </sheetData>
      <sheetData sheetId="12"/>
      <sheetData sheetId="13"/>
      <sheetData sheetId="14"/>
      <sheetData sheetId="15">
        <row r="4">
          <cell r="C4" t="str">
            <v>PRE2002</v>
          </cell>
        </row>
        <row r="11">
          <cell r="C11" t="str">
            <v>POST2013</v>
          </cell>
          <cell r="D11" t="str">
            <v>Com_Master_7P.xlsm!POST2013</v>
          </cell>
        </row>
      </sheetData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OG"/>
      <sheetName val="SC-New"/>
      <sheetName val="SC-NR"/>
      <sheetName val="SC-Retro"/>
      <sheetName val="Levelized Cost Summary_No O&amp;M"/>
      <sheetName val="Levelized Cost Summary_with O&amp;M"/>
      <sheetName val="Model Input Summary"/>
      <sheetName val="M_Input(Fixture wo OM)_Out"/>
      <sheetName val="M_Input(Fixture wo OM)"/>
      <sheetName val="M_Input(Fixture)_Out"/>
      <sheetName val="M_Input(Fixture)"/>
      <sheetName val="Proxy Measures"/>
      <sheetName val="Master Generic Spec Lookup Tbl"/>
      <sheetName val="Lists&amp;Tables"/>
      <sheetName val="DOE Conventional Tech Specs"/>
      <sheetName val="LED Lumen Maintenance"/>
      <sheetName val="Recessed Cans"/>
      <sheetName val="LED Display Track Fixtures"/>
      <sheetName val="TLEDs"/>
      <sheetName val="LED GS A-Lamps"/>
      <sheetName val="LED High Bay"/>
      <sheetName val="Ceramic Metal Halide - Display"/>
      <sheetName val="HP T8 Fixture or Kit"/>
      <sheetName val="LED Fixture or Kit"/>
      <sheetName val="LED PARs"/>
      <sheetName val="T5 HO Fixtures"/>
      <sheetName val="Energy Star Lamps"/>
      <sheetName val="EnergyStar-LED Disp Track Lamps"/>
      <sheetName val="M_Input(per KSF)_Out"/>
      <sheetName val="M_Input(per KSF)"/>
      <sheetName val="Fixt vs KSF Levelized Cost Chk"/>
      <sheetName val="WeightedAvgBuilding Check"/>
      <sheetName val="DOE2014 Sales P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B3" t="str">
            <v>New</v>
          </cell>
          <cell r="J3" t="str">
            <v>FIX_REPL</v>
          </cell>
        </row>
        <row r="4">
          <cell r="B4" t="str">
            <v>NR</v>
          </cell>
          <cell r="J4" t="str">
            <v>LAMP_REPL</v>
          </cell>
        </row>
        <row r="5">
          <cell r="B5" t="str">
            <v>Retro</v>
          </cell>
        </row>
      </sheetData>
      <sheetData sheetId="14"/>
      <sheetData sheetId="15"/>
      <sheetData sheetId="16">
        <row r="21">
          <cell r="AC21">
            <v>1.0296281141544221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del Flow Diagram"/>
      <sheetName val="Model Flow Description"/>
      <sheetName val="User_Inputs"/>
      <sheetName val="List_Inputs"/>
      <sheetName val="Misc_Inputs"/>
      <sheetName val="Tech_Specs"/>
      <sheetName val="Perform_SSL"/>
      <sheetName val="Perform_Sectors"/>
      <sheetName val="Perform_Active"/>
      <sheetName val="Perform_Proj"/>
      <sheetName val="Electricity_Prices"/>
      <sheetName val="Floor_Growth"/>
      <sheetName val="Standards_Sectors"/>
      <sheetName val="Standards_Active"/>
      <sheetName val="Standards_Acceptance"/>
      <sheetName val="Lamp_Repl_Rate"/>
      <sheetName val="Sys_Repl_Rate"/>
      <sheetName val="Costs"/>
      <sheetName val="Tech_Diff"/>
      <sheetName val="Logit"/>
      <sheetName val="Sales_Calibration"/>
      <sheetName val="Lamp_Mkt_Repl"/>
      <sheetName val="System_Mkt_Repl"/>
      <sheetName val="System_Mkt_NC"/>
      <sheetName val="System_Total_Mkt"/>
      <sheetName val="Test_Plots"/>
      <sheetName val="Results"/>
      <sheetName val="Results_Com"/>
      <sheetName val="Results_Ind"/>
      <sheetName val="Results_Out"/>
      <sheetName val="Results_Res"/>
      <sheetName val="Results_Total"/>
      <sheetName val="Plot_Data"/>
      <sheetName val="Plot_Energy"/>
      <sheetName val="Plot_Sales"/>
      <sheetName val="Plot_Density"/>
      <sheetName val="Plot_Stock"/>
      <sheetName val="Savings_Data"/>
      <sheetName val="Sales Data"/>
      <sheetName val="Average Efficacy Data"/>
      <sheetName val="Cumul_Savings_Total"/>
      <sheetName val="First_Yr_Savings_Total"/>
      <sheetName val="Plot_Savings"/>
      <sheetName val="Case_Comparison"/>
      <sheetName val="By Standard"/>
      <sheetName val="Testing"/>
      <sheetName val="Test1"/>
      <sheetName val="Test2"/>
      <sheetName val="Test3"/>
      <sheetName val="Test4"/>
      <sheetName val="Test7"/>
      <sheetName val="Test8"/>
      <sheetName val="Test9"/>
      <sheetName val="Test10"/>
      <sheetName val="Test1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69">
          <cell r="AF269">
            <v>8.5744866621840887E-2</v>
          </cell>
          <cell r="AH269">
            <v>1.537406037826583E-2</v>
          </cell>
        </row>
        <row r="273">
          <cell r="AF273">
            <v>0.18325868895614128</v>
          </cell>
          <cell r="AH273">
            <v>4.4848979342030248E-2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4" sqref="G24"/>
    </sheetView>
  </sheetViews>
  <sheetFormatPr defaultRowHeight="12.7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A1:Z139"/>
  <sheetViews>
    <sheetView workbookViewId="0">
      <selection activeCell="P18" sqref="P18"/>
    </sheetView>
  </sheetViews>
  <sheetFormatPr defaultRowHeight="12.75"/>
  <cols>
    <col min="1" max="1" width="18.42578125" customWidth="1"/>
    <col min="2" max="2" width="24.85546875" customWidth="1"/>
    <col min="3" max="3" width="14.85546875" customWidth="1"/>
    <col min="4" max="6" width="10.28515625" bestFit="1" customWidth="1"/>
    <col min="7" max="7" width="10.28515625" customWidth="1"/>
    <col min="8" max="8" width="11.5703125" customWidth="1"/>
    <col min="9" max="9" width="10.85546875" customWidth="1"/>
    <col min="10" max="10" width="10.28515625" bestFit="1" customWidth="1"/>
    <col min="11" max="11" width="11.5703125" customWidth="1"/>
    <col min="12" max="13" width="10.28515625" bestFit="1" customWidth="1"/>
    <col min="15" max="15" width="26.5703125" customWidth="1"/>
    <col min="16" max="26" width="12" customWidth="1"/>
  </cols>
  <sheetData>
    <row r="1" spans="1:13">
      <c r="A1" s="323" t="s">
        <v>420</v>
      </c>
    </row>
    <row r="3" spans="1:13">
      <c r="B3" t="s">
        <v>625</v>
      </c>
    </row>
    <row r="5" spans="1:13">
      <c r="B5" s="52" t="s">
        <v>57</v>
      </c>
      <c r="C5" s="55" t="s">
        <v>58</v>
      </c>
      <c r="D5" s="55"/>
      <c r="E5" s="55"/>
      <c r="F5" s="55"/>
      <c r="G5" s="55"/>
      <c r="H5" s="55"/>
      <c r="I5" s="55"/>
      <c r="J5" s="55"/>
      <c r="K5" s="55"/>
      <c r="L5" s="55"/>
      <c r="M5" s="55"/>
    </row>
    <row r="6" spans="1:13" ht="25.5">
      <c r="B6" s="52" t="s">
        <v>59</v>
      </c>
      <c r="C6" s="55" t="s">
        <v>8</v>
      </c>
      <c r="D6" s="55" t="s">
        <v>31</v>
      </c>
      <c r="E6" s="55" t="s">
        <v>30</v>
      </c>
      <c r="F6" s="55" t="s">
        <v>29</v>
      </c>
      <c r="G6" s="55" t="s">
        <v>16</v>
      </c>
      <c r="H6" s="55" t="s">
        <v>28</v>
      </c>
      <c r="I6" s="55" t="s">
        <v>60</v>
      </c>
      <c r="J6" s="55" t="s">
        <v>13</v>
      </c>
      <c r="K6" s="55" t="s">
        <v>61</v>
      </c>
      <c r="L6" s="55" t="s">
        <v>10</v>
      </c>
      <c r="M6" s="55" t="s">
        <v>9</v>
      </c>
    </row>
    <row r="7" spans="1:13">
      <c r="B7" s="50" t="s">
        <v>64</v>
      </c>
      <c r="C7" s="53">
        <v>0.61078098283931126</v>
      </c>
      <c r="D7" s="53">
        <v>0.73585241591376105</v>
      </c>
      <c r="E7" s="53">
        <v>0.70599463744859836</v>
      </c>
      <c r="F7" s="53">
        <v>0.78544431896705402</v>
      </c>
      <c r="G7" s="53">
        <v>0.57456520165824987</v>
      </c>
      <c r="H7" s="53">
        <v>0.80717034414432309</v>
      </c>
      <c r="I7" s="53">
        <v>0.229544820867918</v>
      </c>
      <c r="J7" s="53">
        <v>0.17286092953954665</v>
      </c>
      <c r="K7" s="53">
        <v>0.24178144694371556</v>
      </c>
      <c r="L7" s="53">
        <v>0.43899231542975387</v>
      </c>
      <c r="M7" s="53">
        <v>0.6093564516046508</v>
      </c>
    </row>
    <row r="8" spans="1:13">
      <c r="B8" s="50" t="s">
        <v>63</v>
      </c>
      <c r="C8" s="53">
        <v>0.11145293607658387</v>
      </c>
      <c r="D8" s="53">
        <v>0.10314951888671253</v>
      </c>
      <c r="E8" s="53">
        <v>0.10806661443789674</v>
      </c>
      <c r="F8" s="53">
        <v>7.1773977669980643E-2</v>
      </c>
      <c r="G8" s="53">
        <v>0.21348364188821917</v>
      </c>
      <c r="H8" s="53">
        <v>3.7580850389911657E-2</v>
      </c>
      <c r="I8" s="53">
        <v>0.18227328505050794</v>
      </c>
      <c r="J8" s="53">
        <v>2.4627534375117149E-2</v>
      </c>
      <c r="K8" s="53">
        <v>0.16972500987643571</v>
      </c>
      <c r="L8" s="53">
        <v>0.12562255481327353</v>
      </c>
      <c r="M8" s="53">
        <v>8.6979821526434895E-2</v>
      </c>
    </row>
    <row r="9" spans="1:13">
      <c r="B9" s="50" t="s">
        <v>41</v>
      </c>
      <c r="C9" s="53">
        <v>9.1720733600969703E-2</v>
      </c>
      <c r="D9" s="53">
        <v>7.9597801393312059E-2</v>
      </c>
      <c r="E9" s="53">
        <v>4.0110366332379258E-2</v>
      </c>
      <c r="F9" s="53">
        <v>7.8939104036363839E-2</v>
      </c>
      <c r="G9" s="53">
        <v>3.1479332060397894E-2</v>
      </c>
      <c r="H9" s="53">
        <v>1.1596864387795478E-2</v>
      </c>
      <c r="I9" s="53">
        <v>0.12091926559663711</v>
      </c>
      <c r="J9" s="53">
        <v>0.35515898199258267</v>
      </c>
      <c r="K9" s="53">
        <v>0.18733973146458666</v>
      </c>
      <c r="L9" s="53">
        <v>0.1039884575014442</v>
      </c>
      <c r="M9" s="53">
        <v>0.13201407940795537</v>
      </c>
    </row>
    <row r="10" spans="1:13">
      <c r="B10" s="50" t="s">
        <v>65</v>
      </c>
      <c r="C10" s="53">
        <v>0.12212557892582268</v>
      </c>
      <c r="D10" s="53">
        <v>5.5255392563742872E-2</v>
      </c>
      <c r="E10" s="53">
        <v>7.8040556126711277E-2</v>
      </c>
      <c r="F10" s="53">
        <v>1.8340192956102706E-2</v>
      </c>
      <c r="G10" s="53">
        <v>7.9543545091230961E-2</v>
      </c>
      <c r="H10" s="53">
        <v>7.1246121852047248E-2</v>
      </c>
      <c r="I10" s="53">
        <v>0.40463806654016204</v>
      </c>
      <c r="J10" s="53">
        <v>0.38736529378791629</v>
      </c>
      <c r="K10" s="53">
        <v>0.38745719901258663</v>
      </c>
      <c r="L10" s="53">
        <v>0.21506767401538934</v>
      </c>
      <c r="M10" s="53">
        <v>8.6937421931488387E-2</v>
      </c>
    </row>
    <row r="11" spans="1:13">
      <c r="B11" s="50" t="s">
        <v>33</v>
      </c>
      <c r="C11" s="53">
        <v>5.4250802864456354E-2</v>
      </c>
      <c r="D11" s="53">
        <v>2.1983071219402486E-2</v>
      </c>
      <c r="E11" s="53">
        <v>5.8534371617216287E-2</v>
      </c>
      <c r="F11" s="53">
        <v>4.2494577274415829E-2</v>
      </c>
      <c r="G11" s="53">
        <v>0.10021470561534893</v>
      </c>
      <c r="H11" s="53">
        <v>5.8300680126632476E-2</v>
      </c>
      <c r="I11" s="53">
        <v>5.1280335128306993E-2</v>
      </c>
      <c r="J11" s="53">
        <v>1.1488982401622518E-2</v>
      </c>
      <c r="K11" s="53">
        <v>9.1991277797579714E-3</v>
      </c>
      <c r="L11" s="53">
        <v>0.10057021717410534</v>
      </c>
      <c r="M11" s="53">
        <v>7.4127042232746743E-2</v>
      </c>
    </row>
    <row r="12" spans="1:13">
      <c r="B12" s="50" t="s">
        <v>66</v>
      </c>
      <c r="C12" s="53">
        <v>6.819959448767259E-3</v>
      </c>
      <c r="D12" s="53">
        <v>3.0326889781191776E-3</v>
      </c>
      <c r="E12" s="53">
        <v>8.6074772723109746E-3</v>
      </c>
      <c r="F12" s="53">
        <v>2.4723616669082189E-3</v>
      </c>
      <c r="G12" s="53">
        <v>1.2586982115966132E-4</v>
      </c>
      <c r="H12" s="53">
        <v>1.1201037885730399E-2</v>
      </c>
      <c r="I12" s="53">
        <v>5.8871806403479462E-3</v>
      </c>
      <c r="J12" s="53">
        <v>2.1133679937102957E-2</v>
      </c>
      <c r="K12" s="53">
        <v>3.3691524442828668E-3</v>
      </c>
      <c r="L12" s="53">
        <v>1.2374463285440796E-2</v>
      </c>
      <c r="M12" s="53">
        <v>7.3973370721000624E-3</v>
      </c>
    </row>
    <row r="13" spans="1:13">
      <c r="B13" s="50" t="s">
        <v>9</v>
      </c>
      <c r="C13" s="53">
        <v>2.8490062440889455E-3</v>
      </c>
      <c r="D13" s="53">
        <v>1.1291110449498736E-3</v>
      </c>
      <c r="E13" s="53">
        <v>6.4597676488709088E-4</v>
      </c>
      <c r="F13" s="53">
        <v>5.3546742917469012E-4</v>
      </c>
      <c r="G13" s="53">
        <v>5.8770386539351853E-4</v>
      </c>
      <c r="H13" s="53">
        <v>2.9041012135596323E-3</v>
      </c>
      <c r="I13" s="53">
        <v>5.4570461761200206E-3</v>
      </c>
      <c r="J13" s="53">
        <v>2.7364597966111744E-2</v>
      </c>
      <c r="K13" s="53">
        <v>1.12833247863467E-3</v>
      </c>
      <c r="L13" s="53">
        <v>3.3843177805928841E-3</v>
      </c>
      <c r="M13" s="53">
        <v>3.1878462246237639E-3</v>
      </c>
    </row>
    <row r="14" spans="1:13">
      <c r="B14" s="50" t="s">
        <v>62</v>
      </c>
      <c r="C14" s="53">
        <v>1</v>
      </c>
      <c r="D14" s="53">
        <v>1</v>
      </c>
      <c r="E14" s="53">
        <v>1</v>
      </c>
      <c r="F14" s="53">
        <v>0.99999999999999989</v>
      </c>
      <c r="G14" s="53">
        <v>1</v>
      </c>
      <c r="H14" s="53">
        <v>1</v>
      </c>
      <c r="I14" s="53">
        <v>1</v>
      </c>
      <c r="J14" s="53">
        <v>1</v>
      </c>
      <c r="K14" s="53">
        <v>1</v>
      </c>
      <c r="L14" s="53">
        <v>1</v>
      </c>
      <c r="M14" s="53">
        <v>1</v>
      </c>
    </row>
    <row r="16" spans="1:13">
      <c r="B16" s="51" t="s">
        <v>121</v>
      </c>
      <c r="C16" s="54" t="s">
        <v>58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</row>
    <row r="17" spans="2:14" ht="25.5">
      <c r="B17" s="51" t="s">
        <v>59</v>
      </c>
      <c r="C17" s="54" t="s">
        <v>8</v>
      </c>
      <c r="D17" s="54" t="s">
        <v>31</v>
      </c>
      <c r="E17" s="54" t="s">
        <v>30</v>
      </c>
      <c r="F17" s="54" t="s">
        <v>29</v>
      </c>
      <c r="G17" s="54" t="s">
        <v>16</v>
      </c>
      <c r="H17" s="54" t="s">
        <v>28</v>
      </c>
      <c r="I17" s="54" t="s">
        <v>60</v>
      </c>
      <c r="J17" s="54" t="s">
        <v>13</v>
      </c>
      <c r="K17" s="54" t="s">
        <v>61</v>
      </c>
      <c r="L17" s="54" t="s">
        <v>10</v>
      </c>
      <c r="M17" s="54" t="s">
        <v>9</v>
      </c>
    </row>
    <row r="18" spans="2:14">
      <c r="B18" t="s">
        <v>122</v>
      </c>
      <c r="C18" s="27">
        <v>1.9405208639566414E-2</v>
      </c>
      <c r="D18" s="27">
        <v>1.9066380128922089E-2</v>
      </c>
      <c r="E18" s="27">
        <v>4.147582812292936E-2</v>
      </c>
      <c r="F18" s="27">
        <v>2.3739952831385342E-3</v>
      </c>
      <c r="G18" s="27">
        <v>0</v>
      </c>
      <c r="H18" s="27">
        <v>8.4176195920752017E-4</v>
      </c>
      <c r="I18" s="27">
        <v>0</v>
      </c>
      <c r="J18" s="27">
        <v>5.5701196406824943E-2</v>
      </c>
      <c r="K18" s="27">
        <v>0</v>
      </c>
      <c r="L18" s="27">
        <v>0</v>
      </c>
      <c r="M18" s="27">
        <v>2.5667868765391087E-2</v>
      </c>
    </row>
    <row r="19" spans="2:14">
      <c r="B19" t="s">
        <v>123</v>
      </c>
      <c r="C19" s="27">
        <v>3.7867390231408359E-2</v>
      </c>
      <c r="D19" s="27">
        <v>3.4200181201218469E-2</v>
      </c>
      <c r="E19" s="27">
        <v>8.882661108996831E-2</v>
      </c>
      <c r="F19" s="27">
        <v>1.9330665492089966E-2</v>
      </c>
      <c r="G19" s="27">
        <v>0</v>
      </c>
      <c r="H19" s="27">
        <v>1.0711548124710731E-2</v>
      </c>
      <c r="I19" s="27">
        <v>3.6595575199933617E-2</v>
      </c>
      <c r="J19" s="27">
        <v>0</v>
      </c>
      <c r="K19" s="27">
        <v>2.7033786817751203E-4</v>
      </c>
      <c r="L19" s="27">
        <v>7.6066326490840377E-3</v>
      </c>
      <c r="M19" s="27">
        <v>1.9430354523914194E-2</v>
      </c>
    </row>
    <row r="20" spans="2:14">
      <c r="B20" t="s">
        <v>124</v>
      </c>
      <c r="C20" s="27">
        <v>1.9495092918416436E-3</v>
      </c>
      <c r="D20" s="27">
        <v>0</v>
      </c>
      <c r="E20" s="27">
        <v>7.6305971123106532E-3</v>
      </c>
      <c r="F20" s="27">
        <v>0</v>
      </c>
      <c r="G20" s="27">
        <v>0</v>
      </c>
      <c r="H20" s="27">
        <v>1.6804401815246374E-3</v>
      </c>
      <c r="I20" s="27">
        <v>0</v>
      </c>
      <c r="J20" s="27">
        <v>0</v>
      </c>
      <c r="K20" s="27">
        <v>0</v>
      </c>
      <c r="L20" s="27">
        <v>0</v>
      </c>
      <c r="M20" s="27">
        <v>0</v>
      </c>
    </row>
    <row r="21" spans="2:14">
      <c r="B21" t="s">
        <v>125</v>
      </c>
      <c r="C21" s="27">
        <v>8.498042282686448E-2</v>
      </c>
      <c r="D21" s="27">
        <v>0.13021517887193815</v>
      </c>
      <c r="E21" s="27">
        <v>6.6948804719386745E-2</v>
      </c>
      <c r="F21" s="27">
        <v>0.1375777865271913</v>
      </c>
      <c r="G21" s="27">
        <v>2.4636849448522645E-2</v>
      </c>
      <c r="H21" s="27">
        <v>1.5744990649155455E-2</v>
      </c>
      <c r="I21" s="27">
        <v>3.6353192400846043E-2</v>
      </c>
      <c r="J21" s="27">
        <v>2.8073405007817777E-2</v>
      </c>
      <c r="K21" s="27">
        <v>3.5517152659756995E-2</v>
      </c>
      <c r="L21" s="27">
        <v>3.6425151717081147E-2</v>
      </c>
      <c r="M21" s="27">
        <v>6.7668146001918492E-2</v>
      </c>
    </row>
    <row r="22" spans="2:14">
      <c r="B22" t="s">
        <v>126</v>
      </c>
      <c r="C22" s="27">
        <v>0.85579746901031906</v>
      </c>
      <c r="D22" s="27">
        <v>0.81651825979792136</v>
      </c>
      <c r="E22" s="27">
        <v>0.79511815895540494</v>
      </c>
      <c r="F22" s="27">
        <v>0.84071755269758031</v>
      </c>
      <c r="G22" s="27">
        <v>0.97536315055147726</v>
      </c>
      <c r="H22" s="27">
        <v>0.9710212590854016</v>
      </c>
      <c r="I22" s="27">
        <v>0.92705123239922027</v>
      </c>
      <c r="J22" s="27">
        <v>0.91622539858535723</v>
      </c>
      <c r="K22" s="27">
        <v>0.96421250947206549</v>
      </c>
      <c r="L22" s="27">
        <v>0.95596821563383483</v>
      </c>
      <c r="M22" s="27">
        <v>0.88723363070877626</v>
      </c>
    </row>
    <row r="23" spans="2:14">
      <c r="B23" t="s">
        <v>62</v>
      </c>
      <c r="C23" s="27">
        <v>1</v>
      </c>
      <c r="D23" s="27">
        <v>1</v>
      </c>
      <c r="E23" s="27">
        <v>1</v>
      </c>
      <c r="F23" s="27">
        <v>1</v>
      </c>
      <c r="G23" s="27">
        <v>0.99999999999999989</v>
      </c>
      <c r="H23" s="27">
        <v>1</v>
      </c>
      <c r="I23" s="27">
        <v>0.99999999999999989</v>
      </c>
      <c r="J23" s="27">
        <v>1</v>
      </c>
      <c r="K23" s="27">
        <v>1</v>
      </c>
      <c r="L23" s="27">
        <v>1</v>
      </c>
      <c r="M23" s="27">
        <v>1</v>
      </c>
    </row>
    <row r="25" spans="2:14">
      <c r="B25" s="54" t="s">
        <v>121</v>
      </c>
      <c r="C25" s="54" t="s">
        <v>58</v>
      </c>
      <c r="D25" s="54"/>
      <c r="E25" s="54"/>
      <c r="F25" s="54"/>
      <c r="G25" s="54"/>
      <c r="H25" s="54"/>
      <c r="I25" s="54"/>
      <c r="J25" s="54"/>
      <c r="K25" s="54"/>
      <c r="L25" s="54"/>
      <c r="M25" s="54"/>
    </row>
    <row r="26" spans="2:14" ht="25.5">
      <c r="B26" s="54" t="s">
        <v>59</v>
      </c>
      <c r="C26" s="54" t="s">
        <v>8</v>
      </c>
      <c r="D26" s="54" t="s">
        <v>31</v>
      </c>
      <c r="E26" s="54" t="s">
        <v>30</v>
      </c>
      <c r="F26" s="54" t="s">
        <v>29</v>
      </c>
      <c r="G26" s="54" t="s">
        <v>16</v>
      </c>
      <c r="H26" s="54" t="s">
        <v>28</v>
      </c>
      <c r="I26" s="54" t="s">
        <v>60</v>
      </c>
      <c r="J26" s="54" t="s">
        <v>13</v>
      </c>
      <c r="K26" s="54" t="s">
        <v>61</v>
      </c>
      <c r="L26" s="54" t="s">
        <v>10</v>
      </c>
      <c r="M26" s="54" t="s">
        <v>9</v>
      </c>
    </row>
    <row r="27" spans="2:14">
      <c r="B27" t="s">
        <v>137</v>
      </c>
      <c r="C27" s="27">
        <v>1.5608135042111844E-2</v>
      </c>
      <c r="D27" s="27">
        <v>2.8622076345193207E-2</v>
      </c>
      <c r="E27" s="27">
        <v>1.1199328692662729E-2</v>
      </c>
      <c r="F27" s="27">
        <v>0</v>
      </c>
      <c r="G27" s="27">
        <v>0</v>
      </c>
      <c r="H27" s="27">
        <v>0</v>
      </c>
      <c r="I27" s="27">
        <v>1.1614044454607385E-2</v>
      </c>
      <c r="J27" s="27">
        <v>7.5568606009218352E-3</v>
      </c>
      <c r="K27" s="27">
        <v>7.5508804874910776E-5</v>
      </c>
      <c r="L27" s="27">
        <v>3.7914328247486258E-2</v>
      </c>
      <c r="M27" s="27">
        <v>6.6597060965728492E-3</v>
      </c>
      <c r="N27" s="27"/>
    </row>
    <row r="28" spans="2:14">
      <c r="B28" t="s">
        <v>138</v>
      </c>
      <c r="C28" s="27">
        <v>0.10108318980453594</v>
      </c>
      <c r="D28" s="27">
        <v>2.7786836712185882E-2</v>
      </c>
      <c r="E28" s="27">
        <v>0.17435792730348398</v>
      </c>
      <c r="F28" s="27">
        <v>4.05460350309527E-2</v>
      </c>
      <c r="G28" s="27">
        <v>2.7318252848669868E-2</v>
      </c>
      <c r="H28" s="27">
        <v>0.3241983471452427</v>
      </c>
      <c r="I28" s="27">
        <v>0.13645617235903687</v>
      </c>
      <c r="J28" s="27">
        <v>0.11426808250416737</v>
      </c>
      <c r="K28" s="27">
        <v>9.5682332802863295E-3</v>
      </c>
      <c r="L28" s="27">
        <v>8.4034891910986911E-2</v>
      </c>
      <c r="M28" s="27">
        <v>0.25507006120325942</v>
      </c>
      <c r="N28" s="27"/>
    </row>
    <row r="29" spans="2:14">
      <c r="B29" t="s">
        <v>139</v>
      </c>
      <c r="C29" s="27">
        <v>0.16010148757171888</v>
      </c>
      <c r="D29" s="27">
        <v>6.5749190381629061E-2</v>
      </c>
      <c r="E29" s="27">
        <v>0.23014491849767219</v>
      </c>
      <c r="F29" s="27">
        <v>0.16062561708647083</v>
      </c>
      <c r="G29" s="27">
        <v>0.12692883921962275</v>
      </c>
      <c r="H29" s="27">
        <v>0.57909160962800799</v>
      </c>
      <c r="I29" s="27">
        <v>0.13665214395323597</v>
      </c>
      <c r="J29" s="27">
        <v>4.2656548441260662E-2</v>
      </c>
      <c r="K29" s="27">
        <v>6.7354179790733049E-2</v>
      </c>
      <c r="L29" s="27">
        <v>0.25127299669996639</v>
      </c>
      <c r="M29" s="27">
        <v>0.26300990242346367</v>
      </c>
      <c r="N29" s="27"/>
    </row>
    <row r="30" spans="2:14">
      <c r="B30" t="s">
        <v>140</v>
      </c>
      <c r="C30" s="27">
        <v>3.9452983625600173E-2</v>
      </c>
      <c r="D30" s="27">
        <v>1.6074150710445632E-2</v>
      </c>
      <c r="E30" s="27">
        <v>5.5478627350381247E-3</v>
      </c>
      <c r="F30" s="27">
        <v>0.1588699600774838</v>
      </c>
      <c r="G30" s="27">
        <v>3.2831913051207555E-3</v>
      </c>
      <c r="H30" s="27">
        <v>0</v>
      </c>
      <c r="I30" s="27">
        <v>9.3745014508141933E-2</v>
      </c>
      <c r="J30" s="27">
        <v>0.10392050084293625</v>
      </c>
      <c r="K30" s="27">
        <v>9.5747223514079712E-3</v>
      </c>
      <c r="L30" s="27">
        <v>2.0612309170931483E-2</v>
      </c>
      <c r="M30" s="27">
        <v>9.4375585131908829E-2</v>
      </c>
      <c r="N30" s="27"/>
    </row>
    <row r="31" spans="2:14">
      <c r="B31" t="s">
        <v>141</v>
      </c>
      <c r="C31" s="27">
        <v>0.5615740232285843</v>
      </c>
      <c r="D31" s="27">
        <v>0.74009133026880114</v>
      </c>
      <c r="E31" s="27">
        <v>0.16983180753327673</v>
      </c>
      <c r="F31" s="27">
        <v>0.56196305412521297</v>
      </c>
      <c r="G31" s="27">
        <v>0.83985561119199947</v>
      </c>
      <c r="H31" s="27">
        <v>8.2122350656338591E-2</v>
      </c>
      <c r="I31" s="27">
        <v>0.53338960099998833</v>
      </c>
      <c r="J31" s="27">
        <v>0.64794856128986866</v>
      </c>
      <c r="K31" s="27">
        <v>0.86357082855845824</v>
      </c>
      <c r="L31" s="27">
        <v>0.55360180920360891</v>
      </c>
      <c r="M31" s="27">
        <v>0.25316982114921066</v>
      </c>
      <c r="N31" s="27"/>
    </row>
    <row r="32" spans="2:14">
      <c r="B32" t="s">
        <v>142</v>
      </c>
      <c r="C32" s="27">
        <v>0.12218018072744885</v>
      </c>
      <c r="D32" s="27">
        <v>0.12167641558174509</v>
      </c>
      <c r="E32" s="27">
        <v>0.40891815523786629</v>
      </c>
      <c r="F32" s="27">
        <v>7.7995333679879777E-2</v>
      </c>
      <c r="G32" s="27">
        <v>2.6141054345871499E-3</v>
      </c>
      <c r="H32" s="27">
        <v>1.4587692570410659E-2</v>
      </c>
      <c r="I32" s="27">
        <v>8.8143023724989583E-2</v>
      </c>
      <c r="J32" s="27">
        <v>8.3649446320845186E-2</v>
      </c>
      <c r="K32" s="27">
        <v>4.9856527214239568E-2</v>
      </c>
      <c r="L32" s="27">
        <v>5.2563664767020048E-2</v>
      </c>
      <c r="M32" s="27">
        <v>0.12771492399558446</v>
      </c>
      <c r="N32" s="27"/>
    </row>
    <row r="33" spans="1:14">
      <c r="B33" t="s">
        <v>62</v>
      </c>
      <c r="C33" s="27">
        <v>1</v>
      </c>
      <c r="D33" s="27">
        <v>1</v>
      </c>
      <c r="E33" s="27">
        <v>1</v>
      </c>
      <c r="F33" s="27">
        <v>1</v>
      </c>
      <c r="G33" s="27">
        <v>1</v>
      </c>
      <c r="H33" s="27">
        <v>0.99999999999999989</v>
      </c>
      <c r="I33" s="27">
        <v>1</v>
      </c>
      <c r="J33" s="27">
        <v>0.99999999999999989</v>
      </c>
      <c r="K33" s="27">
        <v>1</v>
      </c>
      <c r="L33" s="27">
        <v>1</v>
      </c>
      <c r="M33" s="27">
        <v>0.99999999999999989</v>
      </c>
      <c r="N33" s="27"/>
    </row>
    <row r="34" spans="1:14"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</row>
    <row r="35" spans="1:14">
      <c r="B35" t="s">
        <v>135</v>
      </c>
      <c r="C35" s="27">
        <f>SUM(C27,C30)</f>
        <v>5.5061118667712017E-2</v>
      </c>
      <c r="D35" s="27">
        <f t="shared" ref="D35:M35" si="0">SUM(D27,D30)</f>
        <v>4.4696227055638839E-2</v>
      </c>
      <c r="E35" s="27">
        <f t="shared" si="0"/>
        <v>1.6747191427700855E-2</v>
      </c>
      <c r="F35" s="27">
        <f t="shared" si="0"/>
        <v>0.1588699600774838</v>
      </c>
      <c r="G35" s="27">
        <f t="shared" si="0"/>
        <v>3.2831913051207555E-3</v>
      </c>
      <c r="H35" s="27">
        <f t="shared" si="0"/>
        <v>0</v>
      </c>
      <c r="I35" s="27">
        <f t="shared" si="0"/>
        <v>0.10535905896274932</v>
      </c>
      <c r="J35" s="27">
        <f t="shared" si="0"/>
        <v>0.11147736144385809</v>
      </c>
      <c r="K35" s="27">
        <f t="shared" si="0"/>
        <v>9.6502311562828812E-3</v>
      </c>
      <c r="L35" s="27">
        <f t="shared" si="0"/>
        <v>5.8526637418417737E-2</v>
      </c>
      <c r="M35" s="27">
        <f t="shared" si="0"/>
        <v>0.10103529122848168</v>
      </c>
      <c r="N35" s="27"/>
    </row>
    <row r="36" spans="1:14">
      <c r="B36" t="s">
        <v>134</v>
      </c>
      <c r="C36" s="27">
        <f t="shared" ref="C36:M37" si="1">SUM(C28,C31)</f>
        <v>0.6626572130331202</v>
      </c>
      <c r="D36" s="27">
        <f t="shared" si="1"/>
        <v>0.76787816698098699</v>
      </c>
      <c r="E36" s="27">
        <f t="shared" si="1"/>
        <v>0.34418973483676074</v>
      </c>
      <c r="F36" s="27">
        <f t="shared" si="1"/>
        <v>0.60250908915616563</v>
      </c>
      <c r="G36" s="27">
        <f t="shared" si="1"/>
        <v>0.86717386404066932</v>
      </c>
      <c r="H36" s="27">
        <f t="shared" si="1"/>
        <v>0.40632069780158131</v>
      </c>
      <c r="I36" s="27">
        <f t="shared" si="1"/>
        <v>0.66984577335902518</v>
      </c>
      <c r="J36" s="27">
        <f t="shared" si="1"/>
        <v>0.76221664379403609</v>
      </c>
      <c r="K36" s="27">
        <f t="shared" si="1"/>
        <v>0.87313906183874457</v>
      </c>
      <c r="L36" s="27">
        <f t="shared" si="1"/>
        <v>0.63763670111459581</v>
      </c>
      <c r="M36" s="27">
        <f t="shared" si="1"/>
        <v>0.50823988235247008</v>
      </c>
      <c r="N36" s="27"/>
    </row>
    <row r="37" spans="1:14">
      <c r="B37" t="s">
        <v>133</v>
      </c>
      <c r="C37" s="27">
        <f t="shared" si="1"/>
        <v>0.28228166829916773</v>
      </c>
      <c r="D37" s="27">
        <f t="shared" si="1"/>
        <v>0.18742560596337415</v>
      </c>
      <c r="E37" s="27">
        <f t="shared" si="1"/>
        <v>0.6390630737355385</v>
      </c>
      <c r="F37" s="27">
        <f t="shared" si="1"/>
        <v>0.23862095076635059</v>
      </c>
      <c r="G37" s="27">
        <f t="shared" si="1"/>
        <v>0.1295429446542099</v>
      </c>
      <c r="H37" s="27">
        <f t="shared" si="1"/>
        <v>0.59367930219841869</v>
      </c>
      <c r="I37" s="27">
        <f t="shared" si="1"/>
        <v>0.22479516767822555</v>
      </c>
      <c r="J37" s="27">
        <f t="shared" si="1"/>
        <v>0.12630599476210586</v>
      </c>
      <c r="K37" s="27">
        <f t="shared" si="1"/>
        <v>0.11721070700497262</v>
      </c>
      <c r="L37" s="27">
        <f t="shared" si="1"/>
        <v>0.30383666146698646</v>
      </c>
      <c r="M37" s="27">
        <f t="shared" si="1"/>
        <v>0.39072482641904815</v>
      </c>
      <c r="N37" s="27"/>
    </row>
    <row r="39" spans="1:14">
      <c r="B39" t="s">
        <v>143</v>
      </c>
      <c r="C39" s="27">
        <f>SUM(C27:C29)</f>
        <v>0.27679281241836667</v>
      </c>
      <c r="D39" s="27">
        <f t="shared" ref="D39:M39" si="2">SUM(D27:D29)</f>
        <v>0.12215810343900815</v>
      </c>
      <c r="E39" s="27">
        <f t="shared" si="2"/>
        <v>0.41570217449381891</v>
      </c>
      <c r="F39" s="27">
        <f t="shared" si="2"/>
        <v>0.20117165211742352</v>
      </c>
      <c r="G39" s="27">
        <f t="shared" si="2"/>
        <v>0.15424709206829262</v>
      </c>
      <c r="H39" s="27">
        <f t="shared" si="2"/>
        <v>0.90328995677325064</v>
      </c>
      <c r="I39" s="27">
        <f t="shared" si="2"/>
        <v>0.28472236076688023</v>
      </c>
      <c r="J39" s="27">
        <f t="shared" si="2"/>
        <v>0.16448149154634986</v>
      </c>
      <c r="K39" s="27">
        <f t="shared" si="2"/>
        <v>7.6997921875894285E-2</v>
      </c>
      <c r="L39" s="27">
        <f t="shared" si="2"/>
        <v>0.37322221685843959</v>
      </c>
      <c r="M39" s="27">
        <f t="shared" si="2"/>
        <v>0.524739669723296</v>
      </c>
    </row>
    <row r="40" spans="1:14">
      <c r="B40" t="s">
        <v>144</v>
      </c>
      <c r="C40" s="27">
        <f>SUM(C30:C32)</f>
        <v>0.72320718758163327</v>
      </c>
      <c r="D40" s="27">
        <f t="shared" ref="D40:M40" si="3">SUM(D30:D32)</f>
        <v>0.87784189656099187</v>
      </c>
      <c r="E40" s="27">
        <f t="shared" si="3"/>
        <v>0.58429782550618115</v>
      </c>
      <c r="F40" s="27">
        <f t="shared" si="3"/>
        <v>0.79882834788257651</v>
      </c>
      <c r="G40" s="27">
        <f t="shared" si="3"/>
        <v>0.84575290793170743</v>
      </c>
      <c r="H40" s="27">
        <f t="shared" si="3"/>
        <v>9.6710043226749254E-2</v>
      </c>
      <c r="I40" s="27">
        <f t="shared" si="3"/>
        <v>0.71527763923311993</v>
      </c>
      <c r="J40" s="27">
        <f t="shared" si="3"/>
        <v>0.83551850845365006</v>
      </c>
      <c r="K40" s="27">
        <f t="shared" si="3"/>
        <v>0.92300207812410584</v>
      </c>
      <c r="L40" s="27">
        <f t="shared" si="3"/>
        <v>0.62677778314156041</v>
      </c>
      <c r="M40" s="27">
        <f t="shared" si="3"/>
        <v>0.475260330276704</v>
      </c>
    </row>
    <row r="43" spans="1:14" ht="24.75" customHeight="1">
      <c r="C43" s="54" t="s">
        <v>8</v>
      </c>
      <c r="D43" s="54" t="s">
        <v>31</v>
      </c>
      <c r="E43" s="54" t="s">
        <v>30</v>
      </c>
      <c r="F43" s="54" t="s">
        <v>29</v>
      </c>
      <c r="G43" s="54" t="s">
        <v>16</v>
      </c>
      <c r="H43" s="54" t="s">
        <v>28</v>
      </c>
      <c r="I43" s="54" t="s">
        <v>60</v>
      </c>
      <c r="J43" s="54" t="s">
        <v>13</v>
      </c>
      <c r="K43" s="54" t="s">
        <v>61</v>
      </c>
      <c r="L43" s="54" t="s">
        <v>10</v>
      </c>
      <c r="M43" s="54" t="s">
        <v>9</v>
      </c>
    </row>
    <row r="44" spans="1:14">
      <c r="B44" t="s">
        <v>128</v>
      </c>
      <c r="C44" s="27">
        <f>C22*C7</f>
        <v>0.52270481923351775</v>
      </c>
      <c r="D44" s="27">
        <f t="shared" ref="D44:M44" si="4">D22*D7</f>
        <v>0.60083693411000039</v>
      </c>
      <c r="E44" s="27">
        <f t="shared" si="4"/>
        <v>0.56134915636051808</v>
      </c>
      <c r="F44" s="27">
        <f t="shared" si="4"/>
        <v>0.66033682562219931</v>
      </c>
      <c r="G44" s="27">
        <f t="shared" si="4"/>
        <v>0.56040972528663546</v>
      </c>
      <c r="H44" s="27">
        <f t="shared" si="4"/>
        <v>0.78377956386741754</v>
      </c>
      <c r="I44" s="27">
        <f t="shared" si="4"/>
        <v>0.21279980907646162</v>
      </c>
      <c r="J44" s="27">
        <f t="shared" si="4"/>
        <v>0.15837957406720649</v>
      </c>
      <c r="K44" s="27">
        <f t="shared" si="4"/>
        <v>0.23312869570138703</v>
      </c>
      <c r="L44" s="27">
        <f t="shared" si="4"/>
        <v>0.41966270045834736</v>
      </c>
      <c r="M44" s="27">
        <f t="shared" si="4"/>
        <v>0.54064153695301098</v>
      </c>
    </row>
    <row r="45" spans="1:14">
      <c r="B45" t="s">
        <v>129</v>
      </c>
      <c r="C45" s="27">
        <f>(1-C22)*C7</f>
        <v>8.8076163605793567E-2</v>
      </c>
      <c r="D45" s="27">
        <f t="shared" ref="D45:M45" si="5">(1-D22)*D7</f>
        <v>0.13501548180376061</v>
      </c>
      <c r="E45" s="27">
        <f t="shared" si="5"/>
        <v>0.14464548108808026</v>
      </c>
      <c r="F45" s="27">
        <f t="shared" si="5"/>
        <v>0.12510749334485471</v>
      </c>
      <c r="G45" s="27">
        <f t="shared" si="5"/>
        <v>1.4155476371614408E-2</v>
      </c>
      <c r="H45" s="27">
        <f t="shared" si="5"/>
        <v>2.3390780276905568E-2</v>
      </c>
      <c r="I45" s="27">
        <f t="shared" si="5"/>
        <v>1.6745011791456363E-2</v>
      </c>
      <c r="J45" s="27">
        <f t="shared" si="5"/>
        <v>1.4481355472340168E-2</v>
      </c>
      <c r="K45" s="27">
        <f t="shared" si="5"/>
        <v>8.6527512423285203E-3</v>
      </c>
      <c r="L45" s="27">
        <f t="shared" si="5"/>
        <v>1.9329614971406485E-2</v>
      </c>
      <c r="M45" s="27">
        <f t="shared" si="5"/>
        <v>6.8714914651639758E-2</v>
      </c>
    </row>
    <row r="46" spans="1:14">
      <c r="B46" t="s">
        <v>130</v>
      </c>
      <c r="C46" s="27">
        <f>C8</f>
        <v>0.11145293607658387</v>
      </c>
      <c r="D46" s="27">
        <f t="shared" ref="D46:M46" si="6">D8</f>
        <v>0.10314951888671253</v>
      </c>
      <c r="E46" s="27">
        <f t="shared" si="6"/>
        <v>0.10806661443789674</v>
      </c>
      <c r="F46" s="27">
        <f t="shared" si="6"/>
        <v>7.1773977669980643E-2</v>
      </c>
      <c r="G46" s="27">
        <f t="shared" si="6"/>
        <v>0.21348364188821917</v>
      </c>
      <c r="H46" s="27">
        <f t="shared" si="6"/>
        <v>3.7580850389911657E-2</v>
      </c>
      <c r="I46" s="27">
        <f t="shared" si="6"/>
        <v>0.18227328505050794</v>
      </c>
      <c r="J46" s="27">
        <f t="shared" si="6"/>
        <v>2.4627534375117149E-2</v>
      </c>
      <c r="K46" s="27">
        <f t="shared" si="6"/>
        <v>0.16972500987643571</v>
      </c>
      <c r="L46" s="27">
        <f t="shared" si="6"/>
        <v>0.12562255481327353</v>
      </c>
      <c r="M46" s="27">
        <f t="shared" si="6"/>
        <v>8.6979821526434895E-2</v>
      </c>
    </row>
    <row r="47" spans="1:14">
      <c r="B47" t="s">
        <v>41</v>
      </c>
      <c r="C47" s="27">
        <f>C9</f>
        <v>9.1720733600969703E-2</v>
      </c>
      <c r="D47" s="27">
        <f t="shared" ref="D47:M47" si="7">D9</f>
        <v>7.9597801393312059E-2</v>
      </c>
      <c r="E47" s="27">
        <f t="shared" si="7"/>
        <v>4.0110366332379258E-2</v>
      </c>
      <c r="F47" s="27">
        <f t="shared" si="7"/>
        <v>7.8939104036363839E-2</v>
      </c>
      <c r="G47" s="27">
        <f t="shared" si="7"/>
        <v>3.1479332060397894E-2</v>
      </c>
      <c r="H47" s="27">
        <f t="shared" si="7"/>
        <v>1.1596864387795478E-2</v>
      </c>
      <c r="I47" s="27">
        <f t="shared" si="7"/>
        <v>0.12091926559663711</v>
      </c>
      <c r="J47" s="27">
        <f t="shared" si="7"/>
        <v>0.35515898199258267</v>
      </c>
      <c r="K47" s="27">
        <f t="shared" si="7"/>
        <v>0.18733973146458666</v>
      </c>
      <c r="L47" s="27">
        <f t="shared" si="7"/>
        <v>0.1039884575014442</v>
      </c>
      <c r="M47" s="27">
        <f t="shared" si="7"/>
        <v>0.13201407940795537</v>
      </c>
    </row>
    <row r="48" spans="1:14">
      <c r="A48" t="s">
        <v>135</v>
      </c>
      <c r="B48" t="s">
        <v>132</v>
      </c>
      <c r="C48" s="27">
        <f>C35*C$10</f>
        <v>6.7243709935977522E-3</v>
      </c>
      <c r="D48" s="27">
        <f t="shared" ref="D48:M48" si="8">D35*D$10</f>
        <v>2.4697075720775093E-3</v>
      </c>
      <c r="E48" s="27">
        <f t="shared" si="8"/>
        <v>1.3069601325782665E-3</v>
      </c>
      <c r="F48" s="27">
        <f t="shared" si="8"/>
        <v>2.9137057227493863E-3</v>
      </c>
      <c r="G48" s="27">
        <f t="shared" si="8"/>
        <v>2.6115667562201023E-4</v>
      </c>
      <c r="H48" s="27">
        <f t="shared" si="8"/>
        <v>0</v>
      </c>
      <c r="I48" s="27">
        <f t="shared" si="8"/>
        <v>4.2632285911177813E-2</v>
      </c>
      <c r="J48" s="27">
        <f t="shared" si="8"/>
        <v>4.3182460866401817E-2</v>
      </c>
      <c r="K48" s="27">
        <f t="shared" si="8"/>
        <v>3.7390515336373602E-3</v>
      </c>
      <c r="L48" s="27">
        <f t="shared" si="8"/>
        <v>1.2587187777521155E-2</v>
      </c>
      <c r="M48" s="27">
        <f t="shared" si="8"/>
        <v>8.7837477435013193E-3</v>
      </c>
    </row>
    <row r="49" spans="1:13">
      <c r="A49" t="s">
        <v>134</v>
      </c>
      <c r="B49" t="s">
        <v>131</v>
      </c>
      <c r="C49" s="27">
        <f t="shared" ref="C49:M50" si="9">C36*C$10</f>
        <v>8.0927395771042021E-2</v>
      </c>
      <c r="D49" s="27">
        <f t="shared" si="9"/>
        <v>4.2429409557661737E-2</v>
      </c>
      <c r="E49" s="27">
        <f t="shared" si="9"/>
        <v>2.6860758319766097E-2</v>
      </c>
      <c r="F49" s="27">
        <f t="shared" si="9"/>
        <v>1.1050132952929765E-2</v>
      </c>
      <c r="G49" s="27">
        <f t="shared" si="9"/>
        <v>6.8978083356255965E-2</v>
      </c>
      <c r="H49" s="27">
        <f t="shared" si="9"/>
        <v>2.8948773946580329E-2</v>
      </c>
      <c r="I49" s="27">
        <f t="shared" si="9"/>
        <v>0.27104509861209553</v>
      </c>
      <c r="J49" s="27">
        <f t="shared" si="9"/>
        <v>0.29525627415331634</v>
      </c>
      <c r="K49" s="27">
        <f t="shared" si="9"/>
        <v>0.33830401524851766</v>
      </c>
      <c r="L49" s="27">
        <f t="shared" si="9"/>
        <v>0.13713504217556213</v>
      </c>
      <c r="M49" s="27">
        <f t="shared" si="9"/>
        <v>4.4185065094486713E-2</v>
      </c>
    </row>
    <row r="50" spans="1:13">
      <c r="A50" t="s">
        <v>133</v>
      </c>
      <c r="B50" t="s">
        <v>127</v>
      </c>
      <c r="C50" s="27">
        <f t="shared" si="9"/>
        <v>3.4473812161182907E-2</v>
      </c>
      <c r="D50" s="27">
        <f t="shared" si="9"/>
        <v>1.0356275434003626E-2</v>
      </c>
      <c r="E50" s="27">
        <f t="shared" si="9"/>
        <v>4.987283767436692E-2</v>
      </c>
      <c r="F50" s="27">
        <f t="shared" si="9"/>
        <v>4.376354280423554E-3</v>
      </c>
      <c r="G50" s="27">
        <f t="shared" si="9"/>
        <v>1.0304305059352982E-2</v>
      </c>
      <c r="H50" s="27">
        <f t="shared" si="9"/>
        <v>4.2297347905466923E-2</v>
      </c>
      <c r="I50" s="27">
        <f t="shared" si="9"/>
        <v>9.0960682016888714E-2</v>
      </c>
      <c r="J50" s="27">
        <f t="shared" si="9"/>
        <v>4.8926558768198153E-2</v>
      </c>
      <c r="K50" s="27">
        <f t="shared" si="9"/>
        <v>4.5414132230431656E-2</v>
      </c>
      <c r="L50" s="27">
        <f t="shared" si="9"/>
        <v>6.5345444062306052E-2</v>
      </c>
      <c r="M50" s="27">
        <f t="shared" si="9"/>
        <v>3.396860909350035E-2</v>
      </c>
    </row>
    <row r="51" spans="1:13">
      <c r="B51" t="s">
        <v>33</v>
      </c>
      <c r="C51" s="27">
        <f>C11</f>
        <v>5.4250802864456354E-2</v>
      </c>
      <c r="D51" s="27">
        <f t="shared" ref="D51:M51" si="10">D11</f>
        <v>2.1983071219402486E-2</v>
      </c>
      <c r="E51" s="27">
        <f t="shared" si="10"/>
        <v>5.8534371617216287E-2</v>
      </c>
      <c r="F51" s="27">
        <f t="shared" si="10"/>
        <v>4.2494577274415829E-2</v>
      </c>
      <c r="G51" s="27">
        <f t="shared" si="10"/>
        <v>0.10021470561534893</v>
      </c>
      <c r="H51" s="27">
        <f t="shared" si="10"/>
        <v>5.8300680126632476E-2</v>
      </c>
      <c r="I51" s="27">
        <f t="shared" si="10"/>
        <v>5.1280335128306993E-2</v>
      </c>
      <c r="J51" s="27">
        <f t="shared" si="10"/>
        <v>1.1488982401622518E-2</v>
      </c>
      <c r="K51" s="27">
        <f t="shared" si="10"/>
        <v>9.1991277797579714E-3</v>
      </c>
      <c r="L51" s="27">
        <f t="shared" si="10"/>
        <v>0.10057021717410534</v>
      </c>
      <c r="M51" s="27">
        <f t="shared" si="10"/>
        <v>7.4127042232746743E-2</v>
      </c>
    </row>
    <row r="52" spans="1:13">
      <c r="B52" t="s">
        <v>66</v>
      </c>
      <c r="C52" s="27">
        <f t="shared" ref="C52:C53" si="11">C12</f>
        <v>6.819959448767259E-3</v>
      </c>
      <c r="D52" s="27">
        <f t="shared" ref="D52:M52" si="12">D12</f>
        <v>3.0326889781191776E-3</v>
      </c>
      <c r="E52" s="27">
        <f t="shared" si="12"/>
        <v>8.6074772723109746E-3</v>
      </c>
      <c r="F52" s="27">
        <f t="shared" si="12"/>
        <v>2.4723616669082189E-3</v>
      </c>
      <c r="G52" s="27">
        <f t="shared" si="12"/>
        <v>1.2586982115966132E-4</v>
      </c>
      <c r="H52" s="27">
        <f t="shared" si="12"/>
        <v>1.1201037885730399E-2</v>
      </c>
      <c r="I52" s="27">
        <f t="shared" si="12"/>
        <v>5.8871806403479462E-3</v>
      </c>
      <c r="J52" s="27">
        <f t="shared" si="12"/>
        <v>2.1133679937102957E-2</v>
      </c>
      <c r="K52" s="27">
        <f t="shared" si="12"/>
        <v>3.3691524442828668E-3</v>
      </c>
      <c r="L52" s="27">
        <f t="shared" si="12"/>
        <v>1.2374463285440796E-2</v>
      </c>
      <c r="M52" s="27">
        <f t="shared" si="12"/>
        <v>7.3973370721000624E-3</v>
      </c>
    </row>
    <row r="53" spans="1:13">
      <c r="B53" t="s">
        <v>136</v>
      </c>
      <c r="C53" s="27">
        <f t="shared" si="11"/>
        <v>2.8490062440889455E-3</v>
      </c>
      <c r="D53" s="27">
        <f t="shared" ref="D53:M53" si="13">D13</f>
        <v>1.1291110449498736E-3</v>
      </c>
      <c r="E53" s="27">
        <f t="shared" si="13"/>
        <v>6.4597676488709088E-4</v>
      </c>
      <c r="F53" s="27">
        <f t="shared" si="13"/>
        <v>5.3546742917469012E-4</v>
      </c>
      <c r="G53" s="27">
        <f t="shared" si="13"/>
        <v>5.8770386539351853E-4</v>
      </c>
      <c r="H53" s="27">
        <f t="shared" si="13"/>
        <v>2.9041012135596323E-3</v>
      </c>
      <c r="I53" s="27">
        <f t="shared" si="13"/>
        <v>5.4570461761200206E-3</v>
      </c>
      <c r="J53" s="27">
        <f t="shared" si="13"/>
        <v>2.7364597966111744E-2</v>
      </c>
      <c r="K53" s="27">
        <f t="shared" si="13"/>
        <v>1.12833247863467E-3</v>
      </c>
      <c r="L53" s="27">
        <f t="shared" si="13"/>
        <v>3.3843177805928841E-3</v>
      </c>
      <c r="M53" s="27">
        <f t="shared" si="13"/>
        <v>3.1878462246237639E-3</v>
      </c>
    </row>
    <row r="55" spans="1:13">
      <c r="B55" t="s">
        <v>36</v>
      </c>
      <c r="C55" s="27">
        <f>SUM(C44:C53)</f>
        <v>1.0000000000000002</v>
      </c>
      <c r="D55" s="27">
        <f t="shared" ref="D55:M55" si="14">SUM(D44:D53)</f>
        <v>0.99999999999999989</v>
      </c>
      <c r="E55" s="27">
        <f t="shared" si="14"/>
        <v>1</v>
      </c>
      <c r="F55" s="27">
        <f t="shared" si="14"/>
        <v>1</v>
      </c>
      <c r="G55" s="27">
        <f t="shared" si="14"/>
        <v>1</v>
      </c>
      <c r="H55" s="27">
        <f t="shared" si="14"/>
        <v>1</v>
      </c>
      <c r="I55" s="27">
        <f t="shared" si="14"/>
        <v>1</v>
      </c>
      <c r="J55" s="27">
        <f t="shared" si="14"/>
        <v>1</v>
      </c>
      <c r="K55" s="27">
        <f t="shared" si="14"/>
        <v>1.0000000000000002</v>
      </c>
      <c r="L55" s="27">
        <f t="shared" si="14"/>
        <v>0.99999999999999989</v>
      </c>
      <c r="M55" s="27">
        <f t="shared" si="14"/>
        <v>1</v>
      </c>
    </row>
    <row r="59" spans="1:13">
      <c r="B59" s="52" t="s">
        <v>57</v>
      </c>
      <c r="C59" s="52" t="s">
        <v>58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1:13" ht="25.5">
      <c r="B60" s="55" t="s">
        <v>59</v>
      </c>
      <c r="C60" s="55" t="s">
        <v>8</v>
      </c>
      <c r="D60" s="55" t="s">
        <v>31</v>
      </c>
      <c r="E60" s="55" t="s">
        <v>30</v>
      </c>
      <c r="F60" s="55" t="s">
        <v>29</v>
      </c>
      <c r="G60" s="55" t="s">
        <v>16</v>
      </c>
      <c r="H60" s="55" t="s">
        <v>28</v>
      </c>
      <c r="I60" s="55" t="s">
        <v>60</v>
      </c>
      <c r="J60" s="55" t="s">
        <v>61</v>
      </c>
      <c r="K60" s="55" t="s">
        <v>13</v>
      </c>
      <c r="L60" s="55" t="s">
        <v>10</v>
      </c>
      <c r="M60" s="55" t="s">
        <v>9</v>
      </c>
    </row>
    <row r="61" spans="1:13">
      <c r="B61" s="50" t="s">
        <v>117</v>
      </c>
      <c r="C61" s="53">
        <v>0.65721854649759659</v>
      </c>
      <c r="D61" s="53">
        <v>0.8376179979427899</v>
      </c>
      <c r="E61" s="53">
        <v>0.66827542341452872</v>
      </c>
      <c r="F61" s="53">
        <v>0.80713883637717843</v>
      </c>
      <c r="G61" s="53">
        <v>0.5910532577667944</v>
      </c>
      <c r="H61" s="53">
        <v>0.80019083678551073</v>
      </c>
      <c r="I61" s="53">
        <v>0.41107085967688539</v>
      </c>
      <c r="J61" s="53">
        <v>0.41150645682015125</v>
      </c>
      <c r="K61" s="53">
        <v>0.19363210773300588</v>
      </c>
      <c r="L61" s="53">
        <v>0.53153609786019862</v>
      </c>
      <c r="M61" s="53">
        <v>0.65122303476791543</v>
      </c>
    </row>
    <row r="62" spans="1:13">
      <c r="B62" s="50" t="s">
        <v>118</v>
      </c>
      <c r="C62" s="53">
        <v>0.10487117196574179</v>
      </c>
      <c r="D62" s="53">
        <v>1.2082053938897377E-2</v>
      </c>
      <c r="E62" s="53">
        <v>0.17930195832215987</v>
      </c>
      <c r="F62" s="53">
        <v>0.11605488960062339</v>
      </c>
      <c r="G62" s="53">
        <v>0.28608616957091532</v>
      </c>
      <c r="H62" s="53">
        <v>4.5752077949627004E-2</v>
      </c>
      <c r="I62" s="53">
        <v>0</v>
      </c>
      <c r="J62" s="53">
        <v>8.5171213568330292E-3</v>
      </c>
      <c r="K62" s="53">
        <v>5.4687181014530075E-3</v>
      </c>
      <c r="L62" s="53">
        <v>0.1248868670144601</v>
      </c>
      <c r="M62" s="53">
        <v>9.2960478151335596E-2</v>
      </c>
    </row>
    <row r="63" spans="1:13">
      <c r="B63" s="50" t="s">
        <v>119</v>
      </c>
      <c r="C63" s="53">
        <v>3.8561295422657224E-2</v>
      </c>
      <c r="D63" s="53">
        <v>6.7393315479147365E-3</v>
      </c>
      <c r="E63" s="53">
        <v>8.2756645042295532E-2</v>
      </c>
      <c r="F63" s="53">
        <v>2.9195416171178394E-3</v>
      </c>
      <c r="G63" s="53">
        <v>8.2549375618815521E-3</v>
      </c>
      <c r="H63" s="53">
        <v>6.1522949381967111E-2</v>
      </c>
      <c r="I63" s="53">
        <v>7.2935690234045294E-2</v>
      </c>
      <c r="J63" s="53">
        <v>1.792271957418768E-2</v>
      </c>
      <c r="K63" s="53">
        <v>3.1551844421954599E-2</v>
      </c>
      <c r="L63" s="53">
        <v>6.5054322893433381E-2</v>
      </c>
      <c r="M63" s="53">
        <v>3.2431911109466589E-2</v>
      </c>
    </row>
    <row r="64" spans="1:13">
      <c r="B64" s="50" t="s">
        <v>120</v>
      </c>
      <c r="C64" s="53">
        <v>6.4357910699918572E-2</v>
      </c>
      <c r="D64" s="53">
        <v>7.1341979046049789E-2</v>
      </c>
      <c r="E64" s="53">
        <v>3.3098710272236556E-2</v>
      </c>
      <c r="F64" s="53">
        <v>2.7142117404261566E-2</v>
      </c>
      <c r="G64" s="53">
        <v>2.1518711800988803E-3</v>
      </c>
      <c r="H64" s="53">
        <v>3.3733119996306464E-3</v>
      </c>
      <c r="I64" s="53">
        <v>0.22601001966478118</v>
      </c>
      <c r="J64" s="53">
        <v>8.435117890403411E-2</v>
      </c>
      <c r="K64" s="53">
        <v>0.18282706435322765</v>
      </c>
      <c r="L64" s="53">
        <v>0.10167800071617011</v>
      </c>
      <c r="M64" s="53">
        <v>7.4076519895916987E-2</v>
      </c>
    </row>
    <row r="65" spans="2:14">
      <c r="B65" s="50" t="s">
        <v>9</v>
      </c>
      <c r="C65" s="53">
        <v>0.13499107541408586</v>
      </c>
      <c r="D65" s="53">
        <v>7.2218637524348137E-2</v>
      </c>
      <c r="E65" s="53">
        <v>3.6567262948779419E-2</v>
      </c>
      <c r="F65" s="53">
        <v>4.6744615000818758E-2</v>
      </c>
      <c r="G65" s="53">
        <v>0.11245376392030981</v>
      </c>
      <c r="H65" s="53">
        <v>8.9160823883264503E-2</v>
      </c>
      <c r="I65" s="53">
        <v>0.28998343042428815</v>
      </c>
      <c r="J65" s="53">
        <v>0.47770252334479396</v>
      </c>
      <c r="K65" s="53">
        <v>0.58652026539035873</v>
      </c>
      <c r="L65" s="53">
        <v>0.17684471151573772</v>
      </c>
      <c r="M65" s="53">
        <v>0.14930805607536543</v>
      </c>
    </row>
    <row r="66" spans="2:14">
      <c r="B66" s="50" t="s">
        <v>62</v>
      </c>
      <c r="C66" s="53">
        <v>1</v>
      </c>
      <c r="D66" s="53">
        <v>0.99999999999999989</v>
      </c>
      <c r="E66" s="53">
        <v>1</v>
      </c>
      <c r="F66" s="53">
        <v>0.99999999999999989</v>
      </c>
      <c r="G66" s="53">
        <v>1</v>
      </c>
      <c r="H66" s="53">
        <v>1</v>
      </c>
      <c r="I66" s="53">
        <v>1</v>
      </c>
      <c r="J66" s="53">
        <v>1</v>
      </c>
      <c r="K66" s="53">
        <v>0.99999999999999989</v>
      </c>
      <c r="L66" s="53">
        <v>0.99999999999999978</v>
      </c>
      <c r="M66" s="53">
        <v>1</v>
      </c>
    </row>
    <row r="68" spans="2:14">
      <c r="B68" s="56" t="s">
        <v>145</v>
      </c>
      <c r="D68" s="56" t="s">
        <v>146</v>
      </c>
      <c r="E68" s="56"/>
      <c r="F68" s="56"/>
      <c r="G68" s="56"/>
      <c r="H68" s="56"/>
      <c r="I68" s="56"/>
      <c r="J68" s="56"/>
      <c r="K68" s="56"/>
      <c r="L68" s="56"/>
      <c r="M68" s="56"/>
    </row>
    <row r="69" spans="2:14">
      <c r="B69" s="56" t="s">
        <v>147</v>
      </c>
      <c r="D69" s="56" t="s">
        <v>148</v>
      </c>
      <c r="E69" s="56"/>
      <c r="F69" s="56"/>
      <c r="G69" s="56"/>
      <c r="H69" s="56"/>
      <c r="I69" s="56"/>
      <c r="J69" s="56"/>
      <c r="K69" s="56"/>
      <c r="L69" s="56"/>
      <c r="M69" s="56"/>
    </row>
    <row r="70" spans="2:14">
      <c r="B70" s="56"/>
      <c r="D70" s="56"/>
      <c r="E70" s="56"/>
      <c r="F70" s="56"/>
      <c r="G70" s="56"/>
      <c r="H70" s="56"/>
      <c r="I70" s="56"/>
      <c r="J70" s="56"/>
      <c r="K70" s="56"/>
      <c r="L70" s="56"/>
      <c r="M70" s="56"/>
    </row>
    <row r="71" spans="2:14" ht="25.5">
      <c r="B71" s="58" t="s">
        <v>149</v>
      </c>
      <c r="C71" s="54"/>
      <c r="D71" s="58" t="s">
        <v>58</v>
      </c>
      <c r="E71" s="58"/>
      <c r="F71" s="58"/>
      <c r="G71" s="58"/>
      <c r="H71" s="58"/>
      <c r="I71" s="58"/>
      <c r="J71" s="58"/>
      <c r="K71" s="58"/>
      <c r="L71" s="58"/>
      <c r="M71" s="58"/>
      <c r="N71" s="56"/>
    </row>
    <row r="72" spans="2:14" ht="38.25">
      <c r="B72" s="58" t="s">
        <v>59</v>
      </c>
      <c r="C72" s="58" t="s">
        <v>62</v>
      </c>
      <c r="D72" s="58" t="s">
        <v>31</v>
      </c>
      <c r="E72" s="58" t="s">
        <v>72</v>
      </c>
      <c r="F72" s="58" t="s">
        <v>73</v>
      </c>
      <c r="G72" s="58" t="s">
        <v>16</v>
      </c>
      <c r="H72" s="58" t="s">
        <v>28</v>
      </c>
      <c r="I72" s="58" t="s">
        <v>14</v>
      </c>
      <c r="J72" s="58" t="s">
        <v>13</v>
      </c>
      <c r="K72" s="58" t="s">
        <v>158</v>
      </c>
      <c r="L72" s="58" t="s">
        <v>10</v>
      </c>
      <c r="M72" s="58" t="s">
        <v>9</v>
      </c>
    </row>
    <row r="73" spans="2:14">
      <c r="B73" s="59" t="s">
        <v>154</v>
      </c>
      <c r="C73" s="27">
        <v>1</v>
      </c>
      <c r="D73" s="27">
        <v>1</v>
      </c>
      <c r="E73" s="27">
        <v>1</v>
      </c>
      <c r="F73" s="27">
        <v>1</v>
      </c>
      <c r="G73" s="27">
        <v>1</v>
      </c>
      <c r="H73" s="27">
        <v>1</v>
      </c>
      <c r="I73" s="27">
        <v>1</v>
      </c>
      <c r="J73" s="27">
        <v>1</v>
      </c>
      <c r="K73" s="27">
        <v>1</v>
      </c>
      <c r="L73" s="27">
        <v>1</v>
      </c>
      <c r="M73" s="27">
        <v>1</v>
      </c>
    </row>
    <row r="74" spans="2:14">
      <c r="B74" s="56" t="s">
        <v>41</v>
      </c>
      <c r="C74" s="27">
        <v>0.11980651891230223</v>
      </c>
      <c r="D74" s="27">
        <v>0.10231069415107702</v>
      </c>
      <c r="E74" s="27">
        <v>0.17132147485528584</v>
      </c>
      <c r="F74" s="27">
        <v>4.8882009326411478E-2</v>
      </c>
      <c r="G74" s="27">
        <v>1.5151739001409578E-2</v>
      </c>
      <c r="H74" s="27">
        <v>4.3653907100139624E-2</v>
      </c>
      <c r="I74" s="27">
        <v>0.16995634096749837</v>
      </c>
      <c r="J74" s="27">
        <v>2.1106483567493495E-2</v>
      </c>
      <c r="K74" s="27">
        <v>6.1060853618898576E-2</v>
      </c>
      <c r="L74" s="27">
        <v>8.1418788783440624E-2</v>
      </c>
      <c r="M74" s="27">
        <v>2.8486609444442642E-2</v>
      </c>
    </row>
    <row r="75" spans="2:14">
      <c r="B75" s="56" t="s">
        <v>63</v>
      </c>
      <c r="C75" s="27">
        <v>8.8396779460587615E-3</v>
      </c>
      <c r="D75" s="27">
        <v>0</v>
      </c>
      <c r="E75" s="27">
        <v>1.6927397432621859E-2</v>
      </c>
      <c r="F75" s="27">
        <v>1.3461393524021637E-2</v>
      </c>
      <c r="G75" s="27">
        <v>0</v>
      </c>
      <c r="H75" s="27">
        <v>0</v>
      </c>
      <c r="I75" s="27">
        <v>1.0245275517962471E-2</v>
      </c>
      <c r="J75" s="27">
        <v>0</v>
      </c>
      <c r="K75" s="27">
        <v>0</v>
      </c>
      <c r="L75" s="27">
        <v>0</v>
      </c>
      <c r="M75" s="27">
        <v>0</v>
      </c>
    </row>
    <row r="76" spans="2:14">
      <c r="B76" s="56" t="s">
        <v>150</v>
      </c>
      <c r="C76" s="27">
        <v>1.6817763547891679E-2</v>
      </c>
      <c r="D76" s="27">
        <v>0</v>
      </c>
      <c r="E76" s="27">
        <v>3.410653781760626E-2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</row>
    <row r="77" spans="2:14">
      <c r="B77" s="56" t="s">
        <v>151</v>
      </c>
      <c r="C77" s="27">
        <v>8.7304822014039912E-2</v>
      </c>
      <c r="D77" s="27">
        <v>0</v>
      </c>
      <c r="E77" s="27">
        <v>0.17672112516415678</v>
      </c>
      <c r="F77" s="27">
        <v>0</v>
      </c>
      <c r="G77" s="27">
        <v>0</v>
      </c>
      <c r="H77" s="27">
        <v>3.426350345406485E-3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</row>
    <row r="78" spans="2:14">
      <c r="B78" s="56" t="s">
        <v>33</v>
      </c>
      <c r="C78" s="27">
        <v>4.6969610754770588E-2</v>
      </c>
      <c r="D78" s="27">
        <v>4.7598775979872519E-2</v>
      </c>
      <c r="E78" s="27">
        <v>2.2733743221569597E-2</v>
      </c>
      <c r="F78" s="27">
        <v>0</v>
      </c>
      <c r="G78" s="27">
        <v>0</v>
      </c>
      <c r="H78" s="27">
        <v>0.20651067460099518</v>
      </c>
      <c r="I78" s="27">
        <v>0.17012302995818532</v>
      </c>
      <c r="J78" s="27">
        <v>0</v>
      </c>
      <c r="K78" s="27">
        <v>0</v>
      </c>
      <c r="L78" s="27">
        <v>8.0750664007168363E-2</v>
      </c>
      <c r="M78" s="27">
        <v>0</v>
      </c>
    </row>
    <row r="79" spans="2:14">
      <c r="B79" s="56" t="s">
        <v>65</v>
      </c>
      <c r="C79" s="27">
        <v>0.6631838818177106</v>
      </c>
      <c r="D79" s="27">
        <v>0.7493913183910822</v>
      </c>
      <c r="E79" s="27">
        <v>0.50630862966915124</v>
      </c>
      <c r="F79" s="27">
        <v>0.87225718745894776</v>
      </c>
      <c r="G79" s="27">
        <v>0.98484826099859046</v>
      </c>
      <c r="H79" s="27">
        <v>0.72915028631671552</v>
      </c>
      <c r="I79" s="27">
        <v>0.58827936252292501</v>
      </c>
      <c r="J79" s="27">
        <v>0.97220285992276279</v>
      </c>
      <c r="K79" s="27">
        <v>0.93521671787888028</v>
      </c>
      <c r="L79" s="27">
        <v>0.77428595645114096</v>
      </c>
      <c r="M79" s="27">
        <v>0.97137316863257017</v>
      </c>
    </row>
    <row r="80" spans="2:14">
      <c r="B80" s="56" t="s">
        <v>66</v>
      </c>
      <c r="C80" s="27">
        <v>5.158866184326464E-2</v>
      </c>
      <c r="D80" s="27">
        <v>0.10069921147796819</v>
      </c>
      <c r="E80" s="27">
        <v>6.5355590906591085E-2</v>
      </c>
      <c r="F80" s="27">
        <v>6.5399409690618984E-2</v>
      </c>
      <c r="G80" s="27">
        <v>0</v>
      </c>
      <c r="H80" s="27">
        <v>1.6640155553280047E-2</v>
      </c>
      <c r="I80" s="27">
        <v>5.3901620458370715E-3</v>
      </c>
      <c r="J80" s="27">
        <v>6.6906565097436133E-3</v>
      </c>
      <c r="K80" s="27">
        <v>3.7224285022212115E-3</v>
      </c>
      <c r="L80" s="27">
        <v>6.3544590758250072E-2</v>
      </c>
      <c r="M80" s="27">
        <v>1.4022192298712046E-4</v>
      </c>
    </row>
    <row r="81" spans="2:25">
      <c r="B81" s="56" t="s">
        <v>152</v>
      </c>
      <c r="C81" s="27">
        <v>2.9259726283251981E-3</v>
      </c>
      <c r="D81" s="27">
        <v>0</v>
      </c>
      <c r="E81" s="27">
        <v>1.3275360529254752E-3</v>
      </c>
      <c r="F81" s="27">
        <v>0</v>
      </c>
      <c r="G81" s="27">
        <v>0</v>
      </c>
      <c r="H81" s="27">
        <v>6.1862608346312665E-4</v>
      </c>
      <c r="I81" s="27">
        <v>5.6005828987591655E-2</v>
      </c>
      <c r="J81" s="27">
        <v>0</v>
      </c>
      <c r="K81" s="27">
        <v>0</v>
      </c>
      <c r="L81" s="27">
        <v>0</v>
      </c>
      <c r="M81" s="27">
        <v>0</v>
      </c>
    </row>
    <row r="82" spans="2:25">
      <c r="B82" s="56" t="s">
        <v>153</v>
      </c>
      <c r="C82" s="27">
        <v>2.5630905356362919E-3</v>
      </c>
      <c r="D82" s="27">
        <v>0</v>
      </c>
      <c r="E82" s="27">
        <v>5.1979648800917315E-3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</row>
    <row r="83" spans="2:25">
      <c r="B83" s="56" t="s">
        <v>62</v>
      </c>
      <c r="C83" s="27">
        <v>1</v>
      </c>
      <c r="D83" s="27">
        <v>1</v>
      </c>
      <c r="E83" s="27">
        <v>1</v>
      </c>
      <c r="F83" s="27">
        <v>1</v>
      </c>
      <c r="G83" s="27">
        <v>1</v>
      </c>
      <c r="H83" s="27">
        <v>1</v>
      </c>
      <c r="I83" s="27">
        <v>1</v>
      </c>
      <c r="J83" s="27">
        <v>1</v>
      </c>
      <c r="K83" s="27">
        <v>1</v>
      </c>
      <c r="L83" s="27">
        <v>1</v>
      </c>
      <c r="M83" s="27">
        <v>1</v>
      </c>
    </row>
    <row r="85" spans="2:25">
      <c r="B85" s="56" t="s">
        <v>145</v>
      </c>
      <c r="D85" s="56" t="s">
        <v>146</v>
      </c>
      <c r="E85" s="56"/>
      <c r="F85" s="56"/>
      <c r="G85" s="56"/>
      <c r="H85" s="56"/>
      <c r="I85" s="56"/>
      <c r="J85" s="56"/>
      <c r="K85" s="56"/>
      <c r="L85" s="56"/>
      <c r="M85" s="56"/>
      <c r="O85" s="56" t="s">
        <v>145</v>
      </c>
      <c r="P85" s="56" t="s">
        <v>146</v>
      </c>
      <c r="Q85" s="56"/>
      <c r="R85" s="56"/>
      <c r="S85" s="56"/>
      <c r="T85" s="56"/>
      <c r="U85" s="56"/>
      <c r="V85" s="56"/>
      <c r="W85" s="56"/>
      <c r="X85" s="56"/>
      <c r="Y85" s="56"/>
    </row>
    <row r="86" spans="2:25">
      <c r="B86" s="56" t="s">
        <v>147</v>
      </c>
      <c r="D86" s="56" t="s">
        <v>148</v>
      </c>
      <c r="E86" s="56"/>
      <c r="F86" s="56"/>
      <c r="G86" s="56"/>
      <c r="H86" s="56"/>
      <c r="I86" s="56"/>
      <c r="J86" s="56"/>
      <c r="K86" s="56"/>
      <c r="L86" s="56"/>
      <c r="M86" s="56"/>
      <c r="O86" s="56" t="s">
        <v>147</v>
      </c>
      <c r="P86" s="56" t="s">
        <v>148</v>
      </c>
      <c r="Q86" s="56"/>
      <c r="R86" s="56"/>
      <c r="S86" s="56"/>
      <c r="T86" s="56"/>
      <c r="U86" s="56"/>
      <c r="V86" s="56"/>
      <c r="W86" s="56"/>
      <c r="X86" s="56"/>
      <c r="Y86" s="56"/>
    </row>
    <row r="87" spans="2:25">
      <c r="B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</row>
    <row r="88" spans="2:25">
      <c r="B88" s="57" t="s">
        <v>149</v>
      </c>
      <c r="C88" s="51"/>
      <c r="D88" s="57" t="s">
        <v>58</v>
      </c>
      <c r="E88" s="57"/>
      <c r="F88" s="57"/>
      <c r="G88" s="57"/>
      <c r="H88" s="57"/>
      <c r="I88" s="57"/>
      <c r="J88" s="57"/>
      <c r="K88" s="57"/>
      <c r="L88" s="57"/>
      <c r="M88" s="57"/>
      <c r="O88" s="56" t="s">
        <v>149</v>
      </c>
      <c r="P88" s="56" t="s">
        <v>58</v>
      </c>
      <c r="Q88" s="56"/>
      <c r="R88" s="56"/>
      <c r="S88" s="56"/>
      <c r="T88" s="56"/>
      <c r="U88" s="56"/>
      <c r="V88" s="56"/>
      <c r="W88" s="56"/>
      <c r="X88" s="56"/>
      <c r="Y88" s="56"/>
    </row>
    <row r="89" spans="2:25" ht="38.25">
      <c r="B89" s="57" t="s">
        <v>59</v>
      </c>
      <c r="C89" s="57" t="s">
        <v>62</v>
      </c>
      <c r="D89" s="58" t="s">
        <v>31</v>
      </c>
      <c r="E89" s="58" t="s">
        <v>72</v>
      </c>
      <c r="F89" s="58" t="s">
        <v>73</v>
      </c>
      <c r="G89" s="58" t="s">
        <v>16</v>
      </c>
      <c r="H89" s="58" t="s">
        <v>28</v>
      </c>
      <c r="I89" s="58" t="s">
        <v>14</v>
      </c>
      <c r="J89" s="58" t="s">
        <v>13</v>
      </c>
      <c r="K89" s="58" t="s">
        <v>158</v>
      </c>
      <c r="L89" s="58" t="s">
        <v>10</v>
      </c>
      <c r="M89" s="58" t="s">
        <v>9</v>
      </c>
      <c r="O89" s="56" t="s">
        <v>59</v>
      </c>
      <c r="P89" s="56" t="s">
        <v>31</v>
      </c>
      <c r="Q89" s="56" t="s">
        <v>72</v>
      </c>
      <c r="R89" s="56" t="s">
        <v>73</v>
      </c>
      <c r="S89" s="56" t="s">
        <v>16</v>
      </c>
      <c r="T89" s="56" t="s">
        <v>28</v>
      </c>
      <c r="U89" s="56" t="s">
        <v>13</v>
      </c>
      <c r="V89" s="56" t="s">
        <v>158</v>
      </c>
      <c r="W89" s="56" t="s">
        <v>10</v>
      </c>
      <c r="X89" s="56" t="s">
        <v>9</v>
      </c>
      <c r="Y89" s="56" t="s">
        <v>62</v>
      </c>
    </row>
    <row r="90" spans="2:25">
      <c r="B90" s="59" t="s">
        <v>155</v>
      </c>
      <c r="C90" s="27">
        <v>1</v>
      </c>
      <c r="D90" s="27">
        <v>1</v>
      </c>
      <c r="E90" s="27">
        <v>1</v>
      </c>
      <c r="F90" s="27">
        <v>1</v>
      </c>
      <c r="G90" s="27">
        <v>1</v>
      </c>
      <c r="H90" s="27">
        <v>1</v>
      </c>
      <c r="I90" s="27"/>
      <c r="J90" s="27">
        <v>1</v>
      </c>
      <c r="K90" s="27">
        <v>1</v>
      </c>
      <c r="L90" s="27">
        <v>1</v>
      </c>
      <c r="M90" s="27">
        <v>1</v>
      </c>
      <c r="O90" s="56" t="s">
        <v>155</v>
      </c>
      <c r="P90" s="56">
        <v>8376762.7773431214</v>
      </c>
      <c r="Q90" s="56">
        <v>121315276.09458509</v>
      </c>
      <c r="R90" s="56">
        <v>27741036.463364959</v>
      </c>
      <c r="S90" s="56">
        <v>73331862.400968984</v>
      </c>
      <c r="T90" s="56">
        <v>4051754.8893330623</v>
      </c>
      <c r="U90" s="56">
        <v>800163.40867232159</v>
      </c>
      <c r="V90" s="56">
        <v>1140781.5639483668</v>
      </c>
      <c r="W90" s="56">
        <v>46061534.265183836</v>
      </c>
      <c r="X90" s="56">
        <v>25889287.034310773</v>
      </c>
      <c r="Y90" s="56">
        <v>308708458.8977105</v>
      </c>
    </row>
    <row r="91" spans="2:25">
      <c r="B91" s="56" t="s">
        <v>41</v>
      </c>
      <c r="C91" s="27">
        <v>5.1408996086585571E-2</v>
      </c>
      <c r="D91" s="27">
        <v>0</v>
      </c>
      <c r="E91" s="27">
        <v>0</v>
      </c>
      <c r="F91" s="27">
        <v>0.25543752853559276</v>
      </c>
      <c r="G91" s="27">
        <v>0</v>
      </c>
      <c r="H91" s="27">
        <v>0</v>
      </c>
      <c r="I91" s="27"/>
      <c r="J91" s="27">
        <v>0.13337047988758929</v>
      </c>
      <c r="K91" s="27">
        <v>0.36358577566118927</v>
      </c>
      <c r="L91" s="27">
        <v>0.13782142803502712</v>
      </c>
      <c r="M91" s="27">
        <v>7.3950804520418356E-2</v>
      </c>
      <c r="O91" s="56" t="s">
        <v>41</v>
      </c>
      <c r="P91" s="56"/>
      <c r="Q91" s="56"/>
      <c r="R91" s="56">
        <v>7086101.7932177065</v>
      </c>
      <c r="S91" s="56"/>
      <c r="T91" s="56"/>
      <c r="U91" s="56">
        <v>106718.17780311676</v>
      </c>
      <c r="V91" s="56">
        <v>414771.94978815154</v>
      </c>
      <c r="W91" s="56">
        <v>6348266.4299119692</v>
      </c>
      <c r="X91" s="56">
        <v>1914533.6046473174</v>
      </c>
      <c r="Y91" s="56">
        <v>15870391.955368262</v>
      </c>
    </row>
    <row r="92" spans="2:25">
      <c r="B92" s="56" t="s">
        <v>150</v>
      </c>
      <c r="C92" s="27">
        <v>0.34321367053315721</v>
      </c>
      <c r="D92" s="27">
        <v>0</v>
      </c>
      <c r="E92" s="27">
        <v>0.36225103344306336</v>
      </c>
      <c r="F92" s="27">
        <v>0.15277184536714514</v>
      </c>
      <c r="G92" s="27">
        <v>0.52066105598907853</v>
      </c>
      <c r="H92" s="27">
        <v>6.984089760638551E-2</v>
      </c>
      <c r="I92" s="27"/>
      <c r="J92" s="27">
        <v>0.63220998399817452</v>
      </c>
      <c r="K92" s="27">
        <v>0</v>
      </c>
      <c r="L92" s="27">
        <v>0.18537296408823903</v>
      </c>
      <c r="M92" s="27">
        <v>0.39629798503344366</v>
      </c>
      <c r="O92" s="56" t="s">
        <v>150</v>
      </c>
      <c r="P92" s="56"/>
      <c r="Q92" s="56">
        <v>43946584.137694009</v>
      </c>
      <c r="R92" s="56">
        <v>4238049.3329055263</v>
      </c>
      <c r="S92" s="56">
        <v>38181044.915334314</v>
      </c>
      <c r="T92" s="56">
        <v>282978.19835208228</v>
      </c>
      <c r="U92" s="56">
        <v>505871.29579265323</v>
      </c>
      <c r="V92" s="56"/>
      <c r="W92" s="56">
        <v>8538563.1371891145</v>
      </c>
      <c r="X92" s="56">
        <v>10259872.285649817</v>
      </c>
      <c r="Y92" s="56">
        <v>105952963.30291753</v>
      </c>
    </row>
    <row r="93" spans="2:25">
      <c r="B93" s="56" t="s">
        <v>151</v>
      </c>
      <c r="C93" s="27">
        <v>0.2350886284370472</v>
      </c>
      <c r="D93" s="27">
        <v>0.1145448335756956</v>
      </c>
      <c r="E93" s="27">
        <v>0.34544631383265639</v>
      </c>
      <c r="F93" s="27">
        <v>0.2784048102088531</v>
      </c>
      <c r="G93" s="27">
        <v>0.16792723220093522</v>
      </c>
      <c r="H93" s="27">
        <v>0.89950433341650982</v>
      </c>
      <c r="I93" s="27"/>
      <c r="J93" s="27">
        <v>7.295640236818092E-2</v>
      </c>
      <c r="K93" s="27">
        <v>0</v>
      </c>
      <c r="L93" s="27">
        <v>7.9496939157862559E-2</v>
      </c>
      <c r="M93" s="27">
        <v>8.8996833370221018E-2</v>
      </c>
      <c r="O93" s="56" t="s">
        <v>151</v>
      </c>
      <c r="P93" s="56">
        <v>959514.89823384956</v>
      </c>
      <c r="Q93" s="56">
        <v>41907914.938465402</v>
      </c>
      <c r="R93" s="56">
        <v>7723237.9915799946</v>
      </c>
      <c r="S93" s="56">
        <v>12314416.685134551</v>
      </c>
      <c r="T93" s="56">
        <v>3644571.0808966206</v>
      </c>
      <c r="U93" s="56">
        <v>58377.043603393075</v>
      </c>
      <c r="V93" s="56"/>
      <c r="W93" s="56">
        <v>3661750.986997121</v>
      </c>
      <c r="X93" s="56">
        <v>2304064.5642663795</v>
      </c>
      <c r="Y93" s="56">
        <v>72573848.189177319</v>
      </c>
    </row>
    <row r="94" spans="2:25">
      <c r="B94" s="56" t="s">
        <v>33</v>
      </c>
      <c r="C94" s="27">
        <v>0.36763770643065041</v>
      </c>
      <c r="D94" s="27">
        <v>0.88450594147281447</v>
      </c>
      <c r="E94" s="27">
        <v>0.29230265272428019</v>
      </c>
      <c r="F94" s="27">
        <v>0.31338581588840891</v>
      </c>
      <c r="G94" s="27">
        <v>0.31141171180998622</v>
      </c>
      <c r="H94" s="27">
        <v>3.0654768977104726E-2</v>
      </c>
      <c r="I94" s="27"/>
      <c r="J94" s="27">
        <v>0.16146313374605525</v>
      </c>
      <c r="K94" s="27">
        <v>0.63641422433881067</v>
      </c>
      <c r="L94" s="27">
        <v>0.58275378806106393</v>
      </c>
      <c r="M94" s="27">
        <v>0.43534619033131433</v>
      </c>
      <c r="O94" s="56" t="s">
        <v>33</v>
      </c>
      <c r="P94" s="56">
        <v>7409296.446868306</v>
      </c>
      <c r="Q94" s="56">
        <v>35460777.018425673</v>
      </c>
      <c r="R94" s="56">
        <v>8693647.3456617296</v>
      </c>
      <c r="S94" s="56">
        <v>22836400.800500117</v>
      </c>
      <c r="T94" s="56">
        <v>124205.61008435955</v>
      </c>
      <c r="U94" s="56">
        <v>129196.89147315852</v>
      </c>
      <c r="V94" s="56">
        <v>726009.61416021525</v>
      </c>
      <c r="W94" s="56">
        <v>26842533.576940376</v>
      </c>
      <c r="X94" s="56">
        <v>11270802.480781086</v>
      </c>
      <c r="Y94" s="56">
        <v>113492869.784895</v>
      </c>
    </row>
    <row r="95" spans="2:25">
      <c r="B95" s="56" t="s">
        <v>66</v>
      </c>
      <c r="C95" s="27">
        <v>2.6509985125595954E-3</v>
      </c>
      <c r="D95" s="27">
        <v>9.4922495148985634E-4</v>
      </c>
      <c r="E95" s="27">
        <v>0</v>
      </c>
      <c r="F95" s="27">
        <v>0</v>
      </c>
      <c r="G95" s="27">
        <v>0</v>
      </c>
      <c r="H95" s="27">
        <v>0</v>
      </c>
      <c r="I95" s="27"/>
      <c r="J95" s="27">
        <v>0</v>
      </c>
      <c r="K95" s="27">
        <v>0</v>
      </c>
      <c r="L95" s="27">
        <v>1.4554880657807412E-2</v>
      </c>
      <c r="M95" s="27">
        <v>5.4081867446026353E-3</v>
      </c>
      <c r="O95" s="56" t="s">
        <v>66</v>
      </c>
      <c r="P95" s="56">
        <v>7951.4322409655588</v>
      </c>
      <c r="Q95" s="56"/>
      <c r="R95" s="56"/>
      <c r="S95" s="56"/>
      <c r="T95" s="56"/>
      <c r="U95" s="56"/>
      <c r="V95" s="56"/>
      <c r="W95" s="56">
        <v>670420.13414525753</v>
      </c>
      <c r="X95" s="56">
        <v>140014.0989661724</v>
      </c>
      <c r="Y95" s="56">
        <v>818385.6653523955</v>
      </c>
    </row>
    <row r="96" spans="2:25">
      <c r="B96" s="56" t="s">
        <v>62</v>
      </c>
      <c r="C96" s="27">
        <v>1</v>
      </c>
      <c r="D96" s="27">
        <v>1</v>
      </c>
      <c r="E96" s="27">
        <v>1</v>
      </c>
      <c r="F96" s="27">
        <v>1</v>
      </c>
      <c r="G96" s="27">
        <v>1</v>
      </c>
      <c r="H96" s="27">
        <v>1</v>
      </c>
      <c r="I96" s="27"/>
      <c r="J96" s="27">
        <v>1</v>
      </c>
      <c r="K96" s="27">
        <v>1</v>
      </c>
      <c r="L96" s="27">
        <v>1</v>
      </c>
      <c r="M96" s="27">
        <v>1</v>
      </c>
      <c r="O96" s="56" t="s">
        <v>62</v>
      </c>
      <c r="P96" s="56">
        <v>8376762.7773431214</v>
      </c>
      <c r="Q96" s="56">
        <v>121315276.09458509</v>
      </c>
      <c r="R96" s="56">
        <v>27741036.463364959</v>
      </c>
      <c r="S96" s="56">
        <v>73331862.400968984</v>
      </c>
      <c r="T96" s="56">
        <v>4051754.8893330623</v>
      </c>
      <c r="U96" s="56">
        <v>800163.40867232159</v>
      </c>
      <c r="V96" s="56">
        <v>1140781.5639483668</v>
      </c>
      <c r="W96" s="56">
        <v>46061534.265183836</v>
      </c>
      <c r="X96" s="56">
        <v>25889287.034310773</v>
      </c>
      <c r="Y96" s="59">
        <v>308708458.8977105</v>
      </c>
    </row>
    <row r="98" spans="2:26">
      <c r="B98" s="56" t="s">
        <v>145</v>
      </c>
      <c r="C98" s="56" t="s">
        <v>146</v>
      </c>
      <c r="D98" s="56"/>
      <c r="E98" s="56"/>
      <c r="F98" s="56"/>
      <c r="G98" s="56"/>
      <c r="H98" s="56"/>
      <c r="I98" s="56"/>
      <c r="J98" s="56"/>
      <c r="K98" s="56"/>
      <c r="L98" s="56"/>
      <c r="O98" s="56" t="s">
        <v>145</v>
      </c>
      <c r="P98" s="56" t="s">
        <v>146</v>
      </c>
      <c r="Q98" s="56"/>
      <c r="R98" s="56"/>
      <c r="S98" s="56"/>
      <c r="T98" s="56"/>
      <c r="U98" s="56"/>
      <c r="V98" s="56"/>
      <c r="W98" s="56"/>
      <c r="X98" s="56"/>
      <c r="Y98" s="56"/>
    </row>
    <row r="99" spans="2:26">
      <c r="B99" s="56" t="s">
        <v>147</v>
      </c>
      <c r="C99" s="56" t="s">
        <v>148</v>
      </c>
      <c r="D99" s="56"/>
      <c r="E99" s="56"/>
      <c r="F99" s="56"/>
      <c r="G99" s="56"/>
      <c r="H99" s="56"/>
      <c r="I99" s="56"/>
      <c r="J99" s="56"/>
      <c r="K99" s="56"/>
      <c r="L99" s="56"/>
      <c r="O99" s="56" t="s">
        <v>147</v>
      </c>
      <c r="P99" s="56" t="s">
        <v>148</v>
      </c>
      <c r="Q99" s="56"/>
      <c r="R99" s="56"/>
      <c r="S99" s="56"/>
      <c r="T99" s="56"/>
      <c r="U99" s="56"/>
      <c r="V99" s="56"/>
      <c r="W99" s="56"/>
      <c r="X99" s="56"/>
      <c r="Y99" s="56"/>
    </row>
    <row r="100" spans="2:26"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</row>
    <row r="101" spans="2:26" ht="25.5">
      <c r="B101" s="58" t="s">
        <v>149</v>
      </c>
      <c r="C101" s="58" t="s">
        <v>58</v>
      </c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O101" s="56" t="s">
        <v>149</v>
      </c>
      <c r="P101" s="56" t="s">
        <v>58</v>
      </c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2:26" ht="38.25">
      <c r="B102" s="58" t="s">
        <v>59</v>
      </c>
      <c r="C102" s="58" t="s">
        <v>62</v>
      </c>
      <c r="D102" s="58" t="s">
        <v>31</v>
      </c>
      <c r="E102" s="58" t="s">
        <v>72</v>
      </c>
      <c r="F102" s="58" t="s">
        <v>73</v>
      </c>
      <c r="G102" s="58" t="s">
        <v>16</v>
      </c>
      <c r="H102" s="58" t="s">
        <v>28</v>
      </c>
      <c r="I102" s="58" t="s">
        <v>14</v>
      </c>
      <c r="J102" s="58" t="s">
        <v>13</v>
      </c>
      <c r="K102" s="58" t="s">
        <v>158</v>
      </c>
      <c r="L102" s="58" t="s">
        <v>10</v>
      </c>
      <c r="M102" s="58" t="s">
        <v>9</v>
      </c>
      <c r="O102" s="56" t="s">
        <v>59</v>
      </c>
      <c r="P102" s="56" t="s">
        <v>31</v>
      </c>
      <c r="Q102" s="56" t="s">
        <v>72</v>
      </c>
      <c r="R102" s="56" t="s">
        <v>73</v>
      </c>
      <c r="S102" s="56" t="s">
        <v>16</v>
      </c>
      <c r="T102" s="56" t="s">
        <v>28</v>
      </c>
      <c r="U102" s="56" t="s">
        <v>14</v>
      </c>
      <c r="V102" s="56" t="s">
        <v>13</v>
      </c>
      <c r="W102" s="56" t="s">
        <v>158</v>
      </c>
      <c r="X102" s="56" t="s">
        <v>10</v>
      </c>
      <c r="Y102" s="56" t="s">
        <v>9</v>
      </c>
      <c r="Z102" s="56" t="s">
        <v>62</v>
      </c>
    </row>
    <row r="103" spans="2:26">
      <c r="B103" s="59" t="s">
        <v>157</v>
      </c>
      <c r="C103" s="27">
        <v>1</v>
      </c>
      <c r="D103" s="27">
        <v>1</v>
      </c>
      <c r="E103" s="27">
        <v>1</v>
      </c>
      <c r="F103" s="27">
        <v>1</v>
      </c>
      <c r="G103" s="27">
        <v>1</v>
      </c>
      <c r="H103" s="27">
        <v>1</v>
      </c>
      <c r="I103" s="27">
        <v>1</v>
      </c>
      <c r="J103" s="27">
        <v>1</v>
      </c>
      <c r="K103" s="27">
        <v>1</v>
      </c>
      <c r="L103" s="27">
        <v>1</v>
      </c>
      <c r="M103" s="27">
        <v>1</v>
      </c>
      <c r="O103" s="56" t="s">
        <v>157</v>
      </c>
      <c r="P103" s="56">
        <v>49463016.599434488</v>
      </c>
      <c r="Q103" s="56">
        <v>22394508.195144448</v>
      </c>
      <c r="R103" s="56">
        <v>6487882.3390867999</v>
      </c>
      <c r="S103" s="56">
        <v>551584.58558237285</v>
      </c>
      <c r="T103" s="56">
        <v>298736.88803375553</v>
      </c>
      <c r="U103" s="56">
        <v>14073923.482316749</v>
      </c>
      <c r="V103" s="56">
        <v>25844328.70052477</v>
      </c>
      <c r="W103" s="56">
        <v>11297980.35739306</v>
      </c>
      <c r="X103" s="56">
        <v>37501498.964346498</v>
      </c>
      <c r="Y103" s="56">
        <v>20630146.533520974</v>
      </c>
      <c r="Z103" s="56">
        <v>188543606.64538392</v>
      </c>
    </row>
    <row r="104" spans="2:26">
      <c r="B104" s="56" t="s">
        <v>41</v>
      </c>
      <c r="C104" s="27">
        <v>0.52296368348697253</v>
      </c>
      <c r="D104" s="27">
        <v>0.73962273475947538</v>
      </c>
      <c r="E104" s="27">
        <v>0.49443231627431122</v>
      </c>
      <c r="F104" s="27">
        <v>0.90499145057814689</v>
      </c>
      <c r="G104" s="27">
        <v>0.74987843547442801</v>
      </c>
      <c r="H104" s="27">
        <v>0.71791207436724014</v>
      </c>
      <c r="I104" s="27">
        <v>0.21622105478563383</v>
      </c>
      <c r="J104" s="27">
        <v>0.38457501248426607</v>
      </c>
      <c r="K104" s="27">
        <v>0.47364920859596499</v>
      </c>
      <c r="L104" s="27">
        <v>0.4565412617970353</v>
      </c>
      <c r="M104" s="27">
        <v>0.43581512474381962</v>
      </c>
      <c r="O104" s="56" t="s">
        <v>41</v>
      </c>
      <c r="P104" s="56">
        <v>36583971.606727064</v>
      </c>
      <c r="Q104" s="56">
        <v>11072568.558749314</v>
      </c>
      <c r="R104" s="56">
        <v>5871478.0492305038</v>
      </c>
      <c r="S104" s="56">
        <v>413621.38606832048</v>
      </c>
      <c r="T104" s="56">
        <v>214466.81897832738</v>
      </c>
      <c r="U104" s="56">
        <v>3043078.5803188281</v>
      </c>
      <c r="V104" s="56">
        <v>9939083.0326517895</v>
      </c>
      <c r="W104" s="56">
        <v>5351279.4550119806</v>
      </c>
      <c r="X104" s="56">
        <v>17120981.656462964</v>
      </c>
      <c r="Y104" s="56">
        <v>8990929.8849897217</v>
      </c>
      <c r="Z104" s="56">
        <v>98601459.029188812</v>
      </c>
    </row>
    <row r="105" spans="2:26">
      <c r="B105" s="56" t="s">
        <v>33</v>
      </c>
      <c r="C105" s="27">
        <v>3.3329319693301565E-2</v>
      </c>
      <c r="D105" s="27">
        <v>1.9837418211898429E-3</v>
      </c>
      <c r="E105" s="27">
        <v>3.8328279942756387E-2</v>
      </c>
      <c r="F105" s="27">
        <v>0</v>
      </c>
      <c r="G105" s="27">
        <v>0</v>
      </c>
      <c r="H105" s="27">
        <v>0</v>
      </c>
      <c r="I105" s="27">
        <v>0</v>
      </c>
      <c r="J105" s="27">
        <v>1.008415405835052E-2</v>
      </c>
      <c r="K105" s="27">
        <v>0</v>
      </c>
      <c r="L105" s="27">
        <v>7.6239321398394256E-3</v>
      </c>
      <c r="M105" s="27">
        <v>0.23175008596919455</v>
      </c>
      <c r="O105" s="56" t="s">
        <v>33</v>
      </c>
      <c r="P105" s="56">
        <v>98121.854630505593</v>
      </c>
      <c r="Q105" s="56">
        <v>858342.97928384854</v>
      </c>
      <c r="R105" s="56"/>
      <c r="S105" s="56"/>
      <c r="T105" s="56"/>
      <c r="U105" s="56"/>
      <c r="V105" s="56">
        <v>260618.1921507417</v>
      </c>
      <c r="W105" s="56"/>
      <c r="X105" s="56">
        <v>285908.88324643619</v>
      </c>
      <c r="Y105" s="56">
        <v>4781038.2327005668</v>
      </c>
      <c r="Z105" s="56">
        <v>6284030.1420120988</v>
      </c>
    </row>
    <row r="106" spans="2:26">
      <c r="B106" s="56" t="s">
        <v>65</v>
      </c>
      <c r="C106" s="27">
        <v>0.42541353714825442</v>
      </c>
      <c r="D106" s="27">
        <v>0.24921524495106723</v>
      </c>
      <c r="E106" s="27">
        <v>0.45501446464715195</v>
      </c>
      <c r="F106" s="27">
        <v>4.381072497441324E-2</v>
      </c>
      <c r="G106" s="27">
        <v>0.23432045182264896</v>
      </c>
      <c r="H106" s="27">
        <v>0.20464151084199331</v>
      </c>
      <c r="I106" s="27">
        <v>0.77771559546856939</v>
      </c>
      <c r="J106" s="27">
        <v>0.58758575242095612</v>
      </c>
      <c r="K106" s="27">
        <v>0.52635079140403496</v>
      </c>
      <c r="L106" s="27">
        <v>0.49525909092606446</v>
      </c>
      <c r="M106" s="27">
        <v>0.31830559238724782</v>
      </c>
      <c r="O106" s="56" t="s">
        <v>65</v>
      </c>
      <c r="P106" s="56">
        <v>12326937.79784677</v>
      </c>
      <c r="Q106" s="56">
        <v>10189825.157449909</v>
      </c>
      <c r="R106" s="56">
        <v>284238.82882408466</v>
      </c>
      <c r="S106" s="56">
        <v>129247.54931207019</v>
      </c>
      <c r="T106" s="56">
        <v>61133.968111463124</v>
      </c>
      <c r="U106" s="56">
        <v>10945509.781629052</v>
      </c>
      <c r="V106" s="56">
        <v>15185759.325312357</v>
      </c>
      <c r="W106" s="56">
        <v>5946700.9023810793</v>
      </c>
      <c r="X106" s="56">
        <v>18572958.285446994</v>
      </c>
      <c r="Y106" s="56">
        <v>6566691.0133881206</v>
      </c>
      <c r="Z106" s="56">
        <v>80209002.609701902</v>
      </c>
    </row>
    <row r="107" spans="2:26">
      <c r="B107" s="56" t="s">
        <v>66</v>
      </c>
      <c r="C107" s="27">
        <v>1.8293459671471456E-2</v>
      </c>
      <c r="D107" s="27">
        <v>9.1782784682674368E-3</v>
      </c>
      <c r="E107" s="27">
        <v>1.2224939135780401E-2</v>
      </c>
      <c r="F107" s="27">
        <v>5.1197824447439963E-2</v>
      </c>
      <c r="G107" s="27">
        <v>1.5801112702923146E-2</v>
      </c>
      <c r="H107" s="27">
        <v>7.7446414790766568E-2</v>
      </c>
      <c r="I107" s="27">
        <v>6.063349745796886E-3</v>
      </c>
      <c r="J107" s="27">
        <v>1.7755081036427277E-2</v>
      </c>
      <c r="K107" s="27">
        <v>0</v>
      </c>
      <c r="L107" s="27">
        <v>4.0575715137060986E-2</v>
      </c>
      <c r="M107" s="27">
        <v>1.4129196899738085E-2</v>
      </c>
      <c r="O107" s="56" t="s">
        <v>66</v>
      </c>
      <c r="P107" s="56">
        <v>453985.34023014433</v>
      </c>
      <c r="Q107" s="56">
        <v>273771.49966137629</v>
      </c>
      <c r="R107" s="56">
        <v>332165.46103221213</v>
      </c>
      <c r="S107" s="56">
        <v>8715.650201982231</v>
      </c>
      <c r="T107" s="56">
        <v>23136.100943965019</v>
      </c>
      <c r="U107" s="56">
        <v>85335.120368870092</v>
      </c>
      <c r="V107" s="56">
        <v>458868.1504098805</v>
      </c>
      <c r="W107" s="56"/>
      <c r="X107" s="56">
        <v>1521650.1391901111</v>
      </c>
      <c r="Y107" s="56">
        <v>291487.40244256693</v>
      </c>
      <c r="Z107" s="56">
        <v>3449114.8644811083</v>
      </c>
    </row>
    <row r="108" spans="2:26">
      <c r="B108" s="56" t="s">
        <v>62</v>
      </c>
      <c r="C108" s="27">
        <v>1</v>
      </c>
      <c r="D108" s="27">
        <v>1</v>
      </c>
      <c r="E108" s="27">
        <v>1</v>
      </c>
      <c r="F108" s="27">
        <v>1</v>
      </c>
      <c r="G108" s="27">
        <v>1</v>
      </c>
      <c r="H108" s="27">
        <v>1</v>
      </c>
      <c r="I108" s="27">
        <v>1</v>
      </c>
      <c r="J108" s="27">
        <v>1</v>
      </c>
      <c r="K108" s="27">
        <v>1</v>
      </c>
      <c r="L108" s="27">
        <v>1</v>
      </c>
      <c r="M108" s="27">
        <v>1</v>
      </c>
      <c r="O108" s="56" t="s">
        <v>62</v>
      </c>
      <c r="P108" s="56">
        <v>49463016.599434488</v>
      </c>
      <c r="Q108" s="56">
        <v>22394508.195144448</v>
      </c>
      <c r="R108" s="56">
        <v>6487882.3390867999</v>
      </c>
      <c r="S108" s="56">
        <v>551584.58558237285</v>
      </c>
      <c r="T108" s="56">
        <v>298736.88803375553</v>
      </c>
      <c r="U108" s="56">
        <v>14073923.482316749</v>
      </c>
      <c r="V108" s="56">
        <v>25844328.70052477</v>
      </c>
      <c r="W108" s="56">
        <v>11297980.35739306</v>
      </c>
      <c r="X108" s="56">
        <v>37501498.964346498</v>
      </c>
      <c r="Y108" s="56">
        <v>20630146.533520974</v>
      </c>
      <c r="Z108" s="59">
        <v>188543606.64538392</v>
      </c>
    </row>
    <row r="110" spans="2:26">
      <c r="B110" s="56" t="s">
        <v>145</v>
      </c>
      <c r="C110" s="56" t="s">
        <v>146</v>
      </c>
      <c r="D110" s="56"/>
      <c r="E110" s="56"/>
      <c r="F110" s="56"/>
      <c r="G110" s="56"/>
      <c r="H110" s="56"/>
      <c r="I110" s="56"/>
      <c r="J110" s="56"/>
      <c r="K110" s="56"/>
      <c r="L110" s="56"/>
      <c r="O110" s="56" t="s">
        <v>145</v>
      </c>
      <c r="P110" s="56" t="s">
        <v>146</v>
      </c>
      <c r="Q110" s="56"/>
      <c r="R110" s="56"/>
      <c r="S110" s="56"/>
      <c r="T110" s="56"/>
      <c r="U110" s="56"/>
      <c r="V110" s="56"/>
      <c r="W110" s="56"/>
      <c r="X110" s="56"/>
      <c r="Y110" s="56"/>
    </row>
    <row r="111" spans="2:26">
      <c r="B111" s="56" t="s">
        <v>147</v>
      </c>
      <c r="C111" s="56" t="s">
        <v>148</v>
      </c>
      <c r="D111" s="56"/>
      <c r="E111" s="56"/>
      <c r="F111" s="56"/>
      <c r="G111" s="56"/>
      <c r="H111" s="56"/>
      <c r="I111" s="56"/>
      <c r="J111" s="56"/>
      <c r="K111" s="56"/>
      <c r="L111" s="56"/>
      <c r="O111" s="56" t="s">
        <v>147</v>
      </c>
      <c r="P111" s="56" t="s">
        <v>148</v>
      </c>
      <c r="Q111" s="56"/>
      <c r="R111" s="56"/>
      <c r="S111" s="56"/>
      <c r="T111" s="56"/>
      <c r="U111" s="56"/>
      <c r="V111" s="56"/>
      <c r="W111" s="56"/>
      <c r="X111" s="56"/>
      <c r="Y111" s="56"/>
    </row>
    <row r="112" spans="2:26"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</row>
    <row r="113" spans="2:26">
      <c r="B113" s="57" t="s">
        <v>149</v>
      </c>
      <c r="C113" s="57" t="s">
        <v>58</v>
      </c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O113" s="56" t="s">
        <v>149</v>
      </c>
      <c r="P113" s="56" t="s">
        <v>58</v>
      </c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2:26">
      <c r="B114" s="57" t="s">
        <v>59</v>
      </c>
      <c r="C114" s="57" t="s">
        <v>62</v>
      </c>
      <c r="D114" s="57" t="s">
        <v>31</v>
      </c>
      <c r="E114" s="57" t="s">
        <v>72</v>
      </c>
      <c r="F114" s="57" t="s">
        <v>73</v>
      </c>
      <c r="G114" s="57" t="s">
        <v>16</v>
      </c>
      <c r="H114" s="57" t="s">
        <v>28</v>
      </c>
      <c r="I114" s="57" t="s">
        <v>14</v>
      </c>
      <c r="J114" s="57" t="s">
        <v>13</v>
      </c>
      <c r="K114" s="57" t="s">
        <v>158</v>
      </c>
      <c r="L114" s="57" t="s">
        <v>10</v>
      </c>
      <c r="M114" s="57" t="s">
        <v>9</v>
      </c>
      <c r="O114" s="56" t="s">
        <v>59</v>
      </c>
      <c r="P114" s="56" t="s">
        <v>31</v>
      </c>
      <c r="Q114" s="56" t="s">
        <v>72</v>
      </c>
      <c r="R114" s="56" t="s">
        <v>73</v>
      </c>
      <c r="S114" s="56" t="s">
        <v>16</v>
      </c>
      <c r="T114" s="56" t="s">
        <v>28</v>
      </c>
      <c r="U114" s="56" t="s">
        <v>14</v>
      </c>
      <c r="V114" s="56" t="s">
        <v>13</v>
      </c>
      <c r="W114" s="56" t="s">
        <v>158</v>
      </c>
      <c r="X114" s="56" t="s">
        <v>10</v>
      </c>
      <c r="Y114" s="56" t="s">
        <v>9</v>
      </c>
      <c r="Z114" s="56" t="s">
        <v>62</v>
      </c>
    </row>
    <row r="115" spans="2:26">
      <c r="B115" s="59" t="s">
        <v>9</v>
      </c>
      <c r="C115" s="27">
        <v>1</v>
      </c>
      <c r="D115" s="27">
        <v>1</v>
      </c>
      <c r="E115" s="27">
        <v>1</v>
      </c>
      <c r="F115" s="27">
        <v>1</v>
      </c>
      <c r="G115" s="27">
        <v>1</v>
      </c>
      <c r="H115" s="27">
        <v>1</v>
      </c>
      <c r="I115" s="27">
        <v>1</v>
      </c>
      <c r="J115" s="27">
        <v>1</v>
      </c>
      <c r="K115" s="27">
        <v>1</v>
      </c>
      <c r="L115" s="27">
        <v>1</v>
      </c>
      <c r="M115" s="27">
        <v>1</v>
      </c>
      <c r="O115" s="56" t="s">
        <v>9</v>
      </c>
      <c r="P115" s="56">
        <v>50070823.860235527</v>
      </c>
      <c r="Q115" s="56">
        <v>24741322.639007702</v>
      </c>
      <c r="R115" s="56">
        <v>11173541.017238662</v>
      </c>
      <c r="S115" s="56">
        <v>28825035.319406036</v>
      </c>
      <c r="T115" s="56">
        <v>7895986.8118717177</v>
      </c>
      <c r="U115" s="56">
        <v>18057626.900720641</v>
      </c>
      <c r="V115" s="56">
        <v>85699557.068226159</v>
      </c>
      <c r="W115" s="56">
        <v>63983382.278116085</v>
      </c>
      <c r="X115" s="56">
        <v>65224942.652741395</v>
      </c>
      <c r="Y115" s="56">
        <v>41581962.54086896</v>
      </c>
      <c r="Z115" s="56">
        <v>397254181.08843291</v>
      </c>
    </row>
    <row r="116" spans="2:26">
      <c r="B116" s="56" t="s">
        <v>41</v>
      </c>
      <c r="C116" s="27">
        <v>0.35678114852576076</v>
      </c>
      <c r="D116" s="27">
        <v>0.36198614312717298</v>
      </c>
      <c r="E116" s="27">
        <v>0.26191522741794726</v>
      </c>
      <c r="F116" s="27">
        <v>0.52601208930433963</v>
      </c>
      <c r="G116" s="27">
        <v>0.26446970355023336</v>
      </c>
      <c r="H116" s="27">
        <v>7.2783152657966879E-2</v>
      </c>
      <c r="I116" s="27">
        <v>0.20571953931021045</v>
      </c>
      <c r="J116" s="27">
        <v>0.48569810007691194</v>
      </c>
      <c r="K116" s="27">
        <v>0.29975931589941074</v>
      </c>
      <c r="L116" s="27">
        <v>0.19825034023989152</v>
      </c>
      <c r="M116" s="27">
        <v>0.61572052260407106</v>
      </c>
      <c r="O116" s="56" t="s">
        <v>41</v>
      </c>
      <c r="P116" s="56">
        <v>18124944.412366685</v>
      </c>
      <c r="Q116" s="56">
        <v>6480129.145616509</v>
      </c>
      <c r="R116" s="56">
        <v>5877417.655405445</v>
      </c>
      <c r="S116" s="56">
        <v>7623348.5457483213</v>
      </c>
      <c r="T116" s="56">
        <v>574694.81351375242</v>
      </c>
      <c r="U116" s="56">
        <v>3714806.6870519137</v>
      </c>
      <c r="V116" s="56">
        <v>41624112.045470335</v>
      </c>
      <c r="W116" s="56">
        <v>19179614.900618557</v>
      </c>
      <c r="X116" s="56">
        <v>12930867.073033394</v>
      </c>
      <c r="Y116" s="56">
        <v>25602867.706566744</v>
      </c>
      <c r="Z116" s="56">
        <v>141732802.98539165</v>
      </c>
    </row>
    <row r="117" spans="2:26">
      <c r="B117" s="56" t="s">
        <v>33</v>
      </c>
      <c r="C117" s="27">
        <v>8.7075289937907294E-2</v>
      </c>
      <c r="D117" s="27">
        <v>0.15001826532045404</v>
      </c>
      <c r="E117" s="27">
        <v>8.1365254359846192E-2</v>
      </c>
      <c r="F117" s="27">
        <v>0.13102302819218847</v>
      </c>
      <c r="G117" s="27">
        <v>9.8921738466586986E-2</v>
      </c>
      <c r="H117" s="27">
        <v>0.49565507631930134</v>
      </c>
      <c r="I117" s="27">
        <v>0.13405005402109965</v>
      </c>
      <c r="J117" s="27">
        <v>1.5066729148823482E-2</v>
      </c>
      <c r="K117" s="27">
        <v>7.9101750842588536E-3</v>
      </c>
      <c r="L117" s="27">
        <v>0.12306591589908805</v>
      </c>
      <c r="M117" s="27">
        <v>0.1104415447997291</v>
      </c>
      <c r="O117" s="56" t="s">
        <v>33</v>
      </c>
      <c r="P117" s="56">
        <v>7511538.138678534</v>
      </c>
      <c r="Q117" s="56">
        <v>2013084.0097218826</v>
      </c>
      <c r="R117" s="56">
        <v>1463991.1797082354</v>
      </c>
      <c r="S117" s="56">
        <v>2851422.6051564165</v>
      </c>
      <c r="T117" s="56">
        <v>3913685.9458544729</v>
      </c>
      <c r="U117" s="56">
        <v>2420625.8615344642</v>
      </c>
      <c r="V117" s="56">
        <v>1291212.0145211045</v>
      </c>
      <c r="W117" s="56">
        <v>506119.75630296336</v>
      </c>
      <c r="X117" s="56">
        <v>8026967.3070251141</v>
      </c>
      <c r="Y117" s="56">
        <v>4592376.1788180368</v>
      </c>
      <c r="Z117" s="56">
        <v>34591022.997321226</v>
      </c>
    </row>
    <row r="118" spans="2:26">
      <c r="B118" s="56" t="s">
        <v>65</v>
      </c>
      <c r="C118" s="27">
        <v>0.51154183487008476</v>
      </c>
      <c r="D118" s="27">
        <v>0.44899057000056436</v>
      </c>
      <c r="E118" s="27">
        <v>0.57729126175607826</v>
      </c>
      <c r="F118" s="27">
        <v>0.31243140959464549</v>
      </c>
      <c r="G118" s="27">
        <v>0.6305654367587461</v>
      </c>
      <c r="H118" s="27">
        <v>0.28820198055409063</v>
      </c>
      <c r="I118" s="27">
        <v>0.64127797883680204</v>
      </c>
      <c r="J118" s="27">
        <v>0.42214795976436237</v>
      </c>
      <c r="K118" s="27">
        <v>0.68305534578354332</v>
      </c>
      <c r="L118" s="27">
        <v>0.64655634997894984</v>
      </c>
      <c r="M118" s="27">
        <v>0.21335059850180557</v>
      </c>
      <c r="O118" s="56" t="s">
        <v>65</v>
      </c>
      <c r="P118" s="56">
        <v>22481327.745405007</v>
      </c>
      <c r="Q118" s="56">
        <v>14282949.363786981</v>
      </c>
      <c r="R118" s="56">
        <v>3490965.1701794644</v>
      </c>
      <c r="S118" s="56">
        <v>18176070.985767551</v>
      </c>
      <c r="T118" s="56">
        <v>2275639.0376104089</v>
      </c>
      <c r="U118" s="56">
        <v>11579958.481483199</v>
      </c>
      <c r="V118" s="56">
        <v>36177893.169061214</v>
      </c>
      <c r="W118" s="56">
        <v>43704191.306379221</v>
      </c>
      <c r="X118" s="56">
        <v>42171600.849142797</v>
      </c>
      <c r="Y118" s="56">
        <v>8871536.5949740522</v>
      </c>
      <c r="Z118" s="56">
        <v>203212132.70378989</v>
      </c>
    </row>
    <row r="119" spans="2:26">
      <c r="B119" s="56" t="s">
        <v>66</v>
      </c>
      <c r="C119" s="27">
        <v>2.5058215707267184E-2</v>
      </c>
      <c r="D119" s="27">
        <v>2.3370400300899475E-2</v>
      </c>
      <c r="E119" s="27">
        <v>7.6520260886603714E-2</v>
      </c>
      <c r="F119" s="27">
        <v>1.9078304668264143E-2</v>
      </c>
      <c r="G119" s="27">
        <v>8.1693897045410392E-4</v>
      </c>
      <c r="H119" s="27">
        <v>0.11121516250857662</v>
      </c>
      <c r="I119" s="27">
        <v>1.4220356141542073E-2</v>
      </c>
      <c r="J119" s="27">
        <v>3.0367123799442994E-2</v>
      </c>
      <c r="K119" s="27">
        <v>6.9131650780897887E-3</v>
      </c>
      <c r="L119" s="27">
        <v>1.2990164662232184E-2</v>
      </c>
      <c r="M119" s="27">
        <v>3.9136535561362103E-2</v>
      </c>
      <c r="O119" s="56" t="s">
        <v>66</v>
      </c>
      <c r="P119" s="56">
        <v>1170175.1970095329</v>
      </c>
      <c r="Q119" s="56">
        <v>1893212.4630165042</v>
      </c>
      <c r="R119" s="56">
        <v>213172.21975022525</v>
      </c>
      <c r="S119" s="56">
        <v>23548.294677138751</v>
      </c>
      <c r="T119" s="56">
        <v>878153.45644789084</v>
      </c>
      <c r="U119" s="56">
        <v>256785.88559933813</v>
      </c>
      <c r="V119" s="56">
        <v>2602449.0590482536</v>
      </c>
      <c r="W119" s="56">
        <v>442327.68394314119</v>
      </c>
      <c r="X119" s="56">
        <v>847282.74514376197</v>
      </c>
      <c r="Y119" s="56">
        <v>1627373.955691945</v>
      </c>
      <c r="Z119" s="56">
        <v>9954480.9603277314</v>
      </c>
    </row>
    <row r="120" spans="2:26">
      <c r="B120" s="56" t="s">
        <v>152</v>
      </c>
      <c r="C120" s="27">
        <v>5.2517342190710496E-3</v>
      </c>
      <c r="D120" s="27">
        <v>2.3421700118688607E-3</v>
      </c>
      <c r="E120" s="27">
        <v>2.0002614263563883E-3</v>
      </c>
      <c r="F120" s="27">
        <v>2.757651101891365E-3</v>
      </c>
      <c r="G120" s="27">
        <v>5.2261822539794566E-3</v>
      </c>
      <c r="H120" s="27">
        <v>3.214462796006462E-2</v>
      </c>
      <c r="I120" s="27">
        <v>3.2212421497770389E-3</v>
      </c>
      <c r="J120" s="27">
        <v>4.7868504720902207E-3</v>
      </c>
      <c r="K120" s="27">
        <v>7.4845452389785537E-5</v>
      </c>
      <c r="L120" s="27">
        <v>1.3685183590638127E-2</v>
      </c>
      <c r="M120" s="27">
        <v>2.8482439364600647E-3</v>
      </c>
      <c r="O120" s="56" t="s">
        <v>152</v>
      </c>
      <c r="P120" s="56">
        <v>117274.38211501148</v>
      </c>
      <c r="Q120" s="56">
        <v>49489.113311845147</v>
      </c>
      <c r="R120" s="56">
        <v>30812.72769821656</v>
      </c>
      <c r="S120" s="56">
        <v>150644.88805661089</v>
      </c>
      <c r="T120" s="56">
        <v>253813.55844519314</v>
      </c>
      <c r="U120" s="56">
        <v>58167.988897549047</v>
      </c>
      <c r="V120" s="56">
        <v>410230.96520996117</v>
      </c>
      <c r="W120" s="56">
        <v>4788.8651920341854</v>
      </c>
      <c r="X120" s="56">
        <v>892615.31489160936</v>
      </c>
      <c r="Y120" s="56">
        <v>118435.57267313957</v>
      </c>
      <c r="Z120" s="56">
        <v>2086273.3764911706</v>
      </c>
    </row>
    <row r="121" spans="2:26">
      <c r="B121" s="56" t="s">
        <v>153</v>
      </c>
      <c r="C121" s="27">
        <v>1.4291776739908826E-2</v>
      </c>
      <c r="D121" s="27">
        <v>1.3292451239040199E-2</v>
      </c>
      <c r="E121" s="27">
        <v>9.0773415316826301E-4</v>
      </c>
      <c r="F121" s="27">
        <v>8.6975171386708978E-3</v>
      </c>
      <c r="G121" s="27">
        <v>0</v>
      </c>
      <c r="H121" s="27">
        <v>0</v>
      </c>
      <c r="I121" s="27">
        <v>1.5108295405687115E-3</v>
      </c>
      <c r="J121" s="27">
        <v>4.193323673836883E-2</v>
      </c>
      <c r="K121" s="27">
        <v>2.2871527023075621E-3</v>
      </c>
      <c r="L121" s="27">
        <v>5.4520456292003472E-3</v>
      </c>
      <c r="M121" s="27">
        <v>1.8502554596571932E-2</v>
      </c>
      <c r="O121" s="56" t="s">
        <v>153</v>
      </c>
      <c r="P121" s="56">
        <v>665563.9846607513</v>
      </c>
      <c r="Q121" s="56">
        <v>22458.543553982432</v>
      </c>
      <c r="R121" s="56">
        <v>97182.064497075509</v>
      </c>
      <c r="S121" s="56"/>
      <c r="T121" s="56"/>
      <c r="U121" s="56">
        <v>27281.996154176974</v>
      </c>
      <c r="V121" s="56">
        <v>3593659.8149152775</v>
      </c>
      <c r="W121" s="56">
        <v>146339.765680171</v>
      </c>
      <c r="X121" s="56">
        <v>355609.36350472202</v>
      </c>
      <c r="Y121" s="56">
        <v>769372.53214503685</v>
      </c>
      <c r="Z121" s="56">
        <v>5677468.0651111938</v>
      </c>
    </row>
    <row r="122" spans="2:26">
      <c r="B122" s="56" t="s">
        <v>62</v>
      </c>
      <c r="C122" s="27">
        <v>1</v>
      </c>
      <c r="D122" s="27">
        <v>1</v>
      </c>
      <c r="E122" s="27">
        <v>1</v>
      </c>
      <c r="F122" s="27">
        <v>1</v>
      </c>
      <c r="G122" s="27">
        <v>1</v>
      </c>
      <c r="H122" s="27">
        <v>1</v>
      </c>
      <c r="I122" s="27">
        <v>1</v>
      </c>
      <c r="J122" s="27">
        <v>1</v>
      </c>
      <c r="K122" s="27">
        <v>1</v>
      </c>
      <c r="L122" s="27">
        <v>1</v>
      </c>
      <c r="M122" s="27">
        <v>1</v>
      </c>
      <c r="O122" s="56" t="s">
        <v>62</v>
      </c>
      <c r="P122" s="56">
        <v>50070823.860235527</v>
      </c>
      <c r="Q122" s="56">
        <v>24741322.639007702</v>
      </c>
      <c r="R122" s="56">
        <v>11173541.017238662</v>
      </c>
      <c r="S122" s="56">
        <v>28825035.319406036</v>
      </c>
      <c r="T122" s="56">
        <v>7895986.8118717177</v>
      </c>
      <c r="U122" s="56">
        <v>18057626.900720641</v>
      </c>
      <c r="V122" s="56">
        <v>85699557.068226159</v>
      </c>
      <c r="W122" s="56">
        <v>63983382.278116085</v>
      </c>
      <c r="X122" s="56">
        <v>65224942.652741395</v>
      </c>
      <c r="Y122" s="56">
        <v>41581962.54086896</v>
      </c>
      <c r="Z122" s="59">
        <v>397254181.08843291</v>
      </c>
    </row>
    <row r="129" spans="2:12">
      <c r="B129" s="57" t="s">
        <v>145</v>
      </c>
      <c r="C129" s="57" t="s">
        <v>146</v>
      </c>
      <c r="D129" s="57"/>
      <c r="E129" s="57"/>
      <c r="F129" s="57"/>
      <c r="G129" s="57"/>
      <c r="H129" s="57"/>
      <c r="I129" s="57"/>
      <c r="J129" s="57"/>
      <c r="K129" s="57"/>
      <c r="L129" s="57"/>
    </row>
    <row r="130" spans="2:12">
      <c r="B130" s="57" t="s">
        <v>147</v>
      </c>
      <c r="C130" s="57" t="s">
        <v>148</v>
      </c>
      <c r="D130" s="57"/>
      <c r="E130" s="57"/>
      <c r="F130" s="57"/>
      <c r="G130" s="57"/>
      <c r="H130" s="57"/>
      <c r="I130" s="57"/>
      <c r="J130" s="57"/>
      <c r="K130" s="57"/>
      <c r="L130" s="57"/>
    </row>
    <row r="131" spans="2:12"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</row>
    <row r="132" spans="2:12">
      <c r="B132" s="57" t="s">
        <v>149</v>
      </c>
      <c r="C132" s="57" t="s">
        <v>58</v>
      </c>
      <c r="D132" s="57"/>
      <c r="E132" s="57"/>
      <c r="F132" s="57"/>
      <c r="G132" s="57"/>
      <c r="H132" s="57"/>
      <c r="I132" s="57"/>
      <c r="J132" s="57"/>
      <c r="K132" s="57"/>
      <c r="L132" s="57"/>
    </row>
    <row r="133" spans="2:12" ht="38.25">
      <c r="B133" s="57" t="s">
        <v>59</v>
      </c>
      <c r="C133" s="58" t="s">
        <v>41</v>
      </c>
      <c r="D133" s="58" t="s">
        <v>63</v>
      </c>
      <c r="E133" s="58" t="s">
        <v>150</v>
      </c>
      <c r="F133" s="58" t="s">
        <v>151</v>
      </c>
      <c r="G133" s="58" t="s">
        <v>33</v>
      </c>
      <c r="H133" s="58" t="s">
        <v>65</v>
      </c>
      <c r="I133" s="58" t="s">
        <v>66</v>
      </c>
      <c r="J133" s="58" t="s">
        <v>152</v>
      </c>
      <c r="K133" s="58" t="s">
        <v>153</v>
      </c>
      <c r="L133" s="58" t="s">
        <v>62</v>
      </c>
    </row>
    <row r="134" spans="2:12">
      <c r="B134" s="56" t="s">
        <v>154</v>
      </c>
      <c r="C134" s="27">
        <v>0.11980651891230223</v>
      </c>
      <c r="D134" s="27">
        <v>8.8396779460587615E-3</v>
      </c>
      <c r="E134" s="27">
        <v>1.6817763547891676E-2</v>
      </c>
      <c r="F134" s="27">
        <v>8.7304822014039885E-2</v>
      </c>
      <c r="G134" s="27">
        <v>4.6969610754770588E-2</v>
      </c>
      <c r="H134" s="27">
        <v>0.6631838818177106</v>
      </c>
      <c r="I134" s="27">
        <v>5.1588661843264626E-2</v>
      </c>
      <c r="J134" s="27">
        <v>2.9259726283251972E-3</v>
      </c>
      <c r="K134" s="27">
        <v>2.563090535636291E-3</v>
      </c>
      <c r="L134" s="27">
        <v>1</v>
      </c>
    </row>
    <row r="135" spans="2:12">
      <c r="B135" s="56" t="s">
        <v>155</v>
      </c>
      <c r="C135" s="27">
        <v>5.1408996086585577E-2</v>
      </c>
      <c r="D135" s="27">
        <v>0</v>
      </c>
      <c r="E135" s="27">
        <v>0.3432136705331571</v>
      </c>
      <c r="F135" s="27">
        <v>0.2350886284370472</v>
      </c>
      <c r="G135" s="27">
        <v>0.36763770643065041</v>
      </c>
      <c r="H135" s="27">
        <v>0</v>
      </c>
      <c r="I135" s="27">
        <v>2.6509985125595962E-3</v>
      </c>
      <c r="J135" s="27">
        <v>0</v>
      </c>
      <c r="K135" s="27">
        <v>0</v>
      </c>
      <c r="L135" s="27">
        <v>1</v>
      </c>
    </row>
    <row r="136" spans="2:12">
      <c r="B136" s="56" t="s">
        <v>156</v>
      </c>
      <c r="C136" s="27">
        <v>0</v>
      </c>
      <c r="D136" s="27">
        <v>0.16907332222786745</v>
      </c>
      <c r="E136" s="27">
        <v>7.7715474808080887E-2</v>
      </c>
      <c r="F136" s="27">
        <v>0.75321120296405164</v>
      </c>
      <c r="G136" s="27">
        <v>0</v>
      </c>
      <c r="H136" s="27">
        <v>0</v>
      </c>
      <c r="I136" s="27">
        <v>0</v>
      </c>
      <c r="J136" s="27">
        <v>0</v>
      </c>
      <c r="K136" s="27">
        <v>0</v>
      </c>
      <c r="L136" s="27">
        <v>1</v>
      </c>
    </row>
    <row r="137" spans="2:12">
      <c r="B137" s="56" t="s">
        <v>9</v>
      </c>
      <c r="C137" s="27">
        <v>0.35678114852576076</v>
      </c>
      <c r="D137" s="27">
        <v>0</v>
      </c>
      <c r="E137" s="27">
        <v>0</v>
      </c>
      <c r="F137" s="27">
        <v>0</v>
      </c>
      <c r="G137" s="27">
        <v>8.7075289937907294E-2</v>
      </c>
      <c r="H137" s="27">
        <v>0.51154183487008476</v>
      </c>
      <c r="I137" s="27">
        <v>2.505821570726716E-2</v>
      </c>
      <c r="J137" s="27">
        <v>5.2517342190710505E-3</v>
      </c>
      <c r="K137" s="27">
        <v>1.4291776739908828E-2</v>
      </c>
      <c r="L137" s="27">
        <v>1</v>
      </c>
    </row>
    <row r="138" spans="2:12">
      <c r="B138" s="56" t="s">
        <v>157</v>
      </c>
      <c r="C138" s="27">
        <v>0.52296368348697275</v>
      </c>
      <c r="D138" s="27">
        <v>0</v>
      </c>
      <c r="E138" s="27">
        <v>0</v>
      </c>
      <c r="F138" s="27">
        <v>0</v>
      </c>
      <c r="G138" s="27">
        <v>3.3329319693301579E-2</v>
      </c>
      <c r="H138" s="27">
        <v>0.42541353714825408</v>
      </c>
      <c r="I138" s="27">
        <v>1.8293459671471467E-2</v>
      </c>
      <c r="J138" s="27">
        <v>0</v>
      </c>
      <c r="K138" s="27">
        <v>0</v>
      </c>
      <c r="L138" s="27">
        <v>1</v>
      </c>
    </row>
    <row r="139" spans="2:12">
      <c r="B139" s="56" t="s">
        <v>62</v>
      </c>
      <c r="C139" s="27">
        <v>9.1689766827744032E-2</v>
      </c>
      <c r="D139" s="27">
        <v>0.11149717517130019</v>
      </c>
      <c r="E139" s="27">
        <v>8.7749643972962962E-2</v>
      </c>
      <c r="F139" s="27">
        <v>0.5232249425573221</v>
      </c>
      <c r="G139" s="27">
        <v>5.4272336674967232E-2</v>
      </c>
      <c r="H139" s="27">
        <v>0.12189333119328506</v>
      </c>
      <c r="I139" s="27">
        <v>6.8226665002154869E-3</v>
      </c>
      <c r="J139" s="27">
        <v>8.2184198619044975E-4</v>
      </c>
      <c r="K139" s="27">
        <v>2.0282951160123901E-3</v>
      </c>
      <c r="L139" s="27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5"/>
  <dimension ref="A1:AM131"/>
  <sheetViews>
    <sheetView topLeftCell="Q1" workbookViewId="0">
      <selection activeCell="AK16" sqref="AK16:AL16"/>
    </sheetView>
  </sheetViews>
  <sheetFormatPr defaultRowHeight="12.75"/>
  <cols>
    <col min="2" max="2" width="17.85546875" customWidth="1"/>
    <col min="3" max="3" width="16.5703125" bestFit="1" customWidth="1"/>
    <col min="4" max="4" width="18.7109375" customWidth="1"/>
    <col min="5" max="5" width="11.7109375" customWidth="1"/>
    <col min="6" max="6" width="10.85546875" customWidth="1"/>
    <col min="7" max="7" width="13.140625" customWidth="1"/>
    <col min="8" max="8" width="16.42578125" customWidth="1"/>
    <col min="9" max="9" width="11" customWidth="1"/>
    <col min="13" max="13" width="19.85546875" customWidth="1"/>
    <col min="14" max="15" width="17.7109375" customWidth="1"/>
    <col min="32" max="32" width="26" customWidth="1"/>
    <col min="33" max="33" width="12.85546875" customWidth="1"/>
    <col min="34" max="38" width="9.7109375" bestFit="1" customWidth="1"/>
  </cols>
  <sheetData>
    <row r="1" spans="1:39">
      <c r="A1" s="441" t="s">
        <v>622</v>
      </c>
      <c r="B1" s="326"/>
      <c r="C1" s="326"/>
      <c r="D1" s="326"/>
      <c r="E1" s="326"/>
      <c r="F1" s="326"/>
      <c r="G1" s="326"/>
      <c r="H1" s="326"/>
      <c r="I1" s="326"/>
      <c r="J1" s="326"/>
    </row>
    <row r="2" spans="1:39">
      <c r="A2" s="326"/>
      <c r="B2" s="326"/>
      <c r="C2" s="326"/>
      <c r="D2" s="326"/>
      <c r="E2" s="326"/>
      <c r="F2" s="326"/>
      <c r="G2" s="326"/>
      <c r="H2" s="326"/>
      <c r="I2" s="326"/>
      <c r="J2" s="326"/>
    </row>
    <row r="3" spans="1:39">
      <c r="A3" s="323" t="s">
        <v>418</v>
      </c>
      <c r="B3" s="322"/>
      <c r="C3" s="322"/>
      <c r="D3" s="322"/>
      <c r="E3" s="322"/>
      <c r="F3" s="310"/>
      <c r="G3" s="310"/>
      <c r="H3" s="310"/>
      <c r="I3" s="310"/>
      <c r="J3" s="310"/>
      <c r="L3" s="423" t="s">
        <v>623</v>
      </c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</row>
    <row r="4" spans="1:39" ht="33.75" customHeight="1">
      <c r="A4" s="310"/>
      <c r="B4" s="435" t="s">
        <v>187</v>
      </c>
      <c r="C4" s="310"/>
      <c r="D4" s="310"/>
      <c r="E4" s="310"/>
      <c r="F4" s="310"/>
      <c r="G4" s="310"/>
      <c r="H4" s="310"/>
      <c r="I4" s="310"/>
      <c r="J4" s="310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  <c r="AA4" s="406"/>
      <c r="AB4" s="406"/>
      <c r="AC4" s="406"/>
      <c r="AD4" s="406"/>
      <c r="AE4" s="406"/>
      <c r="AF4" s="406"/>
      <c r="AG4" s="406"/>
      <c r="AH4" s="406"/>
      <c r="AI4" s="406"/>
      <c r="AJ4" s="406"/>
      <c r="AK4" s="406"/>
      <c r="AL4" s="406"/>
      <c r="AM4" s="406"/>
    </row>
    <row r="5" spans="1:39">
      <c r="A5" s="310"/>
      <c r="B5" s="310"/>
      <c r="C5" s="310" t="s">
        <v>183</v>
      </c>
      <c r="D5" s="310"/>
      <c r="E5" s="310"/>
      <c r="F5" s="310"/>
      <c r="G5" s="310"/>
      <c r="H5" s="310"/>
      <c r="I5" s="310"/>
      <c r="J5" s="310"/>
      <c r="L5" s="406"/>
      <c r="M5" s="326" t="s">
        <v>593</v>
      </c>
      <c r="N5" s="326"/>
      <c r="O5" s="326"/>
      <c r="P5" s="326"/>
      <c r="Q5" s="326"/>
      <c r="R5" s="326"/>
      <c r="S5" s="326"/>
      <c r="T5" s="326"/>
      <c r="U5" s="406"/>
      <c r="V5" s="406"/>
      <c r="W5" s="406" t="s">
        <v>477</v>
      </c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</row>
    <row r="6" spans="1:39" ht="39">
      <c r="A6" s="310"/>
      <c r="B6" s="310" t="s">
        <v>59</v>
      </c>
      <c r="C6" s="436" t="s">
        <v>184</v>
      </c>
      <c r="D6" s="436" t="s">
        <v>185</v>
      </c>
      <c r="E6" s="436" t="s">
        <v>186</v>
      </c>
      <c r="F6" s="310"/>
      <c r="G6" s="310"/>
      <c r="H6" s="310"/>
      <c r="I6" s="436" t="s">
        <v>193</v>
      </c>
      <c r="J6" s="310"/>
      <c r="L6" s="406"/>
      <c r="M6" s="412" t="s">
        <v>178</v>
      </c>
      <c r="N6" s="412"/>
      <c r="O6" s="412"/>
      <c r="P6" s="412"/>
      <c r="Q6" s="412"/>
      <c r="R6" s="412"/>
      <c r="S6" s="326"/>
      <c r="T6" s="32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 t="s">
        <v>712</v>
      </c>
      <c r="AG6" s="548"/>
      <c r="AH6" s="548"/>
      <c r="AI6" s="548"/>
      <c r="AJ6" s="548"/>
      <c r="AK6" s="406" t="s">
        <v>713</v>
      </c>
      <c r="AL6" s="406"/>
      <c r="AM6" s="406"/>
    </row>
    <row r="7" spans="1:39" ht="15">
      <c r="A7" s="310"/>
      <c r="B7" s="310" t="s">
        <v>10</v>
      </c>
      <c r="C7" s="437">
        <v>368872051.99999982</v>
      </c>
      <c r="D7" s="437">
        <v>1094761606841.2856</v>
      </c>
      <c r="E7" s="438">
        <v>2967.8627071516012</v>
      </c>
      <c r="F7" s="310"/>
      <c r="G7" s="310"/>
      <c r="H7" s="310" t="str">
        <f t="shared" ref="H7:H17" si="0">B7</f>
        <v>Assembly</v>
      </c>
      <c r="I7" s="310">
        <v>3000</v>
      </c>
      <c r="J7" s="310"/>
      <c r="L7" s="406"/>
      <c r="M7" s="412" t="s">
        <v>169</v>
      </c>
      <c r="N7" s="412" t="s">
        <v>358</v>
      </c>
      <c r="O7" s="412"/>
      <c r="P7" s="412"/>
      <c r="Q7" s="412"/>
      <c r="R7" s="412"/>
      <c r="S7" s="326"/>
      <c r="T7" s="32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326"/>
      <c r="AG7" s="326" t="s">
        <v>709</v>
      </c>
      <c r="AH7" s="326"/>
      <c r="AI7" s="326"/>
      <c r="AJ7" s="326"/>
      <c r="AK7" s="326"/>
      <c r="AL7" s="326"/>
      <c r="AM7" s="406"/>
    </row>
    <row r="8" spans="1:39" ht="15">
      <c r="A8" s="310"/>
      <c r="B8" s="310" t="s">
        <v>28</v>
      </c>
      <c r="C8" s="437">
        <v>77120838</v>
      </c>
      <c r="D8" s="437">
        <v>553801118359.5459</v>
      </c>
      <c r="E8" s="438">
        <v>7180.9530695134035</v>
      </c>
      <c r="F8" s="310"/>
      <c r="G8" s="310"/>
      <c r="H8" s="310" t="str">
        <f t="shared" si="0"/>
        <v>Grocery</v>
      </c>
      <c r="I8" s="310">
        <v>7200</v>
      </c>
      <c r="J8" s="310"/>
      <c r="L8" s="406"/>
      <c r="M8" s="412"/>
      <c r="N8" s="412"/>
      <c r="O8" s="412"/>
      <c r="P8" s="412"/>
      <c r="Q8" s="412"/>
      <c r="R8" s="412"/>
      <c r="S8" s="326"/>
      <c r="T8" s="32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326"/>
      <c r="AG8" s="326" t="s">
        <v>710</v>
      </c>
      <c r="AH8" s="326"/>
      <c r="AI8" s="326"/>
      <c r="AJ8" s="326"/>
      <c r="AK8" s="326"/>
      <c r="AL8" s="326"/>
      <c r="AM8" s="406"/>
    </row>
    <row r="9" spans="1:39" ht="15">
      <c r="A9" s="310"/>
      <c r="B9" s="310" t="s">
        <v>13</v>
      </c>
      <c r="C9" s="437">
        <v>171040928</v>
      </c>
      <c r="D9" s="437">
        <v>500136070929.47839</v>
      </c>
      <c r="E9" s="438">
        <v>2924.0724824030326</v>
      </c>
      <c r="F9" s="310"/>
      <c r="G9" s="310"/>
      <c r="H9" s="310" t="str">
        <f t="shared" si="0"/>
        <v>Lodging</v>
      </c>
      <c r="I9" s="310">
        <v>3000</v>
      </c>
      <c r="J9" s="310"/>
      <c r="L9" s="406"/>
      <c r="M9" s="412"/>
      <c r="N9" s="412" t="s">
        <v>183</v>
      </c>
      <c r="O9" s="412"/>
      <c r="P9" s="412" t="s">
        <v>594</v>
      </c>
      <c r="Q9" s="412" t="s">
        <v>595</v>
      </c>
      <c r="R9" s="412"/>
      <c r="S9" s="326"/>
      <c r="T9" s="326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406"/>
      <c r="AF9" s="326" t="s">
        <v>711</v>
      </c>
      <c r="AG9" s="326">
        <v>2010</v>
      </c>
      <c r="AH9" s="326">
        <v>2011</v>
      </c>
      <c r="AI9" s="326">
        <v>2012</v>
      </c>
      <c r="AJ9" s="326">
        <v>2013</v>
      </c>
      <c r="AK9" s="550">
        <v>2014</v>
      </c>
      <c r="AL9" s="550">
        <v>2015</v>
      </c>
      <c r="AM9" s="406"/>
    </row>
    <row r="10" spans="1:39" ht="30">
      <c r="A10" s="310"/>
      <c r="B10" s="310" t="s">
        <v>31</v>
      </c>
      <c r="C10" s="437">
        <v>734358126.00000012</v>
      </c>
      <c r="D10" s="437">
        <v>2200819763871.9766</v>
      </c>
      <c r="E10" s="438">
        <v>2996.929816600104</v>
      </c>
      <c r="F10" s="310"/>
      <c r="G10" s="310"/>
      <c r="H10" s="310" t="str">
        <f t="shared" si="0"/>
        <v>Office</v>
      </c>
      <c r="I10" s="310">
        <v>3000</v>
      </c>
      <c r="J10" s="310"/>
      <c r="L10" s="406"/>
      <c r="M10" s="413" t="s">
        <v>59</v>
      </c>
      <c r="N10" s="413" t="s">
        <v>326</v>
      </c>
      <c r="O10" s="413" t="s">
        <v>359</v>
      </c>
      <c r="P10" s="414" t="s">
        <v>178</v>
      </c>
      <c r="Q10" s="415" t="s">
        <v>171</v>
      </c>
      <c r="R10" s="412"/>
      <c r="S10" s="414" t="s">
        <v>596</v>
      </c>
      <c r="T10" s="414" t="s">
        <v>597</v>
      </c>
      <c r="U10" s="406"/>
      <c r="V10" s="406"/>
      <c r="W10" s="406"/>
      <c r="X10" s="406"/>
      <c r="Y10" s="406"/>
      <c r="Z10" s="406"/>
      <c r="AA10" s="406"/>
      <c r="AB10" s="406"/>
      <c r="AC10" s="406"/>
      <c r="AD10" s="406"/>
      <c r="AE10" s="406"/>
      <c r="AF10" s="326" t="s">
        <v>530</v>
      </c>
      <c r="AG10" s="549"/>
      <c r="AH10" s="549"/>
      <c r="AI10" s="549"/>
      <c r="AJ10" s="549"/>
      <c r="AK10" s="550"/>
      <c r="AL10" s="550"/>
      <c r="AM10" s="406"/>
    </row>
    <row r="11" spans="1:39" ht="15">
      <c r="A11" s="310"/>
      <c r="B11" s="310" t="s">
        <v>9</v>
      </c>
      <c r="C11" s="437">
        <v>333434465.00000012</v>
      </c>
      <c r="D11" s="437">
        <v>1316497419035.1892</v>
      </c>
      <c r="E11" s="438">
        <v>3948.2943643368981</v>
      </c>
      <c r="F11" s="310"/>
      <c r="G11" s="310"/>
      <c r="H11" s="310" t="str">
        <f t="shared" si="0"/>
        <v>Other</v>
      </c>
      <c r="I11" s="310">
        <v>4000</v>
      </c>
      <c r="J11" s="310"/>
      <c r="L11" s="406"/>
      <c r="M11" s="416" t="s">
        <v>10</v>
      </c>
      <c r="N11" s="417">
        <v>202964358.99999991</v>
      </c>
      <c r="O11" s="417">
        <v>201539246.50043008</v>
      </c>
      <c r="P11" s="418">
        <v>0.99297850860815506</v>
      </c>
      <c r="Q11" s="418">
        <v>1.0316841871229478</v>
      </c>
      <c r="R11" s="412"/>
      <c r="S11" s="417">
        <v>67</v>
      </c>
      <c r="T11" s="417">
        <v>38</v>
      </c>
      <c r="U11" s="406"/>
      <c r="V11" s="406"/>
      <c r="W11" s="406"/>
      <c r="X11" s="406"/>
      <c r="Y11" s="406"/>
      <c r="Z11" s="406"/>
      <c r="AA11" s="406"/>
      <c r="AB11" s="406"/>
      <c r="AC11" s="406"/>
      <c r="AD11" s="406"/>
      <c r="AE11" s="406"/>
      <c r="AF11" s="326" t="s">
        <v>716</v>
      </c>
      <c r="AG11" s="549">
        <v>41.098997040433119</v>
      </c>
      <c r="AH11" s="549">
        <v>43.678347568857717</v>
      </c>
      <c r="AI11" s="549">
        <v>37.503847974990492</v>
      </c>
      <c r="AJ11" s="549">
        <v>37.434184123781336</v>
      </c>
      <c r="AK11" s="550">
        <v>35</v>
      </c>
      <c r="AL11" s="550">
        <v>35</v>
      </c>
      <c r="AM11" s="406"/>
    </row>
    <row r="12" spans="1:39" ht="15">
      <c r="A12" s="310"/>
      <c r="B12" s="310" t="s">
        <v>158</v>
      </c>
      <c r="C12" s="437">
        <v>125160635.99999996</v>
      </c>
      <c r="D12" s="437">
        <v>714226258461.03345</v>
      </c>
      <c r="E12" s="438">
        <v>5706.4767429036847</v>
      </c>
      <c r="F12" s="310"/>
      <c r="G12" s="310"/>
      <c r="H12" s="310" t="str">
        <f t="shared" si="0"/>
        <v>Residential Care</v>
      </c>
      <c r="I12" s="310">
        <v>5700</v>
      </c>
      <c r="J12" s="310"/>
      <c r="L12" s="406"/>
      <c r="M12" s="416" t="s">
        <v>28</v>
      </c>
      <c r="N12" s="417">
        <v>50939923.999999993</v>
      </c>
      <c r="O12" s="417">
        <v>58685961.483112872</v>
      </c>
      <c r="P12" s="418">
        <v>1.1520622112257741</v>
      </c>
      <c r="Q12" s="418">
        <v>1.1420358232893224</v>
      </c>
      <c r="R12" s="412"/>
      <c r="S12" s="417">
        <v>53</v>
      </c>
      <c r="T12" s="417">
        <v>21</v>
      </c>
      <c r="U12" s="406"/>
      <c r="V12" s="406"/>
      <c r="W12" s="406"/>
      <c r="X12" s="406"/>
      <c r="Y12" s="406"/>
      <c r="Z12" s="406"/>
      <c r="AA12" s="406"/>
      <c r="AB12" s="406"/>
      <c r="AC12" s="406"/>
      <c r="AD12" s="406"/>
      <c r="AE12" s="406"/>
      <c r="AF12" s="406" t="s">
        <v>714</v>
      </c>
      <c r="AG12" s="548">
        <f t="shared" ref="AG12:AH12" si="1">AH12-0.044</f>
        <v>3.2170000000000001</v>
      </c>
      <c r="AH12" s="548">
        <f t="shared" si="1"/>
        <v>3.2610000000000001</v>
      </c>
      <c r="AI12" s="548">
        <f>AJ12-0.044</f>
        <v>3.3050000000000002</v>
      </c>
      <c r="AJ12" s="548">
        <v>3.3490000000000002</v>
      </c>
      <c r="AK12" s="548">
        <v>3.36</v>
      </c>
      <c r="AL12" s="548">
        <v>3.371</v>
      </c>
      <c r="AM12" s="406"/>
    </row>
    <row r="13" spans="1:39" ht="15">
      <c r="A13" s="310"/>
      <c r="B13" s="310" t="s">
        <v>14</v>
      </c>
      <c r="C13" s="437">
        <v>53036739.000000015</v>
      </c>
      <c r="D13" s="437">
        <v>286709637275.71747</v>
      </c>
      <c r="E13" s="438">
        <v>5405.868510801869</v>
      </c>
      <c r="F13" s="310"/>
      <c r="G13" s="310"/>
      <c r="H13" s="310" t="str">
        <f t="shared" si="0"/>
        <v>Restaurant</v>
      </c>
      <c r="I13" s="310">
        <v>5400</v>
      </c>
      <c r="J13" s="310"/>
      <c r="L13" s="406"/>
      <c r="M13" s="416" t="s">
        <v>13</v>
      </c>
      <c r="N13" s="417">
        <v>99556760.000000015</v>
      </c>
      <c r="O13" s="417">
        <v>82291196.774094</v>
      </c>
      <c r="P13" s="418">
        <v>0.82657568179291885</v>
      </c>
      <c r="Q13" s="418">
        <v>0.93423090425310751</v>
      </c>
      <c r="R13" s="412"/>
      <c r="S13" s="417">
        <v>47</v>
      </c>
      <c r="T13" s="417">
        <v>25</v>
      </c>
      <c r="U13" s="406"/>
      <c r="V13" s="406"/>
      <c r="W13" s="406"/>
      <c r="X13" s="406"/>
      <c r="Y13" s="406"/>
      <c r="Z13" s="406"/>
      <c r="AA13" s="406"/>
      <c r="AB13" s="406"/>
      <c r="AC13" s="406"/>
      <c r="AD13" s="406"/>
      <c r="AE13" s="406"/>
      <c r="AF13" s="406" t="s">
        <v>717</v>
      </c>
      <c r="AG13" s="551">
        <f>AG11*8760*1000</f>
        <v>360027214.07419413</v>
      </c>
      <c r="AH13" s="551">
        <f t="shared" ref="AH13:AL13" si="2">AH11*8760*1000</f>
        <v>382622324.7031936</v>
      </c>
      <c r="AI13" s="551">
        <f t="shared" si="2"/>
        <v>328533708.26091671</v>
      </c>
      <c r="AJ13" s="551">
        <f t="shared" si="2"/>
        <v>327923452.92432451</v>
      </c>
      <c r="AK13" s="551">
        <f t="shared" si="2"/>
        <v>306600000</v>
      </c>
      <c r="AL13" s="551">
        <f t="shared" si="2"/>
        <v>306600000</v>
      </c>
      <c r="AM13" s="406"/>
    </row>
    <row r="14" spans="1:39" ht="15">
      <c r="A14" s="310"/>
      <c r="B14" s="310" t="s">
        <v>72</v>
      </c>
      <c r="C14" s="437">
        <v>570929487.99999964</v>
      </c>
      <c r="D14" s="437">
        <v>2412121091488.2314</v>
      </c>
      <c r="E14" s="438">
        <v>4224.9019225439497</v>
      </c>
      <c r="F14" s="310"/>
      <c r="G14" s="310"/>
      <c r="H14" s="310" t="str">
        <f t="shared" si="0"/>
        <v>Retail/Service</v>
      </c>
      <c r="I14" s="310">
        <v>4200</v>
      </c>
      <c r="J14" s="310"/>
      <c r="L14" s="406"/>
      <c r="M14" s="416" t="s">
        <v>31</v>
      </c>
      <c r="N14" s="417">
        <v>434884820</v>
      </c>
      <c r="O14" s="417">
        <v>474373924.8850016</v>
      </c>
      <c r="P14" s="419">
        <v>1.0908035945816679</v>
      </c>
      <c r="Q14" s="420">
        <v>0.79599950056040059</v>
      </c>
      <c r="R14" s="412" t="s">
        <v>360</v>
      </c>
      <c r="S14" s="417">
        <v>70</v>
      </c>
      <c r="T14" s="417">
        <v>47</v>
      </c>
      <c r="U14" s="406"/>
      <c r="V14" s="406"/>
      <c r="W14" s="406"/>
      <c r="X14" s="406"/>
      <c r="Y14" s="406"/>
      <c r="Z14" s="406"/>
      <c r="AA14" s="406"/>
      <c r="AB14" s="406"/>
      <c r="AC14" s="406"/>
      <c r="AD14" s="406"/>
      <c r="AE14" s="406"/>
      <c r="AF14" s="406" t="s">
        <v>715</v>
      </c>
      <c r="AG14" s="552">
        <f>AG13/(AG12*1000000000)</f>
        <v>0.11191396147783467</v>
      </c>
      <c r="AH14" s="552">
        <f t="shared" ref="AH14:AL14" si="3">AH13/(AH12*1000000000)</f>
        <v>0.11733281959619553</v>
      </c>
      <c r="AI14" s="552">
        <f t="shared" si="3"/>
        <v>9.9405055449596588E-2</v>
      </c>
      <c r="AJ14" s="552">
        <f t="shared" si="3"/>
        <v>9.7916826791377878E-2</v>
      </c>
      <c r="AK14" s="552">
        <f t="shared" si="3"/>
        <v>9.1249999999999998E-2</v>
      </c>
      <c r="AL14" s="552">
        <f t="shared" si="3"/>
        <v>9.0952239691486206E-2</v>
      </c>
      <c r="AM14" s="406"/>
    </row>
    <row r="15" spans="1:39" ht="15">
      <c r="A15" s="310"/>
      <c r="B15" s="310" t="s">
        <v>73</v>
      </c>
      <c r="C15" s="437">
        <v>245353160.99999994</v>
      </c>
      <c r="D15" s="437">
        <v>658429386690.96106</v>
      </c>
      <c r="E15" s="438">
        <v>2683.598548342979</v>
      </c>
      <c r="F15" s="310"/>
      <c r="G15" s="310"/>
      <c r="H15" s="310" t="str">
        <f t="shared" si="0"/>
        <v>School K-12</v>
      </c>
      <c r="I15" s="310">
        <v>2700</v>
      </c>
      <c r="J15" s="310"/>
      <c r="L15" s="406"/>
      <c r="M15" s="416" t="s">
        <v>9</v>
      </c>
      <c r="N15" s="417">
        <v>176220553.00000006</v>
      </c>
      <c r="O15" s="417">
        <v>146414672.70518047</v>
      </c>
      <c r="P15" s="418">
        <v>0.8308603634059667</v>
      </c>
      <c r="Q15" s="418">
        <v>0.86450049628517189</v>
      </c>
      <c r="R15" s="412"/>
      <c r="S15" s="417">
        <v>53</v>
      </c>
      <c r="T15" s="417">
        <v>28</v>
      </c>
      <c r="U15" s="406"/>
      <c r="V15" s="406"/>
      <c r="W15" s="406"/>
      <c r="X15" s="406"/>
      <c r="Y15" s="406"/>
      <c r="Z15" s="406"/>
      <c r="AA15" s="406"/>
      <c r="AB15" s="406"/>
      <c r="AC15" s="406"/>
      <c r="AD15" s="406"/>
      <c r="AE15" s="406"/>
      <c r="AF15" s="406" t="s">
        <v>6</v>
      </c>
      <c r="AG15" s="406">
        <v>3600</v>
      </c>
      <c r="AH15" s="406">
        <v>3601</v>
      </c>
      <c r="AI15" s="406">
        <v>3602</v>
      </c>
      <c r="AJ15" s="406">
        <v>3603</v>
      </c>
      <c r="AK15" s="406">
        <v>3604</v>
      </c>
      <c r="AL15" s="406">
        <v>3605</v>
      </c>
      <c r="AM15" s="406"/>
    </row>
    <row r="16" spans="1:39" ht="15">
      <c r="A16" s="310"/>
      <c r="B16" s="310" t="s">
        <v>16</v>
      </c>
      <c r="C16" s="437">
        <v>442224054.00000012</v>
      </c>
      <c r="D16" s="437">
        <v>1232186982703.9219</v>
      </c>
      <c r="E16" s="438">
        <v>2786.3409318388672</v>
      </c>
      <c r="F16" s="310"/>
      <c r="G16" s="310"/>
      <c r="H16" s="310" t="str">
        <f t="shared" si="0"/>
        <v>Warehouse</v>
      </c>
      <c r="I16" s="310">
        <v>2800</v>
      </c>
      <c r="J16" s="310"/>
      <c r="L16" s="406"/>
      <c r="M16" s="416" t="s">
        <v>158</v>
      </c>
      <c r="N16" s="417">
        <v>71193896</v>
      </c>
      <c r="O16" s="417">
        <v>82912286.295873582</v>
      </c>
      <c r="P16" s="418">
        <v>1.1645982444319887</v>
      </c>
      <c r="Q16" s="418">
        <v>0.97735070020613657</v>
      </c>
      <c r="R16" s="412"/>
      <c r="S16" s="417">
        <v>46</v>
      </c>
      <c r="T16" s="417">
        <v>24</v>
      </c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  <c r="AE16" s="406"/>
      <c r="AF16" s="406" t="s">
        <v>718</v>
      </c>
      <c r="AG16" s="553">
        <f>AG14/AG15*1000</f>
        <v>3.1087211521620743E-2</v>
      </c>
      <c r="AH16" s="553">
        <f t="shared" ref="AH16:AL16" si="4">AH14/AH15*1000</f>
        <v>3.258339894368107E-2</v>
      </c>
      <c r="AI16" s="553">
        <f t="shared" si="4"/>
        <v>2.7597183633980175E-2</v>
      </c>
      <c r="AJ16" s="553">
        <f t="shared" si="4"/>
        <v>2.7176471493582533E-2</v>
      </c>
      <c r="AK16" s="553">
        <f t="shared" si="4"/>
        <v>2.5319089900110985E-2</v>
      </c>
      <c r="AL16" s="553">
        <f t="shared" si="4"/>
        <v>2.5229470094725714E-2</v>
      </c>
      <c r="AM16" s="406"/>
    </row>
    <row r="17" spans="1:39" ht="15">
      <c r="A17" s="310"/>
      <c r="B17" s="310" t="s">
        <v>62</v>
      </c>
      <c r="C17" s="437">
        <v>3121530486.9999995</v>
      </c>
      <c r="D17" s="437">
        <v>10969689335657.34</v>
      </c>
      <c r="E17" s="438">
        <v>3514.2022098909397</v>
      </c>
      <c r="F17" s="310"/>
      <c r="G17" s="310"/>
      <c r="H17" s="310" t="str">
        <f t="shared" si="0"/>
        <v>Grand Total</v>
      </c>
      <c r="I17" s="310">
        <v>3600</v>
      </c>
      <c r="J17" s="310"/>
      <c r="L17" s="406"/>
      <c r="M17" s="416" t="s">
        <v>14</v>
      </c>
      <c r="N17" s="417">
        <v>36956808.000000007</v>
      </c>
      <c r="O17" s="417">
        <v>42521622.575505719</v>
      </c>
      <c r="P17" s="418">
        <v>1.1505761692272154</v>
      </c>
      <c r="Q17" s="418">
        <v>1.2284160756840987</v>
      </c>
      <c r="R17" s="412"/>
      <c r="S17" s="417">
        <v>24</v>
      </c>
      <c r="T17" s="417">
        <v>19</v>
      </c>
      <c r="U17" s="406"/>
      <c r="V17" s="406"/>
      <c r="W17" s="406"/>
      <c r="X17" s="406"/>
      <c r="Y17" s="406"/>
      <c r="Z17" s="406"/>
      <c r="AA17" s="406"/>
      <c r="AB17" s="406"/>
      <c r="AC17" s="406"/>
      <c r="AD17" s="406"/>
      <c r="AE17" s="406"/>
      <c r="AF17" s="406"/>
      <c r="AG17" s="406"/>
      <c r="AH17" s="406"/>
      <c r="AI17" s="406"/>
      <c r="AJ17" s="406"/>
      <c r="AK17" s="406"/>
      <c r="AL17" s="406"/>
      <c r="AM17" s="406"/>
    </row>
    <row r="18" spans="1:39" ht="15">
      <c r="A18" s="310"/>
      <c r="B18" s="310"/>
      <c r="C18" s="310"/>
      <c r="D18" s="310"/>
      <c r="E18" s="310"/>
      <c r="F18" s="310"/>
      <c r="G18" s="310"/>
      <c r="H18" s="310"/>
      <c r="I18" s="310"/>
      <c r="J18" s="310"/>
      <c r="L18" s="406"/>
      <c r="M18" s="416" t="s">
        <v>72</v>
      </c>
      <c r="N18" s="417">
        <v>361074607.9999997</v>
      </c>
      <c r="O18" s="417">
        <v>430763890.30067581</v>
      </c>
      <c r="P18" s="418">
        <v>1.1930052148687125</v>
      </c>
      <c r="Q18" s="418">
        <v>1.1931302657564764</v>
      </c>
      <c r="R18" s="412"/>
      <c r="S18" s="417">
        <v>82</v>
      </c>
      <c r="T18" s="417">
        <v>50</v>
      </c>
      <c r="U18" s="406"/>
      <c r="V18" s="406"/>
      <c r="W18" s="406"/>
      <c r="X18" s="406"/>
      <c r="Y18" s="406"/>
      <c r="Z18" s="406"/>
      <c r="AA18" s="406"/>
      <c r="AB18" s="406"/>
      <c r="AC18" s="406"/>
      <c r="AD18" s="406"/>
      <c r="AE18" s="406"/>
      <c r="AF18" s="406"/>
      <c r="AG18" s="406"/>
      <c r="AH18" s="406"/>
      <c r="AI18" s="406"/>
      <c r="AJ18" s="406"/>
      <c r="AK18" s="406"/>
      <c r="AL18" s="406"/>
      <c r="AM18" s="406"/>
    </row>
    <row r="19" spans="1:39" ht="15">
      <c r="A19" s="310"/>
      <c r="B19" s="310"/>
      <c r="C19" s="310"/>
      <c r="D19" s="310"/>
      <c r="E19" s="310"/>
      <c r="F19" s="310"/>
      <c r="G19" s="310"/>
      <c r="H19" s="310"/>
      <c r="I19" s="310"/>
      <c r="J19" s="310"/>
      <c r="L19" s="406"/>
      <c r="M19" s="416" t="s">
        <v>73</v>
      </c>
      <c r="N19" s="417">
        <v>131787451.99999994</v>
      </c>
      <c r="O19" s="417">
        <v>128143914.33689827</v>
      </c>
      <c r="P19" s="418">
        <v>0.97235292428977471</v>
      </c>
      <c r="Q19" s="418">
        <v>0.98067793139577475</v>
      </c>
      <c r="R19" s="412"/>
      <c r="S19" s="417">
        <v>52</v>
      </c>
      <c r="T19" s="417">
        <v>23</v>
      </c>
      <c r="U19" s="406"/>
      <c r="V19" s="406"/>
      <c r="W19" s="406"/>
      <c r="X19" s="406"/>
      <c r="Y19" s="406"/>
      <c r="Z19" s="406"/>
      <c r="AA19" s="406"/>
      <c r="AB19" s="406"/>
      <c r="AC19" s="406"/>
      <c r="AD19" s="406"/>
      <c r="AE19" s="406"/>
      <c r="AF19" s="406"/>
      <c r="AG19" s="406"/>
      <c r="AH19" s="406"/>
      <c r="AI19" s="406"/>
      <c r="AJ19" s="406"/>
      <c r="AK19" s="406"/>
      <c r="AL19" s="406"/>
      <c r="AM19" s="406"/>
    </row>
    <row r="20" spans="1:39" ht="15">
      <c r="A20" s="310"/>
      <c r="B20" s="310"/>
      <c r="C20" s="310"/>
      <c r="D20" s="310"/>
      <c r="E20" s="310"/>
      <c r="F20" s="310"/>
      <c r="G20" s="310"/>
      <c r="H20" s="310"/>
      <c r="I20" s="310"/>
      <c r="J20" s="310"/>
      <c r="L20" s="406"/>
      <c r="M20" s="416" t="s">
        <v>16</v>
      </c>
      <c r="N20" s="417">
        <v>318886066.99999994</v>
      </c>
      <c r="O20" s="417">
        <v>181874798.91667199</v>
      </c>
      <c r="P20" s="418">
        <v>0.57034413772826276</v>
      </c>
      <c r="Q20" s="418">
        <v>0.60365088316134208</v>
      </c>
      <c r="R20" s="412"/>
      <c r="S20" s="417">
        <v>23</v>
      </c>
      <c r="T20" s="417">
        <v>20</v>
      </c>
      <c r="U20" s="406"/>
      <c r="V20" s="406"/>
      <c r="W20" s="406"/>
      <c r="X20" s="406"/>
      <c r="Y20" s="406"/>
      <c r="Z20" s="406"/>
      <c r="AA20" s="406"/>
      <c r="AB20" s="406"/>
      <c r="AC20" s="406"/>
      <c r="AD20" s="406"/>
      <c r="AE20" s="406"/>
      <c r="AF20" s="406"/>
      <c r="AG20" s="406"/>
      <c r="AH20" s="406"/>
      <c r="AI20" s="406"/>
      <c r="AJ20" s="406"/>
      <c r="AK20" s="406"/>
      <c r="AL20" s="406"/>
      <c r="AM20" s="406"/>
    </row>
    <row r="21" spans="1:39" ht="15">
      <c r="A21" s="310"/>
      <c r="B21" s="310"/>
      <c r="C21" s="310"/>
      <c r="D21" s="310"/>
      <c r="E21" s="310"/>
      <c r="F21" s="310"/>
      <c r="G21" s="310"/>
      <c r="H21" s="310"/>
      <c r="I21" s="310"/>
      <c r="J21" s="310"/>
      <c r="L21" s="406"/>
      <c r="M21" s="421" t="s">
        <v>62</v>
      </c>
      <c r="N21" s="422">
        <v>1884465246.9999998</v>
      </c>
      <c r="O21" s="422">
        <v>1829521514.7734447</v>
      </c>
      <c r="P21" s="419">
        <v>0.97084386018048163</v>
      </c>
      <c r="Q21" s="420">
        <v>0.93030232253269507</v>
      </c>
      <c r="R21" s="412" t="s">
        <v>360</v>
      </c>
      <c r="S21" s="417">
        <v>517</v>
      </c>
      <c r="T21" s="417">
        <v>295</v>
      </c>
      <c r="U21" s="406"/>
      <c r="V21" s="406"/>
      <c r="W21" s="406"/>
      <c r="X21" s="406"/>
      <c r="Y21" s="406"/>
      <c r="Z21" s="406"/>
      <c r="AA21" s="406"/>
      <c r="AB21" s="406"/>
      <c r="AC21" s="406"/>
      <c r="AD21" s="406"/>
      <c r="AE21" s="406"/>
      <c r="AF21" s="406"/>
      <c r="AG21" s="406"/>
      <c r="AH21" s="406"/>
      <c r="AI21" s="406"/>
      <c r="AJ21" s="406"/>
      <c r="AK21" s="406"/>
      <c r="AL21" s="406"/>
      <c r="AM21" s="406"/>
    </row>
    <row r="22" spans="1:39">
      <c r="A22" s="310"/>
      <c r="B22" s="310"/>
      <c r="C22" s="310" t="s">
        <v>183</v>
      </c>
      <c r="D22" s="310"/>
      <c r="E22" s="310"/>
      <c r="F22" s="310"/>
      <c r="G22" s="310"/>
      <c r="H22" s="310"/>
      <c r="I22" s="310"/>
      <c r="J22" s="310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  <c r="AG22" s="406"/>
      <c r="AH22" s="406"/>
      <c r="AI22" s="406"/>
      <c r="AJ22" s="406"/>
      <c r="AK22" s="406"/>
      <c r="AL22" s="406"/>
      <c r="AM22" s="406"/>
    </row>
    <row r="23" spans="1:39" ht="63.75">
      <c r="A23" s="310"/>
      <c r="B23" s="310" t="s">
        <v>59</v>
      </c>
      <c r="C23" s="436" t="s">
        <v>188</v>
      </c>
      <c r="D23" s="436" t="s">
        <v>184</v>
      </c>
      <c r="E23" s="436" t="s">
        <v>185</v>
      </c>
      <c r="F23" s="436"/>
      <c r="G23" s="436"/>
      <c r="H23" s="310"/>
      <c r="I23" s="436" t="s">
        <v>193</v>
      </c>
      <c r="J23" s="310"/>
      <c r="L23" s="406"/>
      <c r="M23" s="40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  <c r="AE23" s="406"/>
      <c r="AF23" s="406"/>
      <c r="AG23" s="406"/>
      <c r="AH23" s="406"/>
      <c r="AI23" s="406"/>
      <c r="AJ23" s="406"/>
      <c r="AK23" s="406"/>
      <c r="AL23" s="406"/>
      <c r="AM23" s="406"/>
    </row>
    <row r="24" spans="1:39">
      <c r="A24" s="310"/>
      <c r="B24" s="310" t="s">
        <v>31</v>
      </c>
      <c r="C24" s="310">
        <v>117</v>
      </c>
      <c r="D24" s="439">
        <v>734358126.00000024</v>
      </c>
      <c r="E24" s="310">
        <v>2200819763871.9771</v>
      </c>
      <c r="F24" s="438">
        <v>2996.9298166001045</v>
      </c>
      <c r="G24" s="310"/>
      <c r="H24" s="310"/>
      <c r="I24" s="438">
        <f>ROUND(F24,-2)</f>
        <v>3000</v>
      </c>
      <c r="J24" s="310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06"/>
      <c r="AH24" s="406"/>
      <c r="AI24" s="406"/>
      <c r="AJ24" s="406"/>
      <c r="AK24" s="406"/>
      <c r="AL24" s="406"/>
      <c r="AM24" s="406"/>
    </row>
    <row r="25" spans="1:39">
      <c r="A25" s="310"/>
      <c r="B25" s="310" t="s">
        <v>110</v>
      </c>
      <c r="C25" s="310">
        <v>33</v>
      </c>
      <c r="D25" s="439">
        <v>95458311.526895136</v>
      </c>
      <c r="E25" s="310">
        <v>248683524689.09366</v>
      </c>
      <c r="F25" s="438">
        <v>2605.1531889816397</v>
      </c>
      <c r="G25" s="310"/>
      <c r="H25" s="310"/>
      <c r="I25" s="438">
        <f t="shared" ref="I25:I30" si="5">ROUND(F25,-2)</f>
        <v>2600</v>
      </c>
      <c r="J25" s="310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  <c r="AE25" s="406"/>
      <c r="AF25" s="406"/>
      <c r="AG25" s="406"/>
      <c r="AH25" s="406"/>
      <c r="AI25" s="406"/>
      <c r="AJ25" s="406"/>
      <c r="AK25" s="406"/>
      <c r="AL25" s="406"/>
      <c r="AM25" s="406"/>
    </row>
    <row r="26" spans="1:39">
      <c r="A26" s="310"/>
      <c r="B26" s="310" t="s">
        <v>114</v>
      </c>
      <c r="C26" s="310">
        <v>21</v>
      </c>
      <c r="D26" s="439">
        <v>179770297.47310495</v>
      </c>
      <c r="E26" s="310">
        <v>471183542908.57623</v>
      </c>
      <c r="F26" s="438">
        <v>2621.0311132130655</v>
      </c>
      <c r="G26" s="310"/>
      <c r="H26" s="310"/>
      <c r="I26" s="438">
        <f t="shared" si="5"/>
        <v>2600</v>
      </c>
      <c r="J26" s="310"/>
      <c r="L26" s="406"/>
      <c r="M26" s="424" t="s">
        <v>616</v>
      </c>
      <c r="N26" s="326"/>
      <c r="O26" s="326"/>
      <c r="P26" s="326"/>
      <c r="Q26" s="406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  <c r="AE26" s="406"/>
      <c r="AF26" s="406"/>
      <c r="AG26" s="406"/>
      <c r="AH26" s="406"/>
      <c r="AI26" s="406"/>
      <c r="AJ26" s="406"/>
      <c r="AK26" s="406"/>
      <c r="AL26" s="406"/>
      <c r="AM26" s="406"/>
    </row>
    <row r="27" spans="1:39">
      <c r="A27" s="310"/>
      <c r="B27" s="310" t="s">
        <v>111</v>
      </c>
      <c r="C27" s="310">
        <v>29</v>
      </c>
      <c r="D27" s="439">
        <v>136471707.75979474</v>
      </c>
      <c r="E27" s="310">
        <v>417624731215.28394</v>
      </c>
      <c r="F27" s="438">
        <v>3060.1561163897027</v>
      </c>
      <c r="G27" s="310"/>
      <c r="H27" s="310"/>
      <c r="I27" s="438">
        <f t="shared" si="5"/>
        <v>3100</v>
      </c>
      <c r="J27" s="310"/>
      <c r="L27" s="406"/>
      <c r="M27" s="402" t="s">
        <v>145</v>
      </c>
      <c r="N27" s="402" t="s">
        <v>146</v>
      </c>
      <c r="O27" s="425"/>
      <c r="P27" s="425"/>
      <c r="Q27" s="406"/>
      <c r="R27" s="406"/>
      <c r="S27" s="406"/>
      <c r="T27" s="406"/>
      <c r="U27" s="406"/>
      <c r="V27" s="407"/>
      <c r="W27" s="406"/>
      <c r="X27" s="406"/>
      <c r="Y27" s="406"/>
      <c r="Z27" s="406"/>
      <c r="AA27" s="406"/>
      <c r="AB27" s="406"/>
      <c r="AC27" s="406"/>
      <c r="AD27" s="406"/>
      <c r="AE27" s="406"/>
      <c r="AF27" s="406"/>
      <c r="AG27" s="406"/>
      <c r="AH27" s="406"/>
      <c r="AI27" s="406"/>
      <c r="AJ27" s="406"/>
      <c r="AK27" s="406"/>
      <c r="AL27" s="406"/>
      <c r="AM27" s="406"/>
    </row>
    <row r="28" spans="1:39">
      <c r="A28" s="310"/>
      <c r="B28" s="310" t="s">
        <v>112</v>
      </c>
      <c r="C28" s="310">
        <v>10</v>
      </c>
      <c r="D28" s="439">
        <v>121007363.24020527</v>
      </c>
      <c r="E28" s="310">
        <v>389981130644.08295</v>
      </c>
      <c r="F28" s="438">
        <v>3222.7884337083865</v>
      </c>
      <c r="G28" s="310"/>
      <c r="H28" s="310"/>
      <c r="I28" s="438">
        <f t="shared" si="5"/>
        <v>3200</v>
      </c>
      <c r="J28" s="310"/>
      <c r="L28" s="406"/>
      <c r="M28" s="402" t="s">
        <v>147</v>
      </c>
      <c r="N28" s="402" t="s">
        <v>148</v>
      </c>
      <c r="O28" s="425"/>
      <c r="P28" s="425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6"/>
      <c r="AF28" s="406"/>
      <c r="AG28" s="406"/>
      <c r="AH28" s="406"/>
      <c r="AI28" s="406"/>
      <c r="AJ28" s="406"/>
      <c r="AK28" s="406"/>
      <c r="AL28" s="406"/>
      <c r="AM28" s="406"/>
    </row>
    <row r="29" spans="1:39">
      <c r="A29" s="310"/>
      <c r="B29" s="310" t="s">
        <v>113</v>
      </c>
      <c r="C29" s="310">
        <v>24</v>
      </c>
      <c r="D29" s="439">
        <v>201650445.99999997</v>
      </c>
      <c r="E29" s="310">
        <v>673346834414.94031</v>
      </c>
      <c r="F29" s="438">
        <v>3339.1785030564247</v>
      </c>
      <c r="G29" s="310"/>
      <c r="H29" s="310"/>
      <c r="I29" s="438">
        <f t="shared" si="5"/>
        <v>3300</v>
      </c>
      <c r="J29" s="310"/>
      <c r="L29" s="406"/>
      <c r="M29" s="402"/>
      <c r="N29" s="402"/>
      <c r="O29" s="425"/>
      <c r="P29" s="425"/>
      <c r="Q29" s="406"/>
      <c r="R29" s="406"/>
      <c r="S29" s="406"/>
      <c r="T29" s="406"/>
      <c r="U29" s="406"/>
      <c r="V29" s="406"/>
      <c r="W29" s="406"/>
      <c r="X29" s="406"/>
      <c r="Y29" s="406"/>
      <c r="Z29" s="406"/>
      <c r="AA29" s="406"/>
      <c r="AB29" s="406"/>
      <c r="AC29" s="406"/>
      <c r="AD29" s="406"/>
      <c r="AE29" s="406"/>
      <c r="AF29" s="406"/>
      <c r="AG29" s="406"/>
      <c r="AH29" s="406"/>
      <c r="AI29" s="406"/>
      <c r="AJ29" s="406"/>
      <c r="AK29" s="406"/>
      <c r="AL29" s="406"/>
      <c r="AM29" s="406"/>
    </row>
    <row r="30" spans="1:39">
      <c r="A30" s="310"/>
      <c r="B30" s="310" t="s">
        <v>62</v>
      </c>
      <c r="C30" s="310">
        <v>117</v>
      </c>
      <c r="D30" s="439">
        <v>734358126.00000024</v>
      </c>
      <c r="E30" s="310">
        <v>2200819763871.9771</v>
      </c>
      <c r="F30" s="438">
        <v>2996.9298166001045</v>
      </c>
      <c r="G30" s="310"/>
      <c r="H30" s="310"/>
      <c r="I30" s="438">
        <f t="shared" si="5"/>
        <v>3000</v>
      </c>
      <c r="J30" s="310"/>
      <c r="L30" s="406"/>
      <c r="M30" s="402"/>
      <c r="N30" s="402" t="s">
        <v>58</v>
      </c>
      <c r="O30" s="402"/>
      <c r="P30" s="402"/>
      <c r="Q30" s="406"/>
      <c r="R30" s="406"/>
      <c r="S30" s="406"/>
      <c r="T30" s="406"/>
      <c r="U30" s="406"/>
      <c r="V30" s="408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 s="406"/>
    </row>
    <row r="31" spans="1:39">
      <c r="A31" s="310"/>
      <c r="B31" s="310"/>
      <c r="C31" s="310"/>
      <c r="D31" s="310"/>
      <c r="E31" s="310"/>
      <c r="F31" s="310"/>
      <c r="G31" s="310"/>
      <c r="H31" s="310"/>
      <c r="I31" s="310"/>
      <c r="J31" s="310"/>
      <c r="L31" s="406"/>
      <c r="M31" s="402"/>
      <c r="N31" s="402" t="s">
        <v>41</v>
      </c>
      <c r="O31" s="402"/>
      <c r="P31" s="402"/>
      <c r="Q31" s="406"/>
      <c r="R31" s="406"/>
      <c r="S31" s="406"/>
      <c r="T31" s="406"/>
      <c r="U31" s="406"/>
      <c r="V31" s="408"/>
      <c r="W31" s="406"/>
      <c r="X31" s="406"/>
      <c r="Y31" s="406"/>
      <c r="Z31" s="406"/>
      <c r="AA31" s="406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 s="406"/>
    </row>
    <row r="32" spans="1:39">
      <c r="A32" s="310"/>
      <c r="B32" s="310"/>
      <c r="C32" s="310" t="s">
        <v>183</v>
      </c>
      <c r="D32" s="310"/>
      <c r="E32" s="310"/>
      <c r="F32" s="310"/>
      <c r="G32" s="310"/>
      <c r="H32" s="310"/>
      <c r="I32" s="310"/>
      <c r="J32" s="310"/>
      <c r="L32" s="406"/>
      <c r="M32" s="402" t="s">
        <v>59</v>
      </c>
      <c r="N32" s="402" t="s">
        <v>149</v>
      </c>
      <c r="O32" s="402" t="s">
        <v>488</v>
      </c>
      <c r="P32" s="402" t="s">
        <v>489</v>
      </c>
      <c r="Q32" s="406"/>
      <c r="R32" s="406"/>
      <c r="S32" s="406"/>
      <c r="T32" s="406"/>
      <c r="U32" s="406"/>
      <c r="V32" s="408"/>
      <c r="W32" s="406"/>
      <c r="X32" s="406"/>
      <c r="Y32" s="406"/>
      <c r="Z32" s="406"/>
      <c r="AA32" s="406"/>
      <c r="AB32" s="406"/>
      <c r="AC32" s="406"/>
      <c r="AD32" s="406"/>
      <c r="AE32" s="406"/>
      <c r="AF32" s="406"/>
      <c r="AG32" s="406"/>
      <c r="AH32" s="406"/>
      <c r="AI32" s="406"/>
      <c r="AJ32" s="406"/>
      <c r="AK32" s="406"/>
      <c r="AL32" s="406"/>
      <c r="AM32" s="406"/>
    </row>
    <row r="33" spans="1:39" ht="38.25">
      <c r="A33" s="310"/>
      <c r="B33" s="310" t="s">
        <v>59</v>
      </c>
      <c r="C33" s="436" t="s">
        <v>189</v>
      </c>
      <c r="D33" s="436" t="s">
        <v>184</v>
      </c>
      <c r="E33" s="436" t="s">
        <v>190</v>
      </c>
      <c r="F33" s="436"/>
      <c r="G33" s="436"/>
      <c r="H33" s="310"/>
      <c r="I33" s="436" t="s">
        <v>193</v>
      </c>
      <c r="J33" s="310"/>
      <c r="L33" s="406"/>
      <c r="M33" s="402" t="s">
        <v>157</v>
      </c>
      <c r="N33" s="402">
        <v>93324774.25963749</v>
      </c>
      <c r="O33" s="428">
        <v>1</v>
      </c>
      <c r="P33" s="402">
        <v>3666462.5120884823</v>
      </c>
      <c r="Q33" s="406"/>
      <c r="R33" s="406"/>
      <c r="S33" s="406"/>
      <c r="T33" s="410"/>
      <c r="U33" s="410"/>
      <c r="V33" s="408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</row>
    <row r="34" spans="1:39">
      <c r="A34" s="310"/>
      <c r="B34" s="310" t="s">
        <v>31</v>
      </c>
      <c r="C34" s="310">
        <v>117</v>
      </c>
      <c r="D34" s="439">
        <v>734358126.00000024</v>
      </c>
      <c r="E34" s="310">
        <v>769497122.04155397</v>
      </c>
      <c r="F34" s="440">
        <v>1.0478499451391019</v>
      </c>
      <c r="G34" s="310"/>
      <c r="H34" s="310"/>
      <c r="I34" s="440">
        <f>F34</f>
        <v>1.0478499451391019</v>
      </c>
      <c r="J34" s="310"/>
      <c r="L34" s="406"/>
      <c r="M34" s="402" t="s">
        <v>492</v>
      </c>
      <c r="N34" s="402">
        <v>72989753.853173986</v>
      </c>
      <c r="O34" s="428">
        <v>0.78210479941917954</v>
      </c>
      <c r="P34" s="402">
        <v>2812111.5653528306</v>
      </c>
      <c r="Q34" s="406"/>
      <c r="R34" s="406"/>
      <c r="S34" s="406"/>
      <c r="T34" s="411"/>
      <c r="U34" s="411"/>
      <c r="V34" s="408"/>
      <c r="W34" s="406"/>
      <c r="X34" s="406"/>
      <c r="Y34" s="406"/>
      <c r="Z34" s="406"/>
      <c r="AA34" s="406"/>
      <c r="AB34" s="406"/>
      <c r="AC34" s="406"/>
      <c r="AD34" s="406"/>
      <c r="AE34" s="406"/>
      <c r="AF34" s="406"/>
      <c r="AG34" s="406"/>
      <c r="AH34" s="406"/>
      <c r="AI34" s="406"/>
      <c r="AJ34" s="406"/>
      <c r="AK34" s="406"/>
      <c r="AL34" s="406"/>
      <c r="AM34" s="406"/>
    </row>
    <row r="35" spans="1:39">
      <c r="A35" s="310"/>
      <c r="B35" s="310" t="s">
        <v>110</v>
      </c>
      <c r="C35" s="310">
        <v>33</v>
      </c>
      <c r="D35" s="439">
        <v>95458311.526895136</v>
      </c>
      <c r="E35" s="310">
        <v>135513033.44063574</v>
      </c>
      <c r="F35" s="440">
        <v>1.4196043411312098</v>
      </c>
      <c r="G35" s="310"/>
      <c r="H35" s="310"/>
      <c r="I35" s="440">
        <f t="shared" ref="I35:I40" si="6">F35</f>
        <v>1.4196043411312098</v>
      </c>
      <c r="J35" s="310"/>
      <c r="L35" s="406"/>
      <c r="M35" s="402" t="s">
        <v>496</v>
      </c>
      <c r="N35" s="402">
        <v>20335020.406463508</v>
      </c>
      <c r="O35" s="428">
        <v>0.21789520058082054</v>
      </c>
      <c r="P35" s="402">
        <v>854350.94673565158</v>
      </c>
      <c r="Q35" s="406"/>
      <c r="R35" s="406"/>
      <c r="S35" s="406"/>
      <c r="T35" s="409"/>
      <c r="U35" s="409"/>
      <c r="V35" s="408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</row>
    <row r="36" spans="1:39">
      <c r="A36" s="310"/>
      <c r="B36" s="310" t="s">
        <v>114</v>
      </c>
      <c r="C36" s="310">
        <v>21</v>
      </c>
      <c r="D36" s="439">
        <v>179770297.47310495</v>
      </c>
      <c r="E36" s="310">
        <v>204089879.08959407</v>
      </c>
      <c r="F36" s="440">
        <v>1.1352814227841366</v>
      </c>
      <c r="G36" s="310"/>
      <c r="H36" s="310"/>
      <c r="I36" s="440">
        <f t="shared" si="6"/>
        <v>1.1352814227841366</v>
      </c>
      <c r="J36" s="310"/>
      <c r="L36" s="406"/>
      <c r="M36" s="402" t="s">
        <v>62</v>
      </c>
      <c r="N36" s="402">
        <v>93324774.25963749</v>
      </c>
      <c r="O36" s="428">
        <v>1</v>
      </c>
      <c r="P36" s="402">
        <v>3666462.5120884823</v>
      </c>
      <c r="Q36" s="406"/>
      <c r="R36" s="406"/>
      <c r="S36" s="406"/>
      <c r="T36" s="409"/>
      <c r="U36" s="409"/>
      <c r="V36" s="408"/>
      <c r="W36" s="406"/>
      <c r="X36" s="406"/>
      <c r="Y36" s="406"/>
      <c r="Z36" s="406"/>
      <c r="AA36" s="406"/>
      <c r="AB36" s="406"/>
      <c r="AC36" s="406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</row>
    <row r="37" spans="1:39">
      <c r="A37" s="310"/>
      <c r="B37" s="310" t="s">
        <v>111</v>
      </c>
      <c r="C37" s="310">
        <v>29</v>
      </c>
      <c r="D37" s="439">
        <v>136471707.75979474</v>
      </c>
      <c r="E37" s="310">
        <v>153013393.87892374</v>
      </c>
      <c r="F37" s="440">
        <v>1.1212096367127184</v>
      </c>
      <c r="G37" s="310"/>
      <c r="H37" s="310"/>
      <c r="I37" s="440">
        <f t="shared" si="6"/>
        <v>1.1212096367127184</v>
      </c>
      <c r="J37" s="310"/>
      <c r="L37" s="406"/>
      <c r="M37" s="406"/>
      <c r="N37" s="406"/>
      <c r="O37" s="406"/>
      <c r="P37" s="406"/>
      <c r="Q37" s="406"/>
      <c r="R37" s="406"/>
      <c r="S37" s="406"/>
      <c r="T37" s="409"/>
      <c r="U37" s="409"/>
      <c r="V37" s="408"/>
      <c r="W37" s="406"/>
      <c r="X37" s="406"/>
      <c r="Y37" s="406"/>
      <c r="Z37" s="406"/>
      <c r="AA37" s="406"/>
      <c r="AB37" s="406"/>
      <c r="AC37" s="406"/>
      <c r="AD37" s="406"/>
      <c r="AE37" s="406"/>
      <c r="AF37" s="406"/>
      <c r="AG37" s="406"/>
      <c r="AH37" s="406"/>
      <c r="AI37" s="406"/>
      <c r="AJ37" s="406"/>
      <c r="AK37" s="406"/>
      <c r="AL37" s="406"/>
      <c r="AM37" s="406"/>
    </row>
    <row r="38" spans="1:39">
      <c r="A38" s="310"/>
      <c r="B38" s="310" t="s">
        <v>112</v>
      </c>
      <c r="C38" s="310">
        <v>10</v>
      </c>
      <c r="D38" s="439">
        <v>121007363.24020527</v>
      </c>
      <c r="E38" s="310">
        <v>101319077.95398393</v>
      </c>
      <c r="F38" s="440">
        <v>0.8372967994754239</v>
      </c>
      <c r="G38" s="310"/>
      <c r="H38" s="310"/>
      <c r="I38" s="440">
        <f t="shared" si="6"/>
        <v>0.8372967994754239</v>
      </c>
      <c r="J38" s="310"/>
      <c r="L38" s="406"/>
      <c r="M38" s="406"/>
      <c r="N38" s="406"/>
      <c r="O38" s="406"/>
      <c r="P38" s="406"/>
      <c r="Q38" s="406"/>
      <c r="R38" s="406"/>
      <c r="S38" s="406"/>
      <c r="T38" s="409"/>
      <c r="U38" s="409"/>
      <c r="V38" s="408"/>
      <c r="W38" s="406"/>
      <c r="X38" s="406"/>
      <c r="Y38" s="406"/>
      <c r="Z38" s="406"/>
      <c r="AA38" s="406"/>
      <c r="AB38" s="406"/>
      <c r="AC38" s="406"/>
      <c r="AD38" s="406"/>
      <c r="AE38" s="406"/>
      <c r="AF38" s="406"/>
      <c r="AG38" s="406"/>
      <c r="AH38" s="406"/>
      <c r="AI38" s="406"/>
      <c r="AJ38" s="406"/>
      <c r="AK38" s="406"/>
      <c r="AL38" s="406"/>
      <c r="AM38" s="406"/>
    </row>
    <row r="39" spans="1:39">
      <c r="A39" s="310"/>
      <c r="B39" s="310" t="s">
        <v>113</v>
      </c>
      <c r="C39" s="310">
        <v>24</v>
      </c>
      <c r="D39" s="439">
        <v>201650445.99999997</v>
      </c>
      <c r="E39" s="310">
        <v>175561737.67841661</v>
      </c>
      <c r="F39" s="440">
        <v>0.87062409809109287</v>
      </c>
      <c r="G39" s="310"/>
      <c r="H39" s="310"/>
      <c r="I39" s="440">
        <f t="shared" si="6"/>
        <v>0.87062409809109287</v>
      </c>
      <c r="J39" s="310"/>
      <c r="L39" s="406"/>
      <c r="M39" s="406"/>
      <c r="N39" s="406"/>
      <c r="O39" s="406"/>
      <c r="P39" s="406"/>
      <c r="Q39" s="406"/>
      <c r="R39" s="406"/>
      <c r="S39" s="406"/>
      <c r="T39" s="409"/>
      <c r="U39" s="409"/>
      <c r="V39" s="408"/>
      <c r="W39" s="406"/>
      <c r="X39" s="406"/>
      <c r="Y39" s="406"/>
      <c r="Z39" s="406"/>
      <c r="AA39" s="406"/>
      <c r="AB39" s="406"/>
      <c r="AC39" s="406"/>
      <c r="AD39" s="406"/>
      <c r="AE39" s="406"/>
      <c r="AF39" s="406"/>
      <c r="AG39" s="406"/>
      <c r="AH39" s="406"/>
      <c r="AI39" s="406"/>
      <c r="AJ39" s="406"/>
      <c r="AK39" s="406"/>
      <c r="AL39" s="406"/>
      <c r="AM39" s="406"/>
    </row>
    <row r="40" spans="1:39">
      <c r="A40" s="310"/>
      <c r="B40" s="310" t="s">
        <v>62</v>
      </c>
      <c r="C40" s="310">
        <v>117</v>
      </c>
      <c r="D40" s="439">
        <v>734358126.00000024</v>
      </c>
      <c r="E40" s="310">
        <v>769497122.04155397</v>
      </c>
      <c r="F40" s="440">
        <v>1.0478499451391019</v>
      </c>
      <c r="G40" s="310"/>
      <c r="H40" s="310"/>
      <c r="I40" s="440">
        <f t="shared" si="6"/>
        <v>1.0478499451391019</v>
      </c>
      <c r="J40" s="310"/>
      <c r="L40" s="406"/>
      <c r="M40" s="406"/>
      <c r="N40" s="406"/>
      <c r="O40" s="406"/>
      <c r="P40" s="406"/>
      <c r="Q40" s="406"/>
      <c r="R40" s="406"/>
      <c r="S40" s="406"/>
      <c r="T40" s="409"/>
      <c r="U40" s="409"/>
      <c r="V40" s="408"/>
      <c r="W40" s="406"/>
      <c r="X40" s="406"/>
      <c r="Y40" s="406"/>
      <c r="Z40" s="406"/>
      <c r="AA40" s="406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6"/>
      <c r="AM40" s="406"/>
    </row>
    <row r="41" spans="1:39">
      <c r="A41" s="310"/>
      <c r="B41" s="310"/>
      <c r="C41" s="310"/>
      <c r="D41" s="310"/>
      <c r="E41" s="310"/>
      <c r="F41" s="310"/>
      <c r="G41" s="310"/>
      <c r="H41" s="310"/>
      <c r="I41" s="310"/>
      <c r="J41" s="310"/>
      <c r="L41" s="406"/>
      <c r="M41" s="424" t="s">
        <v>614</v>
      </c>
      <c r="N41" s="326"/>
      <c r="O41" s="326"/>
      <c r="P41" s="326"/>
      <c r="Q41" s="326"/>
      <c r="R41" s="326"/>
      <c r="S41" s="326"/>
      <c r="T41" s="409"/>
      <c r="U41" s="409"/>
      <c r="V41" s="408"/>
      <c r="W41" s="406"/>
      <c r="X41" s="406"/>
      <c r="Y41" s="406"/>
      <c r="Z41" s="406"/>
      <c r="AA41" s="406"/>
      <c r="AB41" s="406"/>
      <c r="AC41" s="406"/>
      <c r="AD41" s="406"/>
      <c r="AE41" s="406"/>
      <c r="AF41" s="406"/>
      <c r="AG41" s="406"/>
      <c r="AH41" s="406"/>
      <c r="AI41" s="406"/>
      <c r="AJ41" s="406"/>
      <c r="AK41" s="406"/>
      <c r="AL41" s="406"/>
      <c r="AM41" s="406"/>
    </row>
    <row r="42" spans="1:39">
      <c r="A42" s="310"/>
      <c r="B42" s="310"/>
      <c r="C42" s="310" t="s">
        <v>183</v>
      </c>
      <c r="D42" s="310"/>
      <c r="E42" s="310"/>
      <c r="F42" s="310"/>
      <c r="G42" s="310"/>
      <c r="H42" s="310"/>
      <c r="I42" s="310"/>
      <c r="J42" s="310"/>
      <c r="L42" s="406"/>
      <c r="M42" s="426" t="s">
        <v>147</v>
      </c>
      <c r="N42" s="426" t="s">
        <v>148</v>
      </c>
      <c r="O42" s="326"/>
      <c r="P42" s="326"/>
      <c r="Q42" s="326"/>
      <c r="R42" s="326"/>
      <c r="S42" s="326"/>
      <c r="T42" s="409"/>
      <c r="U42" s="409"/>
      <c r="V42" s="408"/>
      <c r="W42" s="406"/>
      <c r="X42" s="406"/>
      <c r="Y42" s="406"/>
      <c r="Z42" s="406"/>
      <c r="AA42" s="406"/>
      <c r="AB42" s="406"/>
      <c r="AC42" s="406"/>
      <c r="AD42" s="406"/>
      <c r="AE42" s="406"/>
      <c r="AF42" s="406"/>
      <c r="AG42" s="406"/>
      <c r="AH42" s="406"/>
      <c r="AI42" s="406"/>
      <c r="AJ42" s="406"/>
      <c r="AK42" s="406"/>
      <c r="AL42" s="406"/>
      <c r="AM42" s="406"/>
    </row>
    <row r="43" spans="1:39" ht="13.5" customHeight="1">
      <c r="A43" s="310"/>
      <c r="B43" s="310" t="s">
        <v>59</v>
      </c>
      <c r="C43" s="436" t="s">
        <v>189</v>
      </c>
      <c r="D43" s="436" t="s">
        <v>184</v>
      </c>
      <c r="E43" s="436" t="s">
        <v>191</v>
      </c>
      <c r="F43" s="436"/>
      <c r="G43" s="310"/>
      <c r="H43" s="310"/>
      <c r="I43" s="310"/>
      <c r="J43" s="310"/>
      <c r="L43" s="406"/>
      <c r="M43" s="404" t="s">
        <v>602</v>
      </c>
      <c r="N43" s="426" t="s">
        <v>9</v>
      </c>
      <c r="O43" s="326"/>
      <c r="P43" s="326"/>
      <c r="Q43" s="326"/>
      <c r="R43" s="326"/>
      <c r="S43" s="326"/>
      <c r="T43" s="409"/>
      <c r="U43" s="409"/>
      <c r="V43" s="408"/>
      <c r="W43" s="406"/>
      <c r="X43" s="406"/>
      <c r="Y43" s="406"/>
      <c r="Z43" s="406"/>
      <c r="AA43" s="406"/>
      <c r="AB43" s="406"/>
      <c r="AC43" s="406"/>
      <c r="AD43" s="406"/>
      <c r="AE43" s="406"/>
      <c r="AF43" s="406"/>
      <c r="AG43" s="406"/>
      <c r="AH43" s="406"/>
      <c r="AI43" s="406"/>
      <c r="AJ43" s="406"/>
      <c r="AK43" s="406"/>
      <c r="AL43" s="406"/>
      <c r="AM43" s="406"/>
    </row>
    <row r="44" spans="1:39">
      <c r="A44" s="310"/>
      <c r="B44" s="310" t="s">
        <v>31</v>
      </c>
      <c r="C44" s="310">
        <v>117</v>
      </c>
      <c r="D44" s="439">
        <v>734358126.00000024</v>
      </c>
      <c r="E44" s="310">
        <v>34136670975.451134</v>
      </c>
      <c r="F44" s="438">
        <v>46.485045602193175</v>
      </c>
      <c r="G44" s="310"/>
      <c r="H44" s="310"/>
      <c r="I44" s="310"/>
      <c r="J44" s="310"/>
      <c r="L44" s="406"/>
      <c r="M44" s="426" t="s">
        <v>145</v>
      </c>
      <c r="N44" s="426" t="s">
        <v>146</v>
      </c>
      <c r="O44" s="326"/>
      <c r="P44" s="326"/>
      <c r="Q44" s="326"/>
      <c r="R44" s="326"/>
      <c r="S44" s="326"/>
      <c r="T44" s="406"/>
      <c r="U44" s="406"/>
      <c r="V44" s="442"/>
      <c r="W44" s="406"/>
      <c r="X44" s="406"/>
      <c r="Y44" s="406"/>
      <c r="Z44" s="406"/>
      <c r="AA44" s="406"/>
      <c r="AB44" s="406"/>
      <c r="AC44" s="406"/>
      <c r="AD44" s="406"/>
      <c r="AE44" s="406"/>
      <c r="AF44" s="406"/>
      <c r="AG44" s="406"/>
      <c r="AH44" s="406"/>
      <c r="AI44" s="406"/>
      <c r="AJ44" s="406"/>
      <c r="AK44" s="406"/>
      <c r="AL44" s="406"/>
      <c r="AM44" s="406"/>
    </row>
    <row r="45" spans="1:39">
      <c r="A45" s="310"/>
      <c r="B45" s="310" t="s">
        <v>110</v>
      </c>
      <c r="C45" s="310">
        <v>33</v>
      </c>
      <c r="D45" s="439">
        <v>95458311.526895136</v>
      </c>
      <c r="E45" s="310">
        <v>5979659694.8475256</v>
      </c>
      <c r="F45" s="438">
        <v>62.641582479308482</v>
      </c>
      <c r="G45" s="310"/>
      <c r="H45" s="310"/>
      <c r="I45" s="310"/>
      <c r="J45" s="310"/>
      <c r="L45" s="406"/>
      <c r="M45" s="426"/>
      <c r="N45" s="426"/>
      <c r="O45" s="326"/>
      <c r="P45" s="326"/>
      <c r="Q45" s="326"/>
      <c r="R45" s="326"/>
      <c r="S45" s="326"/>
      <c r="T45" s="406"/>
      <c r="U45" s="406"/>
      <c r="V45" s="442"/>
      <c r="W45" s="406"/>
      <c r="X45" s="406"/>
      <c r="Y45" s="406"/>
      <c r="Z45" s="406"/>
      <c r="AA45" s="406"/>
      <c r="AB45" s="406"/>
      <c r="AC45" s="406"/>
      <c r="AD45" s="406"/>
      <c r="AE45" s="406"/>
      <c r="AF45" s="406"/>
      <c r="AG45" s="406"/>
      <c r="AH45" s="406"/>
      <c r="AI45" s="406"/>
      <c r="AJ45" s="406"/>
      <c r="AK45" s="406"/>
      <c r="AL45" s="406"/>
      <c r="AM45" s="406"/>
    </row>
    <row r="46" spans="1:39">
      <c r="A46" s="310"/>
      <c r="B46" s="310" t="s">
        <v>114</v>
      </c>
      <c r="C46" s="310">
        <v>21</v>
      </c>
      <c r="D46" s="439">
        <v>179770297.47310495</v>
      </c>
      <c r="E46" s="310">
        <v>9371223833.5419979</v>
      </c>
      <c r="F46" s="438">
        <v>52.128877602508318</v>
      </c>
      <c r="G46" s="310"/>
      <c r="H46" s="310"/>
      <c r="I46" s="310"/>
      <c r="J46" s="310"/>
      <c r="L46" s="406"/>
      <c r="M46" s="403"/>
      <c r="N46" s="426" t="s">
        <v>183</v>
      </c>
      <c r="O46" s="403"/>
      <c r="P46" s="403"/>
      <c r="Q46" s="403"/>
      <c r="R46" s="403"/>
      <c r="S46" s="403"/>
      <c r="T46" s="406"/>
      <c r="U46" s="406"/>
      <c r="V46" s="442"/>
      <c r="W46" s="406"/>
      <c r="X46" s="406"/>
      <c r="Y46" s="406"/>
      <c r="Z46" s="406"/>
      <c r="AA46" s="406"/>
      <c r="AB46" s="406"/>
      <c r="AC46" s="406"/>
      <c r="AD46" s="406"/>
      <c r="AE46" s="406"/>
      <c r="AF46" s="406"/>
      <c r="AG46" s="406"/>
      <c r="AH46" s="406"/>
      <c r="AI46" s="406"/>
      <c r="AJ46" s="406"/>
      <c r="AK46" s="406"/>
      <c r="AL46" s="406"/>
      <c r="AM46" s="406"/>
    </row>
    <row r="47" spans="1:39">
      <c r="A47" s="310"/>
      <c r="B47" s="310" t="s">
        <v>111</v>
      </c>
      <c r="C47" s="310">
        <v>29</v>
      </c>
      <c r="D47" s="439">
        <v>136471707.75979474</v>
      </c>
      <c r="E47" s="310">
        <v>4740414093.0210495</v>
      </c>
      <c r="F47" s="438">
        <v>34.735507973306092</v>
      </c>
      <c r="G47" s="310"/>
      <c r="H47" s="310"/>
      <c r="I47" s="310"/>
      <c r="J47" s="310"/>
      <c r="L47" s="406"/>
      <c r="M47" s="404" t="s">
        <v>59</v>
      </c>
      <c r="N47" s="404" t="s">
        <v>149</v>
      </c>
      <c r="O47" s="404" t="s">
        <v>488</v>
      </c>
      <c r="P47" s="404" t="s">
        <v>603</v>
      </c>
      <c r="Q47" s="404" t="s">
        <v>604</v>
      </c>
      <c r="R47" s="404" t="s">
        <v>489</v>
      </c>
      <c r="S47" s="404" t="s">
        <v>605</v>
      </c>
      <c r="T47" s="406"/>
      <c r="U47" s="406"/>
      <c r="V47" s="442"/>
      <c r="W47" s="406"/>
      <c r="X47" s="406"/>
      <c r="Y47" s="406"/>
      <c r="Z47" s="406"/>
      <c r="AA47" s="406"/>
      <c r="AB47" s="406"/>
      <c r="AC47" s="406"/>
      <c r="AD47" s="406"/>
      <c r="AE47" s="406"/>
      <c r="AF47" s="406"/>
      <c r="AG47" s="406"/>
      <c r="AH47" s="406"/>
      <c r="AI47" s="406"/>
      <c r="AJ47" s="406"/>
      <c r="AK47" s="406"/>
      <c r="AL47" s="406"/>
      <c r="AM47" s="406"/>
    </row>
    <row r="48" spans="1:39">
      <c r="A48" s="310"/>
      <c r="B48" s="310" t="s">
        <v>112</v>
      </c>
      <c r="C48" s="310">
        <v>10</v>
      </c>
      <c r="D48" s="439">
        <v>121007363.24020527</v>
      </c>
      <c r="E48" s="310">
        <v>2931209401.4806585</v>
      </c>
      <c r="F48" s="438">
        <v>24.223397014792155</v>
      </c>
      <c r="G48" s="310"/>
      <c r="H48" s="310"/>
      <c r="I48" s="310"/>
      <c r="J48" s="310"/>
      <c r="L48" s="406"/>
      <c r="M48" s="433" t="s">
        <v>65</v>
      </c>
      <c r="N48" s="426">
        <v>203212132.70379004</v>
      </c>
      <c r="O48" s="427">
        <v>1</v>
      </c>
      <c r="P48" s="426">
        <v>2007771.1463450671</v>
      </c>
      <c r="Q48" s="427">
        <v>1</v>
      </c>
      <c r="R48" s="426">
        <v>3121215.4417744437</v>
      </c>
      <c r="S48" s="427">
        <v>1</v>
      </c>
      <c r="T48" s="406"/>
      <c r="U48" s="406"/>
      <c r="V48" s="442"/>
      <c r="W48" s="406"/>
      <c r="X48" s="406"/>
      <c r="Y48" s="406"/>
      <c r="Z48" s="406"/>
      <c r="AA48" s="406"/>
      <c r="AB48" s="406"/>
      <c r="AC48" s="406"/>
      <c r="AD48" s="406"/>
      <c r="AE48" s="406"/>
      <c r="AF48" s="406"/>
      <c r="AG48" s="406"/>
      <c r="AH48" s="406"/>
      <c r="AI48" s="406"/>
      <c r="AJ48" s="406"/>
      <c r="AK48" s="406"/>
      <c r="AL48" s="406"/>
      <c r="AM48" s="406"/>
    </row>
    <row r="49" spans="1:39">
      <c r="A49" s="310"/>
      <c r="B49" s="310" t="s">
        <v>113</v>
      </c>
      <c r="C49" s="310">
        <v>24</v>
      </c>
      <c r="D49" s="439">
        <v>201650445.99999997</v>
      </c>
      <c r="E49" s="310">
        <v>11114163952.559904</v>
      </c>
      <c r="F49" s="438">
        <v>55.115989937160393</v>
      </c>
      <c r="G49" s="310"/>
      <c r="H49" s="310"/>
      <c r="I49" s="310"/>
      <c r="J49" s="310"/>
      <c r="L49" s="406"/>
      <c r="M49" s="434" t="s">
        <v>606</v>
      </c>
      <c r="N49" s="426">
        <v>11441876.550243098</v>
      </c>
      <c r="O49" s="427">
        <v>5.6305085715138994E-2</v>
      </c>
      <c r="P49" s="426">
        <v>109919.60412251088</v>
      </c>
      <c r="Q49" s="427">
        <v>5.474707828260595E-2</v>
      </c>
      <c r="R49" s="426">
        <v>291421.16433846997</v>
      </c>
      <c r="S49" s="427">
        <v>9.3367846524812143E-2</v>
      </c>
      <c r="T49" s="406"/>
      <c r="U49" s="406"/>
      <c r="V49" s="442"/>
      <c r="W49" s="406"/>
      <c r="X49" s="406"/>
      <c r="Y49" s="406"/>
      <c r="Z49" s="406"/>
      <c r="AA49" s="406"/>
      <c r="AB49" s="406"/>
      <c r="AC49" s="406"/>
      <c r="AD49" s="406"/>
      <c r="AE49" s="406"/>
      <c r="AF49" s="406"/>
      <c r="AG49" s="406"/>
      <c r="AH49" s="406"/>
      <c r="AI49" s="406"/>
      <c r="AJ49" s="406"/>
      <c r="AK49" s="406"/>
      <c r="AL49" s="406"/>
      <c r="AM49" s="406"/>
    </row>
    <row r="50" spans="1:39">
      <c r="A50" s="310"/>
      <c r="B50" s="310" t="s">
        <v>62</v>
      </c>
      <c r="C50" s="310">
        <v>117</v>
      </c>
      <c r="D50" s="439">
        <v>734358126.00000024</v>
      </c>
      <c r="E50" s="310">
        <v>34136670975.451134</v>
      </c>
      <c r="F50" s="438">
        <v>46.485045602193175</v>
      </c>
      <c r="G50" s="310"/>
      <c r="H50" s="310"/>
      <c r="I50" s="310"/>
      <c r="J50" s="310"/>
      <c r="L50" s="406"/>
      <c r="M50" s="434" t="s">
        <v>607</v>
      </c>
      <c r="N50" s="426">
        <v>148003732.57276925</v>
      </c>
      <c r="O50" s="427">
        <v>0.72832133890600559</v>
      </c>
      <c r="P50" s="426">
        <v>1467381.0362340366</v>
      </c>
      <c r="Q50" s="427">
        <v>0.7308507440727231</v>
      </c>
      <c r="R50" s="426">
        <v>2301467.1199035109</v>
      </c>
      <c r="S50" s="427">
        <v>0.73736246755049462</v>
      </c>
      <c r="T50" s="406"/>
      <c r="U50" s="406"/>
      <c r="V50" s="442"/>
      <c r="W50" s="406"/>
      <c r="X50" s="406"/>
      <c r="Y50" s="406"/>
      <c r="Z50" s="406"/>
      <c r="AA50" s="406"/>
      <c r="AB50" s="406"/>
      <c r="AC50" s="406"/>
      <c r="AD50" s="406"/>
      <c r="AE50" s="406"/>
      <c r="AF50" s="406"/>
      <c r="AG50" s="406"/>
      <c r="AH50" s="406"/>
      <c r="AI50" s="406"/>
      <c r="AJ50" s="406"/>
      <c r="AK50" s="406"/>
      <c r="AL50" s="406"/>
      <c r="AM50" s="406"/>
    </row>
    <row r="51" spans="1:39">
      <c r="A51" s="310"/>
      <c r="B51" s="310"/>
      <c r="C51" s="310"/>
      <c r="D51" s="310"/>
      <c r="E51" s="310"/>
      <c r="F51" s="310"/>
      <c r="G51" s="310"/>
      <c r="H51" s="310"/>
      <c r="I51" s="310"/>
      <c r="J51" s="310"/>
      <c r="L51" s="406"/>
      <c r="M51" s="434" t="s">
        <v>608</v>
      </c>
      <c r="N51" s="426">
        <v>2100433.2902316931</v>
      </c>
      <c r="O51" s="427">
        <v>1.0336160849674102E-2</v>
      </c>
      <c r="P51" s="426">
        <v>41679.631690393449</v>
      </c>
      <c r="Q51" s="427">
        <v>2.0759154630878508E-2</v>
      </c>
      <c r="R51" s="426">
        <v>43576.673162437553</v>
      </c>
      <c r="S51" s="427">
        <v>1.3961443538695219E-2</v>
      </c>
      <c r="T51" s="406"/>
      <c r="U51" s="406"/>
      <c r="V51" s="442"/>
      <c r="W51" s="406"/>
      <c r="X51" s="406"/>
      <c r="Y51" s="406"/>
      <c r="Z51" s="406"/>
      <c r="AA51" s="406"/>
      <c r="AB51" s="406"/>
      <c r="AC51" s="406"/>
      <c r="AD51" s="406"/>
      <c r="AE51" s="406"/>
      <c r="AF51" s="406"/>
      <c r="AG51" s="406"/>
      <c r="AH51" s="406"/>
      <c r="AI51" s="406"/>
      <c r="AJ51" s="406"/>
      <c r="AK51" s="406"/>
      <c r="AL51" s="406"/>
      <c r="AM51" s="406"/>
    </row>
    <row r="52" spans="1:39">
      <c r="A52" s="310"/>
      <c r="B52" s="310"/>
      <c r="C52" s="310" t="s">
        <v>183</v>
      </c>
      <c r="D52" s="310"/>
      <c r="E52" s="310"/>
      <c r="F52" s="310"/>
      <c r="G52" s="310"/>
      <c r="H52" s="310"/>
      <c r="I52" s="310"/>
      <c r="J52" s="310"/>
      <c r="L52" s="406"/>
      <c r="M52" s="434" t="s">
        <v>609</v>
      </c>
      <c r="N52" s="426">
        <v>11861168.289553918</v>
      </c>
      <c r="O52" s="427">
        <v>5.8368406116987223E-2</v>
      </c>
      <c r="P52" s="426">
        <v>124839.46664994075</v>
      </c>
      <c r="Q52" s="427">
        <v>6.2178135629251202E-2</v>
      </c>
      <c r="R52" s="426">
        <v>149240.23057582165</v>
      </c>
      <c r="S52" s="427">
        <v>4.7814780286674803E-2</v>
      </c>
      <c r="T52" s="406"/>
      <c r="U52" s="406"/>
      <c r="V52" s="442"/>
      <c r="W52" s="406"/>
      <c r="X52" s="406"/>
      <c r="Y52" s="406"/>
      <c r="Z52" s="406"/>
      <c r="AA52" s="406"/>
      <c r="AB52" s="406"/>
      <c r="AC52" s="406"/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</row>
    <row r="53" spans="1:39" ht="15.75" customHeight="1">
      <c r="A53" s="310"/>
      <c r="B53" s="310" t="s">
        <v>59</v>
      </c>
      <c r="C53" s="436" t="s">
        <v>184</v>
      </c>
      <c r="D53" s="436" t="s">
        <v>185</v>
      </c>
      <c r="E53" s="436" t="s">
        <v>188</v>
      </c>
      <c r="F53" s="436"/>
      <c r="G53" s="310"/>
      <c r="H53" s="310"/>
      <c r="I53" s="436" t="s">
        <v>193</v>
      </c>
      <c r="J53" s="310"/>
      <c r="L53" s="406"/>
      <c r="M53" s="434" t="s">
        <v>610</v>
      </c>
      <c r="N53" s="426">
        <v>11575107.466038296</v>
      </c>
      <c r="O53" s="427">
        <v>5.6960710524654679E-2</v>
      </c>
      <c r="P53" s="426">
        <v>106707.09026945091</v>
      </c>
      <c r="Q53" s="427">
        <v>5.3147038428009975E-2</v>
      </c>
      <c r="R53" s="426">
        <v>126846.0293548984</v>
      </c>
      <c r="S53" s="427">
        <v>4.0639946751892621E-2</v>
      </c>
      <c r="T53" s="406"/>
      <c r="U53" s="406"/>
      <c r="V53" s="442"/>
      <c r="W53" s="406"/>
      <c r="X53" s="406"/>
      <c r="Y53" s="406"/>
      <c r="Z53" s="406"/>
      <c r="AA53" s="406"/>
      <c r="AB53" s="406"/>
      <c r="AC53" s="406"/>
      <c r="AD53" s="406"/>
      <c r="AE53" s="406"/>
      <c r="AF53" s="406"/>
      <c r="AG53" s="406"/>
      <c r="AH53" s="406"/>
      <c r="AI53" s="406"/>
      <c r="AJ53" s="406"/>
      <c r="AK53" s="406"/>
      <c r="AL53" s="406"/>
      <c r="AM53" s="406"/>
    </row>
    <row r="54" spans="1:39">
      <c r="A54" s="310"/>
      <c r="B54" s="310" t="s">
        <v>72</v>
      </c>
      <c r="C54" s="310">
        <v>570929487.99999988</v>
      </c>
      <c r="D54" s="310">
        <v>2412121091488.2319</v>
      </c>
      <c r="E54" s="310">
        <v>132</v>
      </c>
      <c r="F54" s="438">
        <v>4224.9019225439488</v>
      </c>
      <c r="G54" s="310"/>
      <c r="H54" s="310"/>
      <c r="I54" s="438">
        <f>ROUND(F54,-2)</f>
        <v>4200</v>
      </c>
      <c r="J54" s="310"/>
      <c r="L54" s="406"/>
      <c r="M54" s="434" t="s">
        <v>611</v>
      </c>
      <c r="N54" s="426">
        <v>8798597.8741096351</v>
      </c>
      <c r="O54" s="427">
        <v>4.3297601167026849E-2</v>
      </c>
      <c r="P54" s="426">
        <v>65968.668425739001</v>
      </c>
      <c r="Q54" s="427">
        <v>3.2856667228148943E-2</v>
      </c>
      <c r="R54" s="426">
        <v>77549.466205120814</v>
      </c>
      <c r="S54" s="427">
        <v>2.4845919050379018E-2</v>
      </c>
      <c r="T54" s="406"/>
      <c r="U54" s="406"/>
      <c r="V54" s="442"/>
      <c r="W54" s="406"/>
      <c r="X54" s="406"/>
      <c r="Y54" s="406"/>
      <c r="Z54" s="406"/>
      <c r="AA54" s="406"/>
      <c r="AB54" s="406"/>
      <c r="AC54" s="406"/>
      <c r="AD54" s="406"/>
      <c r="AE54" s="406"/>
      <c r="AF54" s="406"/>
      <c r="AG54" s="406"/>
      <c r="AH54" s="406"/>
      <c r="AI54" s="406"/>
      <c r="AJ54" s="406"/>
      <c r="AK54" s="406"/>
      <c r="AL54" s="406"/>
      <c r="AM54" s="406"/>
    </row>
    <row r="55" spans="1:39">
      <c r="A55" s="310"/>
      <c r="B55" s="310" t="s">
        <v>110</v>
      </c>
      <c r="C55" s="310">
        <v>59224380.554442525</v>
      </c>
      <c r="D55" s="310">
        <v>163584774744.45993</v>
      </c>
      <c r="E55" s="310">
        <v>31</v>
      </c>
      <c r="F55" s="438">
        <v>2762.118796566951</v>
      </c>
      <c r="G55" s="310"/>
      <c r="H55" s="310"/>
      <c r="I55" s="438">
        <f t="shared" ref="I55:I60" si="7">ROUND(F55,-2)</f>
        <v>2800</v>
      </c>
      <c r="J55" s="310"/>
      <c r="L55" s="406"/>
      <c r="M55" s="434" t="s">
        <v>612</v>
      </c>
      <c r="N55" s="426">
        <v>9431216.6608441602</v>
      </c>
      <c r="O55" s="427">
        <v>4.6410696720512602E-2</v>
      </c>
      <c r="P55" s="426">
        <v>91275.648952995325</v>
      </c>
      <c r="Q55" s="427">
        <v>4.5461181728382191E-2</v>
      </c>
      <c r="R55" s="426">
        <v>131114.75823418435</v>
      </c>
      <c r="S55" s="427">
        <v>4.2007596297051586E-2</v>
      </c>
      <c r="T55" s="406"/>
      <c r="U55" s="406"/>
      <c r="V55" s="442"/>
      <c r="W55" s="406"/>
      <c r="X55" s="406"/>
      <c r="Y55" s="406"/>
      <c r="Z55" s="406"/>
      <c r="AA55" s="406"/>
      <c r="AB55" s="406"/>
      <c r="AC55" s="406"/>
      <c r="AD55" s="406"/>
      <c r="AE55" s="406"/>
      <c r="AF55" s="406"/>
      <c r="AG55" s="406"/>
      <c r="AH55" s="406"/>
      <c r="AI55" s="406"/>
      <c r="AJ55" s="406"/>
      <c r="AK55" s="406"/>
      <c r="AL55" s="406"/>
      <c r="AM55" s="406"/>
    </row>
    <row r="56" spans="1:39">
      <c r="A56" s="310"/>
      <c r="B56" s="310" t="s">
        <v>114</v>
      </c>
      <c r="C56" s="310">
        <v>186496889.44555736</v>
      </c>
      <c r="D56" s="310">
        <v>707756531452.69568</v>
      </c>
      <c r="E56" s="310">
        <v>26</v>
      </c>
      <c r="F56" s="438">
        <v>3795.0044826849821</v>
      </c>
      <c r="G56" s="310"/>
      <c r="H56" s="310"/>
      <c r="I56" s="438">
        <f t="shared" si="7"/>
        <v>3800</v>
      </c>
      <c r="J56" s="310"/>
      <c r="L56" s="406"/>
      <c r="M56" s="433" t="s">
        <v>62</v>
      </c>
      <c r="N56" s="426">
        <v>203212132.70379004</v>
      </c>
      <c r="O56" s="427">
        <v>1</v>
      </c>
      <c r="P56" s="426">
        <v>2007771.1463450671</v>
      </c>
      <c r="Q56" s="427">
        <v>1</v>
      </c>
      <c r="R56" s="426">
        <v>3121215.4417744437</v>
      </c>
      <c r="S56" s="427">
        <v>1</v>
      </c>
      <c r="T56" s="406"/>
      <c r="U56" s="406"/>
      <c r="V56" s="442"/>
      <c r="W56" s="406"/>
      <c r="X56" s="406"/>
      <c r="Y56" s="406"/>
      <c r="Z56" s="406"/>
      <c r="AA56" s="406"/>
      <c r="AB56" s="406"/>
      <c r="AC56" s="406"/>
      <c r="AD56" s="406"/>
      <c r="AE56" s="406"/>
      <c r="AF56" s="406"/>
      <c r="AG56" s="406"/>
      <c r="AH56" s="406"/>
      <c r="AI56" s="406"/>
      <c r="AJ56" s="406"/>
      <c r="AK56" s="406"/>
      <c r="AL56" s="406"/>
      <c r="AM56" s="406"/>
    </row>
    <row r="57" spans="1:39">
      <c r="A57" s="310"/>
      <c r="B57" s="310" t="s">
        <v>111</v>
      </c>
      <c r="C57" s="310">
        <v>159704133.08919233</v>
      </c>
      <c r="D57" s="310">
        <v>585720430864.66809</v>
      </c>
      <c r="E57" s="310">
        <v>34</v>
      </c>
      <c r="F57" s="438">
        <v>3667.5345811967941</v>
      </c>
      <c r="G57" s="310"/>
      <c r="H57" s="310"/>
      <c r="I57" s="438">
        <f t="shared" si="7"/>
        <v>3700</v>
      </c>
      <c r="J57" s="310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42"/>
      <c r="W57" s="406"/>
      <c r="X57" s="406"/>
      <c r="Y57" s="406"/>
      <c r="Z57" s="406"/>
      <c r="AA57" s="406"/>
      <c r="AB57" s="406"/>
      <c r="AC57" s="406"/>
      <c r="AD57" s="406"/>
      <c r="AE57" s="406"/>
      <c r="AF57" s="406"/>
      <c r="AG57" s="406"/>
      <c r="AH57" s="406"/>
      <c r="AI57" s="406"/>
      <c r="AJ57" s="406"/>
      <c r="AK57" s="406"/>
      <c r="AL57" s="406"/>
      <c r="AM57" s="406"/>
    </row>
    <row r="58" spans="1:39">
      <c r="A58" s="310"/>
      <c r="B58" s="310" t="s">
        <v>112</v>
      </c>
      <c r="C58" s="310">
        <v>31550759.910807587</v>
      </c>
      <c r="D58" s="310">
        <v>120435758131.32956</v>
      </c>
      <c r="E58" s="310">
        <v>4</v>
      </c>
      <c r="F58" s="438">
        <v>3817.2062565781425</v>
      </c>
      <c r="G58" s="310"/>
      <c r="H58" s="310"/>
      <c r="I58" s="438">
        <f t="shared" si="7"/>
        <v>3800</v>
      </c>
      <c r="J58" s="310"/>
      <c r="L58" s="406"/>
      <c r="M58" s="406"/>
      <c r="N58" s="406"/>
      <c r="O58" s="406"/>
      <c r="P58" s="406"/>
      <c r="Q58" s="406"/>
      <c r="R58" s="406"/>
      <c r="S58" s="406"/>
      <c r="T58" s="406"/>
      <c r="U58" s="406"/>
      <c r="V58" s="406"/>
      <c r="W58" s="406"/>
      <c r="X58" s="406"/>
      <c r="Y58" s="406"/>
      <c r="Z58" s="406"/>
      <c r="AA58" s="406"/>
      <c r="AB58" s="406"/>
      <c r="AC58" s="406"/>
      <c r="AD58" s="406"/>
      <c r="AE58" s="406"/>
      <c r="AF58" s="406"/>
      <c r="AG58" s="406"/>
      <c r="AH58" s="406"/>
      <c r="AI58" s="406"/>
      <c r="AJ58" s="406"/>
      <c r="AK58" s="406"/>
      <c r="AL58" s="406"/>
      <c r="AM58" s="406"/>
    </row>
    <row r="59" spans="1:39">
      <c r="A59" s="310"/>
      <c r="B59" s="310" t="s">
        <v>113</v>
      </c>
      <c r="C59" s="310">
        <v>133953325</v>
      </c>
      <c r="D59" s="310">
        <v>834623596295.07922</v>
      </c>
      <c r="E59" s="310">
        <v>37</v>
      </c>
      <c r="F59" s="438">
        <v>6230.7045853104373</v>
      </c>
      <c r="G59" s="310"/>
      <c r="H59" s="310"/>
      <c r="I59" s="438">
        <f t="shared" si="7"/>
        <v>6200</v>
      </c>
      <c r="J59" s="310"/>
      <c r="L59" s="406"/>
      <c r="M59" s="406"/>
      <c r="N59" s="406"/>
      <c r="O59" s="406"/>
      <c r="P59" s="406"/>
      <c r="Q59" s="406"/>
      <c r="R59" s="406"/>
      <c r="S59" s="406"/>
      <c r="T59" s="406"/>
      <c r="U59" s="406"/>
      <c r="V59" s="406"/>
      <c r="W59" s="406"/>
      <c r="X59" s="406"/>
      <c r="Y59" s="406"/>
      <c r="Z59" s="406"/>
      <c r="AA59" s="406"/>
      <c r="AB59" s="406"/>
      <c r="AC59" s="406"/>
      <c r="AD59" s="406"/>
      <c r="AE59" s="406"/>
      <c r="AF59" s="406"/>
      <c r="AG59" s="406"/>
      <c r="AH59" s="406"/>
      <c r="AI59" s="406"/>
      <c r="AJ59" s="406"/>
      <c r="AK59" s="406"/>
      <c r="AL59" s="406"/>
      <c r="AM59" s="406"/>
    </row>
    <row r="60" spans="1:39">
      <c r="A60" s="310"/>
      <c r="B60" s="310" t="s">
        <v>62</v>
      </c>
      <c r="C60" s="310">
        <v>570929487.99999988</v>
      </c>
      <c r="D60" s="310">
        <v>2412121091488.2319</v>
      </c>
      <c r="E60" s="310">
        <v>132</v>
      </c>
      <c r="F60" s="438">
        <v>4224.9019225439488</v>
      </c>
      <c r="G60" s="310"/>
      <c r="H60" s="310"/>
      <c r="I60" s="438">
        <f t="shared" si="7"/>
        <v>4200</v>
      </c>
      <c r="J60" s="310"/>
      <c r="L60" s="406"/>
      <c r="M60" s="406"/>
      <c r="N60" s="406"/>
      <c r="O60" s="406"/>
      <c r="P60" s="406"/>
      <c r="Q60" s="406"/>
      <c r="R60" s="406"/>
      <c r="S60" s="406"/>
      <c r="T60" s="406"/>
      <c r="U60" s="406"/>
      <c r="V60" s="406"/>
      <c r="W60" s="406"/>
      <c r="X60" s="406"/>
      <c r="Y60" s="406"/>
      <c r="Z60" s="406"/>
      <c r="AA60" s="406"/>
      <c r="AB60" s="406"/>
      <c r="AC60" s="406"/>
      <c r="AD60" s="406"/>
      <c r="AE60" s="406"/>
      <c r="AF60" s="406"/>
      <c r="AG60" s="406"/>
      <c r="AH60" s="406"/>
      <c r="AI60" s="406"/>
      <c r="AJ60" s="406"/>
      <c r="AK60" s="406"/>
      <c r="AL60" s="406"/>
      <c r="AM60" s="406"/>
    </row>
    <row r="61" spans="1:39">
      <c r="A61" s="310"/>
      <c r="B61" s="310"/>
      <c r="C61" s="310"/>
      <c r="D61" s="310"/>
      <c r="E61" s="310"/>
      <c r="F61" s="310"/>
      <c r="G61" s="310"/>
      <c r="H61" s="310"/>
      <c r="I61" s="310"/>
      <c r="J61" s="310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  <c r="AA61" s="406"/>
      <c r="AB61" s="406"/>
      <c r="AC61" s="406"/>
      <c r="AD61" s="406"/>
      <c r="AE61" s="406"/>
      <c r="AF61" s="406"/>
      <c r="AG61" s="406"/>
      <c r="AH61" s="406"/>
      <c r="AI61" s="406"/>
      <c r="AJ61" s="406"/>
      <c r="AK61" s="406"/>
      <c r="AL61" s="406"/>
      <c r="AM61" s="406"/>
    </row>
    <row r="62" spans="1:39">
      <c r="A62" s="310"/>
      <c r="B62" s="310"/>
      <c r="C62" s="310" t="s">
        <v>183</v>
      </c>
      <c r="D62" s="310"/>
      <c r="E62" s="310"/>
      <c r="F62" s="310"/>
      <c r="G62" s="310"/>
      <c r="H62" s="310"/>
      <c r="I62" s="310"/>
      <c r="J62" s="310"/>
      <c r="L62" s="406"/>
      <c r="M62" s="424" t="s">
        <v>624</v>
      </c>
      <c r="N62" s="326"/>
      <c r="O62" s="326"/>
      <c r="P62" s="32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6"/>
      <c r="AB62" s="406"/>
      <c r="AC62" s="406"/>
      <c r="AD62" s="406"/>
      <c r="AE62" s="406"/>
      <c r="AF62" s="406"/>
      <c r="AG62" s="406"/>
      <c r="AH62" s="406"/>
      <c r="AI62" s="406"/>
      <c r="AJ62" s="406"/>
      <c r="AK62" s="406"/>
      <c r="AL62" s="406"/>
      <c r="AM62" s="406"/>
    </row>
    <row r="63" spans="1:39" ht="38.25">
      <c r="A63" s="310"/>
      <c r="B63" s="310" t="s">
        <v>59</v>
      </c>
      <c r="C63" s="436" t="s">
        <v>184</v>
      </c>
      <c r="D63" s="436" t="s">
        <v>190</v>
      </c>
      <c r="E63" s="436" t="s">
        <v>189</v>
      </c>
      <c r="F63" s="436"/>
      <c r="G63" s="310"/>
      <c r="H63" s="310"/>
      <c r="I63" s="436" t="s">
        <v>193</v>
      </c>
      <c r="J63" s="310"/>
      <c r="L63" s="406"/>
      <c r="M63" s="326" t="s">
        <v>485</v>
      </c>
      <c r="N63" s="326"/>
      <c r="O63" s="326"/>
      <c r="P63" s="326"/>
      <c r="Q63" s="406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6"/>
      <c r="AF63" s="406"/>
      <c r="AG63" s="406"/>
      <c r="AH63" s="406"/>
      <c r="AI63" s="406"/>
      <c r="AJ63" s="406"/>
      <c r="AK63" s="406"/>
      <c r="AL63" s="406"/>
      <c r="AM63" s="406"/>
    </row>
    <row r="64" spans="1:39">
      <c r="A64" s="310"/>
      <c r="B64" s="310" t="s">
        <v>72</v>
      </c>
      <c r="C64" s="310">
        <v>570929487.99999988</v>
      </c>
      <c r="D64" s="310">
        <v>680808943.79469347</v>
      </c>
      <c r="E64" s="310">
        <v>132</v>
      </c>
      <c r="F64" s="440">
        <v>1.1924571389360319</v>
      </c>
      <c r="G64" s="310"/>
      <c r="H64" s="310"/>
      <c r="I64" s="440">
        <f>F64</f>
        <v>1.1924571389360319</v>
      </c>
      <c r="J64" s="310"/>
      <c r="L64" s="406"/>
      <c r="M64" s="326"/>
      <c r="N64" s="326"/>
      <c r="O64" s="326"/>
      <c r="P64" s="326"/>
      <c r="Q64" s="406"/>
      <c r="R64" s="406"/>
      <c r="S64" s="406"/>
      <c r="T64" s="406"/>
      <c r="U64" s="406"/>
      <c r="V64" s="406"/>
      <c r="W64" s="406"/>
      <c r="X64" s="406"/>
      <c r="Y64" s="406"/>
      <c r="Z64" s="406"/>
      <c r="AA64" s="406"/>
      <c r="AB64" s="406"/>
      <c r="AC64" s="406"/>
      <c r="AD64" s="406"/>
      <c r="AE64" s="406"/>
      <c r="AF64" s="406"/>
      <c r="AG64" s="406"/>
      <c r="AH64" s="406"/>
      <c r="AI64" s="406"/>
      <c r="AJ64" s="406"/>
      <c r="AK64" s="406"/>
      <c r="AL64" s="406"/>
      <c r="AM64" s="406"/>
    </row>
    <row r="65" spans="1:39">
      <c r="A65" s="310"/>
      <c r="B65" s="310" t="s">
        <v>110</v>
      </c>
      <c r="C65" s="439">
        <v>59224380.554442525</v>
      </c>
      <c r="D65" s="310">
        <v>85104825.228553191</v>
      </c>
      <c r="E65" s="310">
        <v>31</v>
      </c>
      <c r="F65" s="440">
        <v>1.4369897064659012</v>
      </c>
      <c r="G65" s="310"/>
      <c r="H65" s="310"/>
      <c r="I65" s="440">
        <f t="shared" ref="I65:I70" si="8">F65</f>
        <v>1.4369897064659012</v>
      </c>
      <c r="J65" s="310"/>
      <c r="L65" s="406"/>
      <c r="M65" s="426"/>
      <c r="N65" s="426" t="s">
        <v>41</v>
      </c>
      <c r="O65" s="426"/>
      <c r="P65" s="426"/>
      <c r="Q65" s="406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6"/>
      <c r="AF65" s="406"/>
      <c r="AG65" s="406"/>
      <c r="AH65" s="406"/>
      <c r="AI65" s="406"/>
      <c r="AJ65" s="406"/>
      <c r="AK65" s="406"/>
      <c r="AL65" s="406"/>
      <c r="AM65" s="406"/>
    </row>
    <row r="66" spans="1:39">
      <c r="A66" s="310"/>
      <c r="B66" s="310" t="s">
        <v>114</v>
      </c>
      <c r="C66" s="439">
        <v>186496889.44555736</v>
      </c>
      <c r="D66" s="310">
        <v>231038448.28765625</v>
      </c>
      <c r="E66" s="310">
        <v>26</v>
      </c>
      <c r="F66" s="440">
        <v>1.2388327171274434</v>
      </c>
      <c r="G66" s="310"/>
      <c r="H66" s="310"/>
      <c r="I66" s="440">
        <f t="shared" si="8"/>
        <v>1.2388327171274434</v>
      </c>
      <c r="J66" s="310"/>
      <c r="L66" s="406"/>
      <c r="M66" s="426" t="s">
        <v>59</v>
      </c>
      <c r="N66" s="426" t="s">
        <v>149</v>
      </c>
      <c r="O66" s="426" t="s">
        <v>488</v>
      </c>
      <c r="P66" s="426" t="s">
        <v>489</v>
      </c>
      <c r="Q66" s="406"/>
      <c r="R66" s="406"/>
      <c r="S66" s="406"/>
      <c r="T66" s="406"/>
      <c r="U66" s="406"/>
      <c r="V66" s="406"/>
      <c r="W66" s="406"/>
      <c r="X66" s="406"/>
      <c r="Y66" s="406"/>
      <c r="Z66" s="406"/>
      <c r="AA66" s="406"/>
      <c r="AB66" s="406"/>
      <c r="AC66" s="406"/>
      <c r="AD66" s="406"/>
      <c r="AE66" s="406"/>
      <c r="AF66" s="406"/>
      <c r="AG66" s="406"/>
      <c r="AH66" s="406"/>
      <c r="AI66" s="406"/>
      <c r="AJ66" s="406"/>
      <c r="AK66" s="406"/>
      <c r="AL66" s="406"/>
      <c r="AM66" s="406"/>
    </row>
    <row r="67" spans="1:39">
      <c r="A67" s="310"/>
      <c r="B67" s="310" t="s">
        <v>111</v>
      </c>
      <c r="C67" s="439">
        <v>159704133.08919233</v>
      </c>
      <c r="D67" s="310">
        <v>173510643.46647409</v>
      </c>
      <c r="E67" s="310">
        <v>34</v>
      </c>
      <c r="F67" s="440">
        <v>1.0864505514680138</v>
      </c>
      <c r="G67" s="310"/>
      <c r="H67" s="310"/>
      <c r="I67" s="440">
        <f t="shared" si="8"/>
        <v>1.0864505514680138</v>
      </c>
      <c r="J67" s="310"/>
      <c r="L67" s="406"/>
      <c r="M67" s="426" t="s">
        <v>157</v>
      </c>
      <c r="N67" s="426">
        <v>72989753.853174016</v>
      </c>
      <c r="O67" s="427">
        <v>1</v>
      </c>
      <c r="P67" s="426">
        <v>2812111.565352831</v>
      </c>
      <c r="Q67" s="406"/>
      <c r="R67" s="406"/>
      <c r="S67" s="406"/>
      <c r="T67" s="406"/>
      <c r="U67" s="406"/>
      <c r="V67" s="406"/>
      <c r="W67" s="406"/>
      <c r="X67" s="406"/>
      <c r="Y67" s="406"/>
      <c r="Z67" s="406"/>
      <c r="AA67" s="406"/>
      <c r="AB67" s="406"/>
      <c r="AC67" s="406"/>
      <c r="AD67" s="406"/>
      <c r="AE67" s="406"/>
      <c r="AF67" s="406"/>
      <c r="AG67" s="406"/>
      <c r="AH67" s="406"/>
      <c r="AI67" s="406"/>
      <c r="AJ67" s="406"/>
      <c r="AK67" s="406"/>
      <c r="AL67" s="406"/>
      <c r="AM67" s="406"/>
    </row>
    <row r="68" spans="1:39">
      <c r="A68" s="310"/>
      <c r="B68" s="310" t="s">
        <v>112</v>
      </c>
      <c r="C68" s="439">
        <v>31550759.910807587</v>
      </c>
      <c r="D68" s="310">
        <v>31685104.874314129</v>
      </c>
      <c r="E68" s="310">
        <v>4</v>
      </c>
      <c r="F68" s="440">
        <v>1.004258057932244</v>
      </c>
      <c r="G68" s="310"/>
      <c r="H68" s="310"/>
      <c r="I68" s="440">
        <f t="shared" si="8"/>
        <v>1.004258057932244</v>
      </c>
      <c r="J68" s="310"/>
      <c r="L68" s="406"/>
      <c r="M68" s="426" t="s">
        <v>492</v>
      </c>
      <c r="N68" s="426">
        <v>72989753.853174016</v>
      </c>
      <c r="O68" s="427">
        <v>1</v>
      </c>
      <c r="P68" s="426">
        <v>2812111.565352831</v>
      </c>
      <c r="Q68" s="406"/>
      <c r="R68" s="406"/>
      <c r="S68" s="406"/>
      <c r="T68" s="406"/>
      <c r="U68" s="406"/>
      <c r="V68" s="406"/>
      <c r="W68" s="406"/>
      <c r="X68" s="406"/>
      <c r="Y68" s="406"/>
      <c r="Z68" s="406"/>
      <c r="AA68" s="406"/>
      <c r="AB68" s="406"/>
      <c r="AC68" s="406"/>
      <c r="AD68" s="406"/>
      <c r="AE68" s="406"/>
      <c r="AF68" s="406"/>
      <c r="AG68" s="406"/>
      <c r="AH68" s="406"/>
      <c r="AI68" s="406"/>
      <c r="AJ68" s="406"/>
      <c r="AK68" s="406"/>
      <c r="AL68" s="406"/>
      <c r="AM68" s="406"/>
    </row>
    <row r="69" spans="1:39">
      <c r="A69" s="310"/>
      <c r="B69" s="310" t="s">
        <v>113</v>
      </c>
      <c r="C69" s="439">
        <v>133953325</v>
      </c>
      <c r="D69" s="310">
        <v>159469921.93769556</v>
      </c>
      <c r="E69" s="310">
        <v>37</v>
      </c>
      <c r="F69" s="440">
        <v>1.1904887164069691</v>
      </c>
      <c r="G69" s="310"/>
      <c r="H69" s="310"/>
      <c r="I69" s="440">
        <f t="shared" si="8"/>
        <v>1.1904887164069691</v>
      </c>
      <c r="J69" s="310"/>
      <c r="L69" s="406"/>
      <c r="M69" s="426">
        <v>9</v>
      </c>
      <c r="N69" s="426">
        <v>290038.2613753819</v>
      </c>
      <c r="O69" s="427">
        <v>3.9736846072781946E-3</v>
      </c>
      <c r="P69" s="426">
        <v>24530.03523833544</v>
      </c>
      <c r="Q69" s="406"/>
      <c r="R69" s="406"/>
      <c r="S69" s="406"/>
      <c r="T69" s="406"/>
      <c r="U69" s="406"/>
      <c r="V69" s="406"/>
      <c r="W69" s="406"/>
      <c r="X69" s="406"/>
      <c r="Y69" s="406"/>
      <c r="Z69" s="406"/>
      <c r="AA69" s="406"/>
      <c r="AB69" s="406"/>
      <c r="AC69" s="406"/>
      <c r="AD69" s="406"/>
      <c r="AE69" s="406"/>
      <c r="AF69" s="406"/>
      <c r="AG69" s="406"/>
      <c r="AH69" s="406"/>
      <c r="AI69" s="406"/>
      <c r="AJ69" s="406"/>
      <c r="AK69" s="406"/>
      <c r="AL69" s="406"/>
      <c r="AM69" s="406"/>
    </row>
    <row r="70" spans="1:39">
      <c r="A70" s="310"/>
      <c r="B70" s="310" t="s">
        <v>62</v>
      </c>
      <c r="C70" s="439">
        <v>570929487.99999988</v>
      </c>
      <c r="D70" s="310">
        <v>680808943.79469347</v>
      </c>
      <c r="E70" s="310">
        <v>132</v>
      </c>
      <c r="F70" s="440">
        <v>1.1924571389360319</v>
      </c>
      <c r="G70" s="310"/>
      <c r="H70" s="310"/>
      <c r="I70" s="440">
        <f t="shared" si="8"/>
        <v>1.1924571389360319</v>
      </c>
      <c r="J70" s="310"/>
      <c r="L70" s="406"/>
      <c r="M70" s="426">
        <v>13</v>
      </c>
      <c r="N70" s="426">
        <v>7703300.9425640889</v>
      </c>
      <c r="O70" s="427">
        <v>0.10553948377549029</v>
      </c>
      <c r="P70" s="426">
        <v>499039.50361617969</v>
      </c>
      <c r="Q70" s="406"/>
      <c r="R70" s="406"/>
      <c r="S70" s="406"/>
      <c r="T70" s="406"/>
      <c r="U70" s="406"/>
      <c r="V70" s="406"/>
      <c r="W70" s="406"/>
      <c r="X70" s="406"/>
      <c r="Y70" s="406"/>
      <c r="Z70" s="406"/>
      <c r="AA70" s="406"/>
      <c r="AB70" s="406"/>
      <c r="AC70" s="406"/>
      <c r="AD70" s="406"/>
      <c r="AE70" s="406"/>
      <c r="AF70" s="406"/>
      <c r="AG70" s="406"/>
      <c r="AH70" s="406"/>
      <c r="AI70" s="406"/>
      <c r="AJ70" s="406"/>
      <c r="AK70" s="406"/>
      <c r="AL70" s="406"/>
      <c r="AM70" s="406"/>
    </row>
    <row r="71" spans="1:39">
      <c r="A71" s="310"/>
      <c r="B71" s="310"/>
      <c r="C71" s="310"/>
      <c r="D71" s="310"/>
      <c r="E71" s="310"/>
      <c r="F71" s="310"/>
      <c r="G71" s="310"/>
      <c r="H71" s="310"/>
      <c r="I71" s="310"/>
      <c r="J71" s="310"/>
      <c r="L71" s="406"/>
      <c r="M71" s="426">
        <v>14</v>
      </c>
      <c r="N71" s="426">
        <v>736706.08984027337</v>
      </c>
      <c r="O71" s="427">
        <v>1.0093280918883892E-2</v>
      </c>
      <c r="P71" s="426">
        <v>44045.536935349301</v>
      </c>
      <c r="Q71" s="406"/>
      <c r="R71" s="406"/>
      <c r="S71" s="406"/>
      <c r="T71" s="406"/>
      <c r="U71" s="406"/>
      <c r="V71" s="406"/>
      <c r="W71" s="406"/>
      <c r="X71" s="406"/>
      <c r="Y71" s="406"/>
      <c r="Z71" s="406"/>
      <c r="AA71" s="406"/>
      <c r="AB71" s="406"/>
      <c r="AC71" s="406"/>
      <c r="AD71" s="406"/>
      <c r="AE71" s="406"/>
      <c r="AF71" s="406"/>
      <c r="AG71" s="406"/>
      <c r="AH71" s="406"/>
      <c r="AI71" s="406"/>
      <c r="AJ71" s="406"/>
      <c r="AK71" s="406"/>
      <c r="AL71" s="406"/>
      <c r="AM71" s="406"/>
    </row>
    <row r="72" spans="1:39">
      <c r="A72" s="310"/>
      <c r="B72" s="310"/>
      <c r="C72" s="310" t="s">
        <v>183</v>
      </c>
      <c r="D72" s="310"/>
      <c r="E72" s="310"/>
      <c r="F72" s="310"/>
      <c r="G72" s="310"/>
      <c r="H72" s="310"/>
      <c r="I72" s="310"/>
      <c r="J72" s="310"/>
      <c r="L72" s="406"/>
      <c r="M72" s="426">
        <v>15</v>
      </c>
      <c r="N72" s="426">
        <v>1445049.8026388467</v>
      </c>
      <c r="O72" s="427">
        <v>1.9797981584452316E-2</v>
      </c>
      <c r="P72" s="426">
        <v>72245.834741855069</v>
      </c>
      <c r="Q72" s="406"/>
      <c r="R72" s="406"/>
      <c r="S72" s="406"/>
      <c r="T72" s="406"/>
      <c r="U72" s="406"/>
      <c r="V72" s="406"/>
      <c r="W72" s="406"/>
      <c r="X72" s="406"/>
      <c r="Y72" s="406"/>
      <c r="Z72" s="406"/>
      <c r="AA72" s="406"/>
      <c r="AB72" s="406"/>
      <c r="AC72" s="406"/>
      <c r="AD72" s="406"/>
      <c r="AE72" s="406"/>
      <c r="AF72" s="406"/>
      <c r="AG72" s="406"/>
      <c r="AH72" s="406"/>
      <c r="AI72" s="406"/>
      <c r="AJ72" s="406"/>
      <c r="AK72" s="406"/>
      <c r="AL72" s="406"/>
      <c r="AM72" s="406"/>
    </row>
    <row r="73" spans="1:39" ht="51">
      <c r="A73" s="310"/>
      <c r="B73" s="310" t="s">
        <v>59</v>
      </c>
      <c r="C73" s="436" t="s">
        <v>189</v>
      </c>
      <c r="D73" s="436" t="s">
        <v>184</v>
      </c>
      <c r="E73" s="436" t="s">
        <v>192</v>
      </c>
      <c r="F73" s="436"/>
      <c r="G73" s="310"/>
      <c r="H73" s="310"/>
      <c r="I73" s="436" t="s">
        <v>193</v>
      </c>
      <c r="J73" s="310"/>
      <c r="L73" s="406"/>
      <c r="M73" s="426">
        <v>16</v>
      </c>
      <c r="N73" s="426">
        <v>628883.28101795923</v>
      </c>
      <c r="O73" s="427">
        <v>8.6160487988905816E-3</v>
      </c>
      <c r="P73" s="426">
        <v>34974.809248042897</v>
      </c>
      <c r="Q73" s="406"/>
      <c r="R73" s="406"/>
      <c r="S73" s="406"/>
      <c r="T73" s="406"/>
      <c r="U73" s="406"/>
      <c r="V73" s="406"/>
      <c r="W73" s="406"/>
      <c r="X73" s="406"/>
      <c r="Y73" s="406"/>
      <c r="Z73" s="406"/>
      <c r="AA73" s="406"/>
      <c r="AB73" s="406"/>
      <c r="AC73" s="406"/>
      <c r="AD73" s="406"/>
      <c r="AE73" s="406"/>
      <c r="AF73" s="406"/>
      <c r="AG73" s="406"/>
      <c r="AH73" s="406"/>
      <c r="AI73" s="406"/>
      <c r="AJ73" s="406"/>
      <c r="AK73" s="406"/>
      <c r="AL73" s="406"/>
      <c r="AM73" s="406"/>
    </row>
    <row r="74" spans="1:39">
      <c r="A74" s="310"/>
      <c r="B74" s="310" t="s">
        <v>72</v>
      </c>
      <c r="C74" s="310">
        <v>132</v>
      </c>
      <c r="D74" s="310">
        <v>570929487.99999988</v>
      </c>
      <c r="E74" s="310">
        <v>7286506717.5294104</v>
      </c>
      <c r="F74" s="440">
        <v>12.762533501386448</v>
      </c>
      <c r="G74" s="310"/>
      <c r="H74" s="310"/>
      <c r="I74" s="310"/>
      <c r="J74" s="310"/>
      <c r="L74" s="406"/>
      <c r="M74" s="426">
        <v>17</v>
      </c>
      <c r="N74" s="426">
        <v>115196.69569324149</v>
      </c>
      <c r="O74" s="427">
        <v>1.5782584487813295E-3</v>
      </c>
      <c r="P74" s="426">
        <v>5759.8347846620918</v>
      </c>
      <c r="Q74" s="406"/>
      <c r="R74" s="406"/>
      <c r="S74" s="406"/>
      <c r="T74" s="406"/>
      <c r="U74" s="406"/>
      <c r="V74" s="406"/>
      <c r="W74" s="406"/>
      <c r="X74" s="406"/>
      <c r="Y74" s="406"/>
      <c r="Z74" s="406"/>
      <c r="AA74" s="406"/>
      <c r="AB74" s="406"/>
      <c r="AC74" s="406"/>
      <c r="AD74" s="406"/>
      <c r="AE74" s="406"/>
      <c r="AF74" s="406"/>
      <c r="AG74" s="406"/>
      <c r="AH74" s="406"/>
      <c r="AI74" s="406"/>
      <c r="AJ74" s="406"/>
      <c r="AK74" s="406"/>
      <c r="AL74" s="406"/>
      <c r="AM74" s="406"/>
    </row>
    <row r="75" spans="1:39">
      <c r="A75" s="310"/>
      <c r="B75" s="310" t="s">
        <v>110</v>
      </c>
      <c r="C75" s="310">
        <v>31</v>
      </c>
      <c r="D75" s="439">
        <v>59224380.554442525</v>
      </c>
      <c r="E75" s="310">
        <v>762539769.56248772</v>
      </c>
      <c r="F75" s="440">
        <v>12.875436812066214</v>
      </c>
      <c r="G75" s="310"/>
      <c r="H75" s="310"/>
      <c r="I75" s="310"/>
      <c r="J75" s="310"/>
      <c r="L75" s="406"/>
      <c r="M75" s="426">
        <v>18</v>
      </c>
      <c r="N75" s="426">
        <v>2987815.3774057538</v>
      </c>
      <c r="O75" s="427">
        <v>4.0934723295766071E-2</v>
      </c>
      <c r="P75" s="426">
        <v>151999.32284746991</v>
      </c>
      <c r="Q75" s="406"/>
      <c r="R75" s="406"/>
      <c r="S75" s="406"/>
      <c r="T75" s="406"/>
      <c r="U75" s="406"/>
      <c r="V75" s="406"/>
      <c r="W75" s="406"/>
      <c r="X75" s="406"/>
      <c r="Y75" s="406"/>
      <c r="Z75" s="406"/>
      <c r="AA75" s="406"/>
      <c r="AB75" s="406"/>
      <c r="AC75" s="406"/>
      <c r="AD75" s="406"/>
      <c r="AE75" s="406"/>
      <c r="AF75" s="406"/>
      <c r="AG75" s="406"/>
      <c r="AH75" s="406"/>
      <c r="AI75" s="406"/>
      <c r="AJ75" s="406"/>
      <c r="AK75" s="406"/>
      <c r="AL75" s="406"/>
      <c r="AM75" s="406"/>
    </row>
    <row r="76" spans="1:39">
      <c r="A76" s="310"/>
      <c r="B76" s="310" t="s">
        <v>114</v>
      </c>
      <c r="C76" s="310">
        <v>26</v>
      </c>
      <c r="D76" s="439">
        <v>186496889.44555736</v>
      </c>
      <c r="E76" s="310">
        <v>2300078045.3889713</v>
      </c>
      <c r="F76" s="440">
        <v>12.333063850163656</v>
      </c>
      <c r="G76" s="310"/>
      <c r="H76" s="310"/>
      <c r="I76" s="310"/>
      <c r="J76" s="310"/>
      <c r="L76" s="406"/>
      <c r="M76" s="426">
        <v>19</v>
      </c>
      <c r="N76" s="426">
        <v>634373.51377807837</v>
      </c>
      <c r="O76" s="427">
        <v>8.6912680244707E-3</v>
      </c>
      <c r="P76" s="426">
        <v>28494.933315980408</v>
      </c>
      <c r="Q76" s="406"/>
      <c r="R76" s="406"/>
      <c r="S76" s="406"/>
      <c r="T76" s="406"/>
      <c r="U76" s="406"/>
      <c r="V76" s="406"/>
      <c r="W76" s="406"/>
      <c r="X76" s="406"/>
      <c r="Y76" s="406"/>
      <c r="Z76" s="406"/>
      <c r="AA76" s="406"/>
      <c r="AB76" s="406"/>
      <c r="AC76" s="406"/>
      <c r="AD76" s="406"/>
      <c r="AE76" s="406"/>
      <c r="AF76" s="406"/>
      <c r="AG76" s="406"/>
      <c r="AH76" s="406"/>
      <c r="AI76" s="406"/>
      <c r="AJ76" s="406"/>
      <c r="AK76" s="406"/>
      <c r="AL76" s="406"/>
      <c r="AM76" s="406"/>
    </row>
    <row r="77" spans="1:39">
      <c r="A77" s="310"/>
      <c r="B77" s="310" t="s">
        <v>111</v>
      </c>
      <c r="C77" s="310">
        <v>34</v>
      </c>
      <c r="D77" s="439">
        <v>159704133.08919233</v>
      </c>
      <c r="E77" s="310">
        <v>1625090281.1278839</v>
      </c>
      <c r="F77" s="440">
        <v>10.17563070969676</v>
      </c>
      <c r="G77" s="310"/>
      <c r="H77" s="310"/>
      <c r="I77" s="310"/>
      <c r="J77" s="310"/>
      <c r="L77" s="406"/>
      <c r="M77" s="426">
        <v>20</v>
      </c>
      <c r="N77" s="426">
        <v>1161783.3196380257</v>
      </c>
      <c r="O77" s="427">
        <v>1.5917074086522688E-2</v>
      </c>
      <c r="P77" s="426">
        <v>50512.318245131464</v>
      </c>
      <c r="Q77" s="406"/>
      <c r="R77" s="406"/>
      <c r="S77" s="406"/>
      <c r="T77" s="406"/>
      <c r="U77" s="406"/>
      <c r="V77" s="406"/>
      <c r="W77" s="406"/>
      <c r="X77" s="406"/>
      <c r="Y77" s="406"/>
      <c r="Z77" s="406"/>
      <c r="AA77" s="406"/>
      <c r="AB77" s="406"/>
      <c r="AC77" s="406"/>
      <c r="AD77" s="406"/>
      <c r="AE77" s="406"/>
      <c r="AF77" s="406"/>
      <c r="AG77" s="406"/>
      <c r="AH77" s="406"/>
      <c r="AI77" s="406"/>
      <c r="AJ77" s="406"/>
      <c r="AK77" s="406"/>
      <c r="AL77" s="406"/>
      <c r="AM77" s="406"/>
    </row>
    <row r="78" spans="1:39">
      <c r="A78" s="310"/>
      <c r="B78" s="310" t="s">
        <v>112</v>
      </c>
      <c r="C78" s="310">
        <v>4</v>
      </c>
      <c r="D78" s="439">
        <v>31550759.910807587</v>
      </c>
      <c r="E78" s="310">
        <v>320274812.83238244</v>
      </c>
      <c r="F78" s="440">
        <v>10.151096637221521</v>
      </c>
      <c r="G78" s="310"/>
      <c r="H78" s="310"/>
      <c r="I78" s="310"/>
      <c r="J78" s="310"/>
      <c r="L78" s="406"/>
      <c r="M78" s="426">
        <v>22</v>
      </c>
      <c r="N78" s="426">
        <v>275970.96740879893</v>
      </c>
      <c r="O78" s="427">
        <v>3.7809548990114608E-3</v>
      </c>
      <c r="P78" s="426">
        <v>11668.792578875486</v>
      </c>
      <c r="Q78" s="406"/>
      <c r="R78" s="406"/>
      <c r="S78" s="406"/>
      <c r="T78" s="406"/>
      <c r="U78" s="406"/>
      <c r="V78" s="406"/>
      <c r="W78" s="406"/>
      <c r="X78" s="406"/>
      <c r="Y78" s="406"/>
      <c r="Z78" s="406"/>
      <c r="AA78" s="406"/>
      <c r="AB78" s="406"/>
      <c r="AC78" s="406"/>
      <c r="AD78" s="406"/>
      <c r="AE78" s="406"/>
      <c r="AF78" s="406"/>
      <c r="AG78" s="406"/>
      <c r="AH78" s="406"/>
      <c r="AI78" s="406"/>
      <c r="AJ78" s="406"/>
      <c r="AK78" s="406"/>
      <c r="AL78" s="406"/>
      <c r="AM78" s="406"/>
    </row>
    <row r="79" spans="1:39">
      <c r="A79" s="310"/>
      <c r="B79" s="310" t="s">
        <v>113</v>
      </c>
      <c r="C79" s="310">
        <v>37</v>
      </c>
      <c r="D79" s="439">
        <v>133953325</v>
      </c>
      <c r="E79" s="310">
        <v>2278523808.6176853</v>
      </c>
      <c r="F79" s="440">
        <v>17.00983390011174</v>
      </c>
      <c r="G79" s="310"/>
      <c r="H79" s="310"/>
      <c r="I79" s="310"/>
      <c r="J79" s="310"/>
      <c r="L79" s="406"/>
      <c r="M79" s="426">
        <v>23</v>
      </c>
      <c r="N79" s="426">
        <v>5326501.5886386614</v>
      </c>
      <c r="O79" s="427">
        <v>7.2976017967582643E-2</v>
      </c>
      <c r="P79" s="426">
        <v>202106.49544817657</v>
      </c>
      <c r="Q79" s="406"/>
      <c r="R79" s="406"/>
      <c r="S79" s="406"/>
      <c r="T79" s="406"/>
      <c r="U79" s="406"/>
      <c r="V79" s="406"/>
      <c r="W79" s="406"/>
      <c r="X79" s="406"/>
      <c r="Y79" s="406"/>
      <c r="Z79" s="406"/>
      <c r="AA79" s="406"/>
      <c r="AB79" s="406"/>
      <c r="AC79" s="406"/>
      <c r="AD79" s="406"/>
      <c r="AE79" s="406"/>
      <c r="AF79" s="406"/>
      <c r="AG79" s="406"/>
      <c r="AH79" s="406"/>
      <c r="AI79" s="406"/>
      <c r="AJ79" s="406"/>
      <c r="AK79" s="406"/>
      <c r="AL79" s="406"/>
      <c r="AM79" s="406"/>
    </row>
    <row r="80" spans="1:39">
      <c r="A80" s="310"/>
      <c r="B80" s="310" t="s">
        <v>62</v>
      </c>
      <c r="C80" s="310">
        <v>132</v>
      </c>
      <c r="D80" s="439">
        <v>570929487.99999988</v>
      </c>
      <c r="E80" s="310">
        <v>7286506717.5294104</v>
      </c>
      <c r="F80" s="440">
        <v>12.762533501386448</v>
      </c>
      <c r="G80" s="310"/>
      <c r="H80" s="310"/>
      <c r="I80" s="310"/>
      <c r="J80" s="310"/>
      <c r="L80" s="406"/>
      <c r="M80" s="426">
        <v>24</v>
      </c>
      <c r="N80" s="426">
        <v>748998.81806239521</v>
      </c>
      <c r="O80" s="427">
        <v>1.0261698094900814E-2</v>
      </c>
      <c r="P80" s="426">
        <v>34772.134823693596</v>
      </c>
      <c r="Q80" s="406"/>
      <c r="R80" s="406"/>
      <c r="S80" s="406"/>
      <c r="T80" s="406"/>
      <c r="U80" s="406"/>
      <c r="V80" s="406"/>
      <c r="W80" s="406"/>
      <c r="X80" s="406"/>
      <c r="Y80" s="406"/>
      <c r="Z80" s="406"/>
      <c r="AA80" s="406"/>
      <c r="AB80" s="406"/>
      <c r="AC80" s="406"/>
      <c r="AD80" s="406"/>
      <c r="AE80" s="406"/>
      <c r="AF80" s="406"/>
      <c r="AG80" s="406"/>
      <c r="AH80" s="406"/>
      <c r="AI80" s="406"/>
      <c r="AJ80" s="406"/>
      <c r="AK80" s="406"/>
      <c r="AL80" s="406"/>
      <c r="AM80" s="406"/>
    </row>
    <row r="81" spans="1:39">
      <c r="A81" s="310"/>
      <c r="B81" s="310"/>
      <c r="C81" s="310"/>
      <c r="D81" s="310"/>
      <c r="E81" s="310"/>
      <c r="F81" s="310"/>
      <c r="G81" s="310"/>
      <c r="H81" s="310"/>
      <c r="I81" s="310"/>
      <c r="J81" s="310"/>
      <c r="L81" s="406"/>
      <c r="M81" s="429">
        <v>26</v>
      </c>
      <c r="N81" s="430">
        <v>21608243.375583999</v>
      </c>
      <c r="O81" s="431">
        <v>0.29604488623226599</v>
      </c>
      <c r="P81" s="432">
        <v>821627.91249792592</v>
      </c>
      <c r="Q81" s="406"/>
      <c r="R81" s="406"/>
      <c r="S81" s="406"/>
      <c r="T81" s="406"/>
      <c r="U81" s="406"/>
      <c r="V81" s="406"/>
      <c r="W81" s="406"/>
      <c r="X81" s="406"/>
      <c r="Y81" s="406"/>
      <c r="Z81" s="406"/>
      <c r="AA81" s="406"/>
      <c r="AB81" s="406"/>
      <c r="AC81" s="406"/>
      <c r="AD81" s="406"/>
      <c r="AE81" s="406"/>
      <c r="AF81" s="406"/>
      <c r="AG81" s="406"/>
      <c r="AH81" s="406"/>
      <c r="AI81" s="406"/>
      <c r="AJ81" s="406"/>
      <c r="AK81" s="406"/>
      <c r="AL81" s="406"/>
      <c r="AM81" s="406"/>
    </row>
    <row r="82" spans="1:39">
      <c r="A82" s="310"/>
      <c r="B82" s="310"/>
      <c r="C82" s="310" t="s">
        <v>183</v>
      </c>
      <c r="D82" s="310"/>
      <c r="E82" s="310"/>
      <c r="F82" s="310"/>
      <c r="G82" s="310"/>
      <c r="H82" s="310"/>
      <c r="I82" s="310"/>
      <c r="J82" s="310"/>
      <c r="L82" s="406"/>
      <c r="M82" s="426">
        <v>27</v>
      </c>
      <c r="N82" s="426">
        <v>225062.55026419295</v>
      </c>
      <c r="O82" s="427">
        <v>3.0834814255837626E-3</v>
      </c>
      <c r="P82" s="426">
        <v>8153.6353575861667</v>
      </c>
      <c r="Q82" s="406"/>
      <c r="R82" s="406"/>
      <c r="S82" s="406"/>
      <c r="T82" s="406"/>
      <c r="U82" s="406"/>
      <c r="V82" s="406"/>
      <c r="W82" s="406"/>
      <c r="X82" s="406"/>
      <c r="Y82" s="406"/>
      <c r="Z82" s="406"/>
      <c r="AA82" s="406"/>
      <c r="AB82" s="406"/>
      <c r="AC82" s="406"/>
      <c r="AD82" s="406"/>
      <c r="AE82" s="406"/>
      <c r="AF82" s="406"/>
      <c r="AG82" s="406"/>
      <c r="AH82" s="406"/>
      <c r="AI82" s="406"/>
      <c r="AJ82" s="406"/>
      <c r="AK82" s="406"/>
      <c r="AL82" s="406"/>
      <c r="AM82" s="406"/>
    </row>
    <row r="83" spans="1:39" ht="51">
      <c r="A83" s="310"/>
      <c r="B83" s="310" t="s">
        <v>59</v>
      </c>
      <c r="C83" s="436" t="s">
        <v>189</v>
      </c>
      <c r="D83" s="436" t="s">
        <v>184</v>
      </c>
      <c r="E83" s="436" t="s">
        <v>191</v>
      </c>
      <c r="F83" s="436"/>
      <c r="G83" s="310"/>
      <c r="H83" s="310"/>
      <c r="I83" s="436" t="s">
        <v>193</v>
      </c>
      <c r="J83" s="310"/>
      <c r="L83" s="406"/>
      <c r="M83" s="426">
        <v>28</v>
      </c>
      <c r="N83" s="426">
        <v>2648761.220951092</v>
      </c>
      <c r="O83" s="427">
        <v>3.6289493814150031E-2</v>
      </c>
      <c r="P83" s="426">
        <v>91338.671385066118</v>
      </c>
      <c r="Q83" s="406"/>
      <c r="R83" s="406"/>
      <c r="S83" s="406"/>
      <c r="T83" s="406"/>
      <c r="U83" s="406"/>
      <c r="V83" s="406"/>
      <c r="W83" s="406"/>
      <c r="X83" s="406"/>
      <c r="Y83" s="406"/>
      <c r="Z83" s="406"/>
      <c r="AA83" s="406"/>
      <c r="AB83" s="406"/>
      <c r="AC83" s="406"/>
      <c r="AD83" s="406"/>
      <c r="AE83" s="406"/>
      <c r="AF83" s="406"/>
      <c r="AG83" s="406"/>
      <c r="AH83" s="406"/>
      <c r="AI83" s="406"/>
      <c r="AJ83" s="406"/>
      <c r="AK83" s="406"/>
      <c r="AL83" s="406"/>
      <c r="AM83" s="406"/>
    </row>
    <row r="84" spans="1:39">
      <c r="A84" s="310"/>
      <c r="B84" s="310" t="s">
        <v>72</v>
      </c>
      <c r="C84" s="310">
        <v>132</v>
      </c>
      <c r="D84" s="310">
        <v>570929487.99999988</v>
      </c>
      <c r="E84" s="310">
        <v>9318768185.4901543</v>
      </c>
      <c r="F84" s="440">
        <v>16.322099981443166</v>
      </c>
      <c r="G84" s="310"/>
      <c r="H84" s="310"/>
      <c r="I84" s="310"/>
      <c r="J84" s="310"/>
      <c r="L84" s="406"/>
      <c r="M84" s="426">
        <v>30</v>
      </c>
      <c r="N84" s="426">
        <v>639042.28405917669</v>
      </c>
      <c r="O84" s="427">
        <v>8.7552327597195684E-3</v>
      </c>
      <c r="P84" s="426">
        <v>17628.752663701383</v>
      </c>
      <c r="Q84" s="406"/>
      <c r="R84" s="406"/>
      <c r="S84" s="406"/>
      <c r="T84" s="406"/>
      <c r="U84" s="406"/>
      <c r="V84" s="406"/>
      <c r="W84" s="406"/>
      <c r="X84" s="406"/>
      <c r="Y84" s="406"/>
      <c r="Z84" s="406"/>
      <c r="AA84" s="406"/>
      <c r="AB84" s="406"/>
      <c r="AC84" s="406"/>
      <c r="AD84" s="406"/>
      <c r="AE84" s="406"/>
      <c r="AF84" s="406"/>
      <c r="AG84" s="406"/>
      <c r="AH84" s="406"/>
      <c r="AI84" s="406"/>
      <c r="AJ84" s="406"/>
      <c r="AK84" s="406"/>
      <c r="AL84" s="406"/>
      <c r="AM84" s="406"/>
    </row>
    <row r="85" spans="1:39">
      <c r="A85" s="310"/>
      <c r="B85" s="310" t="s">
        <v>110</v>
      </c>
      <c r="C85" s="310">
        <v>31</v>
      </c>
      <c r="D85" s="439">
        <v>59224380.554442525</v>
      </c>
      <c r="E85" s="310">
        <v>1957462776.9985507</v>
      </c>
      <c r="F85" s="440">
        <v>33.051637833495548</v>
      </c>
      <c r="G85" s="310"/>
      <c r="H85" s="310"/>
      <c r="I85" s="310"/>
      <c r="J85" s="310"/>
      <c r="L85" s="406"/>
      <c r="M85" s="429">
        <v>32</v>
      </c>
      <c r="N85" s="430">
        <v>19049023.039632455</v>
      </c>
      <c r="O85" s="431">
        <v>0.2609821520696099</v>
      </c>
      <c r="P85" s="432">
        <v>565112.14836393599</v>
      </c>
      <c r="Q85" s="406"/>
      <c r="R85" s="406"/>
      <c r="S85" s="406"/>
      <c r="T85" s="406"/>
      <c r="U85" s="406"/>
      <c r="V85" s="406"/>
      <c r="W85" s="406"/>
      <c r="X85" s="406"/>
      <c r="Y85" s="406"/>
      <c r="Z85" s="406"/>
      <c r="AA85" s="406"/>
      <c r="AB85" s="406"/>
      <c r="AC85" s="406"/>
      <c r="AD85" s="406"/>
      <c r="AE85" s="406"/>
      <c r="AF85" s="406"/>
      <c r="AG85" s="406"/>
      <c r="AH85" s="406"/>
      <c r="AI85" s="406"/>
      <c r="AJ85" s="406"/>
      <c r="AK85" s="406"/>
      <c r="AL85" s="406"/>
      <c r="AM85" s="406"/>
    </row>
    <row r="86" spans="1:39">
      <c r="A86" s="310"/>
      <c r="B86" s="310" t="s">
        <v>114</v>
      </c>
      <c r="C86" s="310">
        <v>26</v>
      </c>
      <c r="D86" s="439">
        <v>186496889.44555736</v>
      </c>
      <c r="E86" s="310">
        <v>4318944619.5769129</v>
      </c>
      <c r="F86" s="440">
        <v>23.158266244637343</v>
      </c>
      <c r="G86" s="310"/>
      <c r="H86" s="310"/>
      <c r="I86" s="310"/>
      <c r="J86" s="310"/>
      <c r="L86" s="406"/>
      <c r="M86" s="426">
        <v>35</v>
      </c>
      <c r="N86" s="426">
        <v>339196.98995500611</v>
      </c>
      <c r="O86" s="427">
        <v>4.6471863795750539E-3</v>
      </c>
      <c r="P86" s="426">
        <v>8017.0710972874786</v>
      </c>
      <c r="Q86" s="406"/>
      <c r="R86" s="406"/>
      <c r="S86" s="406"/>
      <c r="T86" s="406"/>
      <c r="U86" s="406"/>
      <c r="V86" s="406"/>
      <c r="W86" s="406"/>
      <c r="X86" s="406"/>
      <c r="Y86" s="406"/>
      <c r="Z86" s="406"/>
      <c r="AA86" s="406"/>
      <c r="AB86" s="406"/>
      <c r="AC86" s="406"/>
      <c r="AD86" s="406"/>
      <c r="AE86" s="406"/>
      <c r="AF86" s="406"/>
      <c r="AG86" s="406"/>
      <c r="AH86" s="406"/>
      <c r="AI86" s="406"/>
      <c r="AJ86" s="406"/>
      <c r="AK86" s="406"/>
      <c r="AL86" s="406"/>
      <c r="AM86" s="406"/>
    </row>
    <row r="87" spans="1:39">
      <c r="A87" s="310"/>
      <c r="B87" s="310" t="s">
        <v>111</v>
      </c>
      <c r="C87" s="310">
        <v>34</v>
      </c>
      <c r="D87" s="439">
        <v>159704133.08919233</v>
      </c>
      <c r="E87" s="310">
        <v>1859960425.35218</v>
      </c>
      <c r="F87" s="440">
        <v>11.646288604900541</v>
      </c>
      <c r="G87" s="310"/>
      <c r="H87" s="310"/>
      <c r="I87" s="310"/>
      <c r="J87" s="310"/>
      <c r="L87" s="406"/>
      <c r="M87" s="426">
        <v>36</v>
      </c>
      <c r="N87" s="426">
        <v>31554.999958015884</v>
      </c>
      <c r="O87" s="427">
        <v>4.3232095317778207E-4</v>
      </c>
      <c r="P87" s="426">
        <v>860.59090794588985</v>
      </c>
      <c r="Q87" s="406"/>
      <c r="R87" s="406"/>
      <c r="S87" s="406"/>
      <c r="T87" s="406"/>
      <c r="U87" s="406"/>
      <c r="V87" s="406"/>
      <c r="W87" s="406"/>
      <c r="X87" s="406"/>
      <c r="Y87" s="406"/>
      <c r="Z87" s="406"/>
      <c r="AA87" s="406"/>
      <c r="AB87" s="406"/>
      <c r="AC87" s="406"/>
      <c r="AD87" s="406"/>
      <c r="AE87" s="406"/>
      <c r="AF87" s="406"/>
      <c r="AG87" s="406"/>
      <c r="AH87" s="406"/>
      <c r="AI87" s="406"/>
      <c r="AJ87" s="406"/>
      <c r="AK87" s="406"/>
      <c r="AL87" s="406"/>
      <c r="AM87" s="406"/>
    </row>
    <row r="88" spans="1:39">
      <c r="A88" s="310"/>
      <c r="B88" s="310" t="s">
        <v>112</v>
      </c>
      <c r="C88" s="310">
        <v>4</v>
      </c>
      <c r="D88" s="439">
        <v>31550759.910807587</v>
      </c>
      <c r="E88" s="310">
        <v>49546379.852358915</v>
      </c>
      <c r="F88" s="440">
        <v>1.570370412390194</v>
      </c>
      <c r="G88" s="310"/>
      <c r="H88" s="310"/>
      <c r="I88" s="310"/>
      <c r="J88" s="310"/>
      <c r="L88" s="406"/>
      <c r="M88" s="426">
        <v>40</v>
      </c>
      <c r="N88" s="426">
        <v>1197935.0247872323</v>
      </c>
      <c r="O88" s="427">
        <v>1.6412372443356846E-2</v>
      </c>
      <c r="P88" s="426">
        <v>26192.680436632909</v>
      </c>
      <c r="Q88" s="406"/>
      <c r="R88" s="406"/>
      <c r="S88" s="406"/>
      <c r="T88" s="406"/>
      <c r="U88" s="406"/>
      <c r="V88" s="406"/>
      <c r="W88" s="406"/>
      <c r="X88" s="406"/>
      <c r="Y88" s="406"/>
      <c r="Z88" s="406"/>
      <c r="AA88" s="406"/>
      <c r="AB88" s="406"/>
      <c r="AC88" s="406"/>
      <c r="AD88" s="406"/>
      <c r="AE88" s="406"/>
      <c r="AF88" s="406"/>
      <c r="AG88" s="406"/>
      <c r="AH88" s="406"/>
      <c r="AI88" s="406"/>
      <c r="AJ88" s="406"/>
      <c r="AK88" s="406"/>
      <c r="AL88" s="406"/>
      <c r="AM88" s="406"/>
    </row>
    <row r="89" spans="1:39">
      <c r="A89" s="310"/>
      <c r="B89" s="310" t="s">
        <v>113</v>
      </c>
      <c r="C89" s="310">
        <v>37</v>
      </c>
      <c r="D89" s="439">
        <v>133953325</v>
      </c>
      <c r="E89" s="310">
        <v>1132853983.7101481</v>
      </c>
      <c r="F89" s="440">
        <v>8.4570799844658442</v>
      </c>
      <c r="G89" s="310"/>
      <c r="H89" s="310"/>
      <c r="I89" s="310"/>
      <c r="J89" s="310"/>
      <c r="L89" s="406"/>
      <c r="M89" s="426">
        <v>41</v>
      </c>
      <c r="N89" s="426">
        <v>508839.85707750323</v>
      </c>
      <c r="O89" s="427">
        <v>6.971387492292193E-3</v>
      </c>
      <c r="P89" s="426">
        <v>11183.29356214289</v>
      </c>
      <c r="Q89" s="406"/>
      <c r="R89" s="406"/>
      <c r="S89" s="406"/>
      <c r="T89" s="406"/>
      <c r="U89" s="406"/>
      <c r="V89" s="406"/>
      <c r="W89" s="406"/>
      <c r="X89" s="406"/>
      <c r="Y89" s="406"/>
      <c r="Z89" s="406"/>
      <c r="AA89" s="406"/>
      <c r="AB89" s="406"/>
      <c r="AC89" s="406"/>
      <c r="AD89" s="406"/>
      <c r="AE89" s="406"/>
      <c r="AF89" s="406"/>
      <c r="AG89" s="406"/>
      <c r="AH89" s="406"/>
      <c r="AI89" s="406"/>
      <c r="AJ89" s="406"/>
      <c r="AK89" s="406"/>
      <c r="AL89" s="406"/>
      <c r="AM89" s="406"/>
    </row>
    <row r="90" spans="1:39">
      <c r="A90" s="310"/>
      <c r="B90" s="310" t="s">
        <v>62</v>
      </c>
      <c r="C90" s="310">
        <v>132</v>
      </c>
      <c r="D90" s="439">
        <v>570929487.99999988</v>
      </c>
      <c r="E90" s="310">
        <v>9318768185.4901543</v>
      </c>
      <c r="F90" s="440">
        <v>16.322099981443166</v>
      </c>
      <c r="G90" s="310"/>
      <c r="H90" s="310"/>
      <c r="I90" s="310"/>
      <c r="J90" s="310"/>
      <c r="L90" s="406"/>
      <c r="M90" s="429">
        <v>42</v>
      </c>
      <c r="N90" s="430">
        <v>4681276.4109328967</v>
      </c>
      <c r="O90" s="431">
        <v>6.4136076145012613E-2</v>
      </c>
      <c r="P90" s="432">
        <v>101735.6991761948</v>
      </c>
      <c r="Q90" s="406"/>
      <c r="R90" s="406"/>
      <c r="S90" s="406"/>
      <c r="T90" s="406"/>
      <c r="U90" s="406"/>
      <c r="V90" s="406"/>
      <c r="W90" s="406"/>
      <c r="X90" s="406"/>
      <c r="Y90" s="406"/>
      <c r="Z90" s="406"/>
      <c r="AA90" s="406"/>
      <c r="AB90" s="406"/>
      <c r="AC90" s="406"/>
      <c r="AD90" s="406"/>
      <c r="AE90" s="406"/>
      <c r="AF90" s="406"/>
      <c r="AG90" s="406"/>
      <c r="AH90" s="406"/>
      <c r="AI90" s="406"/>
      <c r="AJ90" s="406"/>
      <c r="AK90" s="406"/>
      <c r="AL90" s="406"/>
      <c r="AM90" s="406"/>
    </row>
    <row r="91" spans="1:39">
      <c r="A91" s="310"/>
      <c r="B91" s="310"/>
      <c r="C91" s="310"/>
      <c r="D91" s="310"/>
      <c r="E91" s="310"/>
      <c r="F91" s="310"/>
      <c r="G91" s="310"/>
      <c r="H91" s="310"/>
      <c r="I91" s="310"/>
      <c r="J91" s="310"/>
      <c r="L91" s="406"/>
      <c r="M91" s="426">
        <v>46</v>
      </c>
      <c r="N91" s="426">
        <v>6199.4419109435421</v>
      </c>
      <c r="O91" s="427">
        <v>8.4935783225332178E-5</v>
      </c>
      <c r="P91" s="426">
        <v>111.55808065965243</v>
      </c>
      <c r="Q91" s="406"/>
      <c r="R91" s="406"/>
      <c r="S91" s="406"/>
      <c r="T91" s="406"/>
      <c r="U91" s="406"/>
      <c r="V91" s="406"/>
      <c r="W91" s="406"/>
      <c r="X91" s="406"/>
      <c r="Y91" s="406"/>
      <c r="Z91" s="406"/>
      <c r="AA91" s="406"/>
      <c r="AB91" s="406"/>
      <c r="AC91" s="406"/>
      <c r="AD91" s="406"/>
      <c r="AE91" s="406"/>
      <c r="AF91" s="406"/>
      <c r="AG91" s="406"/>
      <c r="AH91" s="406"/>
      <c r="AI91" s="406"/>
      <c r="AJ91" s="406"/>
      <c r="AK91" s="406"/>
      <c r="AL91" s="406"/>
      <c r="AM91" s="406"/>
    </row>
    <row r="92" spans="1:39">
      <c r="A92" s="310"/>
      <c r="B92" s="310"/>
      <c r="C92" s="310"/>
      <c r="D92" s="310"/>
      <c r="E92" s="310"/>
      <c r="F92" s="310"/>
      <c r="G92" s="310"/>
      <c r="H92" s="310"/>
      <c r="I92" s="310"/>
      <c r="J92" s="310"/>
      <c r="L92" s="406"/>
      <c r="M92" s="426" t="s">
        <v>62</v>
      </c>
      <c r="N92" s="426">
        <v>72989753.853174016</v>
      </c>
      <c r="O92" s="427">
        <v>1</v>
      </c>
      <c r="P92" s="426">
        <v>2812111.565352831</v>
      </c>
      <c r="Q92" s="406"/>
      <c r="R92" s="406"/>
      <c r="S92" s="406"/>
      <c r="T92" s="406"/>
      <c r="U92" s="406"/>
      <c r="V92" s="406"/>
      <c r="W92" s="406"/>
      <c r="X92" s="406"/>
      <c r="Y92" s="406"/>
      <c r="Z92" s="406"/>
      <c r="AA92" s="406"/>
      <c r="AB92" s="406"/>
      <c r="AC92" s="406"/>
      <c r="AD92" s="406"/>
      <c r="AE92" s="406"/>
      <c r="AF92" s="406"/>
      <c r="AG92" s="406"/>
      <c r="AH92" s="406"/>
      <c r="AI92" s="406"/>
      <c r="AJ92" s="406"/>
      <c r="AK92" s="406"/>
      <c r="AL92" s="406"/>
      <c r="AM92" s="406"/>
    </row>
    <row r="93" spans="1:39">
      <c r="A93" s="310"/>
      <c r="B93" s="310"/>
      <c r="C93" s="310" t="s">
        <v>183</v>
      </c>
      <c r="D93" s="310"/>
      <c r="E93" s="310"/>
      <c r="F93" s="310"/>
      <c r="G93" s="310"/>
      <c r="H93" s="310"/>
      <c r="I93" s="310"/>
      <c r="J93" s="310"/>
      <c r="L93" s="406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406"/>
      <c r="AA93" s="406"/>
      <c r="AB93" s="406"/>
      <c r="AC93" s="406"/>
      <c r="AD93" s="406"/>
      <c r="AE93" s="406"/>
      <c r="AF93" s="406"/>
      <c r="AG93" s="406"/>
      <c r="AH93" s="406"/>
      <c r="AI93" s="406"/>
      <c r="AJ93" s="406"/>
      <c r="AK93" s="406"/>
      <c r="AL93" s="406"/>
      <c r="AM93" s="406"/>
    </row>
    <row r="94" spans="1:39" ht="63.75">
      <c r="A94" s="310"/>
      <c r="B94" s="310" t="s">
        <v>59</v>
      </c>
      <c r="C94" s="436" t="s">
        <v>184</v>
      </c>
      <c r="D94" s="436" t="s">
        <v>185</v>
      </c>
      <c r="E94" s="436" t="s">
        <v>188</v>
      </c>
      <c r="F94" s="436"/>
      <c r="G94" s="310"/>
      <c r="H94" s="310"/>
      <c r="I94" s="436" t="s">
        <v>193</v>
      </c>
      <c r="J94" s="310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  <c r="AB94" s="406"/>
      <c r="AC94" s="406"/>
      <c r="AD94" s="406"/>
      <c r="AE94" s="406"/>
      <c r="AF94" s="406"/>
      <c r="AG94" s="406"/>
      <c r="AH94" s="406"/>
      <c r="AI94" s="406"/>
      <c r="AJ94" s="406"/>
      <c r="AK94" s="406"/>
      <c r="AL94" s="406"/>
      <c r="AM94" s="406"/>
    </row>
    <row r="95" spans="1:39">
      <c r="A95" s="310"/>
      <c r="B95" s="310" t="s">
        <v>28</v>
      </c>
      <c r="C95" s="310">
        <v>77120838</v>
      </c>
      <c r="D95" s="310">
        <v>553801118359.54578</v>
      </c>
      <c r="E95" s="310">
        <v>74</v>
      </c>
      <c r="F95" s="310"/>
      <c r="G95" s="438">
        <v>7180.9530695134017</v>
      </c>
      <c r="H95" s="310"/>
      <c r="I95" s="310"/>
      <c r="J95" s="310"/>
      <c r="L95" s="406"/>
      <c r="M95" s="406"/>
      <c r="N95" s="406"/>
      <c r="O95" s="406"/>
      <c r="P95" s="406"/>
      <c r="Q95" s="406"/>
      <c r="R95" s="406"/>
      <c r="S95" s="406"/>
      <c r="T95" s="406"/>
      <c r="U95" s="406"/>
      <c r="V95" s="406"/>
      <c r="W95" s="406"/>
      <c r="X95" s="406"/>
      <c r="Y95" s="406"/>
      <c r="Z95" s="406"/>
      <c r="AA95" s="406"/>
      <c r="AB95" s="406"/>
      <c r="AC95" s="406"/>
      <c r="AD95" s="406"/>
      <c r="AE95" s="406"/>
      <c r="AF95" s="406"/>
      <c r="AG95" s="406"/>
      <c r="AH95" s="406"/>
      <c r="AI95" s="406"/>
      <c r="AJ95" s="406"/>
      <c r="AK95" s="406"/>
      <c r="AL95" s="406"/>
      <c r="AM95" s="406"/>
    </row>
    <row r="96" spans="1:39">
      <c r="A96" s="310"/>
      <c r="B96" s="310" t="s">
        <v>110</v>
      </c>
      <c r="C96" s="310">
        <v>11691087.999999996</v>
      </c>
      <c r="D96" s="310">
        <v>79695433476.615662</v>
      </c>
      <c r="E96" s="310">
        <v>38</v>
      </c>
      <c r="F96" s="310"/>
      <c r="G96" s="438">
        <v>6816.7679070259064</v>
      </c>
      <c r="H96" s="310"/>
      <c r="I96" s="310"/>
      <c r="J96" s="310"/>
      <c r="L96" s="406"/>
      <c r="M96" s="406"/>
      <c r="N96" s="406"/>
      <c r="O96" s="406"/>
      <c r="P96" s="406"/>
      <c r="Q96" s="406"/>
      <c r="R96" s="406"/>
      <c r="S96" s="406"/>
      <c r="T96" s="406"/>
      <c r="U96" s="406"/>
      <c r="V96" s="406"/>
      <c r="W96" s="406"/>
      <c r="X96" s="406"/>
      <c r="Y96" s="406"/>
      <c r="Z96" s="406"/>
      <c r="AA96" s="406"/>
      <c r="AB96" s="406"/>
      <c r="AC96" s="406"/>
      <c r="AD96" s="406"/>
      <c r="AE96" s="406"/>
      <c r="AF96" s="406"/>
      <c r="AG96" s="406"/>
      <c r="AH96" s="406"/>
      <c r="AI96" s="406"/>
      <c r="AJ96" s="406"/>
      <c r="AK96" s="406"/>
      <c r="AL96" s="406"/>
      <c r="AM96" s="406"/>
    </row>
    <row r="97" spans="1:39">
      <c r="A97" s="310"/>
      <c r="B97" s="310" t="s">
        <v>114</v>
      </c>
      <c r="C97" s="310">
        <v>20538489.216240078</v>
      </c>
      <c r="D97" s="310">
        <v>114811684724.19363</v>
      </c>
      <c r="E97" s="310">
        <v>24</v>
      </c>
      <c r="F97" s="310"/>
      <c r="G97" s="438">
        <v>5590.0744945451188</v>
      </c>
      <c r="H97" s="438">
        <v>7246.0262324543528</v>
      </c>
      <c r="I97" s="310"/>
      <c r="J97" s="310"/>
      <c r="L97" s="406"/>
      <c r="M97" s="406"/>
      <c r="N97" s="406"/>
      <c r="O97" s="406"/>
      <c r="P97" s="406"/>
      <c r="Q97" s="406"/>
      <c r="R97" s="406"/>
      <c r="S97" s="406"/>
      <c r="T97" s="406"/>
      <c r="U97" s="406"/>
      <c r="V97" s="406"/>
      <c r="W97" s="406"/>
      <c r="X97" s="406"/>
      <c r="Y97" s="406"/>
      <c r="Z97" s="406"/>
      <c r="AA97" s="406"/>
      <c r="AB97" s="406"/>
      <c r="AC97" s="406"/>
      <c r="AD97" s="406"/>
      <c r="AE97" s="406"/>
      <c r="AF97" s="406"/>
      <c r="AG97" s="406"/>
      <c r="AH97" s="406"/>
      <c r="AI97" s="406"/>
      <c r="AJ97" s="406"/>
      <c r="AK97" s="406"/>
      <c r="AL97" s="406"/>
      <c r="AM97" s="406"/>
    </row>
    <row r="98" spans="1:39">
      <c r="A98" s="310"/>
      <c r="B98" s="310" t="s">
        <v>111</v>
      </c>
      <c r="C98" s="310">
        <v>26316120.668866519</v>
      </c>
      <c r="D98" s="310">
        <v>197021576115.0278</v>
      </c>
      <c r="E98" s="310">
        <v>8</v>
      </c>
      <c r="F98" s="310"/>
      <c r="G98" s="438">
        <v>7486.7256688070911</v>
      </c>
      <c r="H98" s="438"/>
      <c r="I98" s="310"/>
      <c r="J98" s="310"/>
      <c r="L98" s="406"/>
      <c r="M98" s="406"/>
      <c r="N98" s="406"/>
      <c r="O98" s="406"/>
      <c r="P98" s="406"/>
      <c r="Q98" s="406"/>
      <c r="R98" s="406"/>
      <c r="S98" s="406"/>
      <c r="T98" s="406"/>
      <c r="U98" s="406"/>
      <c r="V98" s="406"/>
      <c r="W98" s="406"/>
      <c r="X98" s="406"/>
      <c r="Y98" s="406"/>
      <c r="Z98" s="406"/>
      <c r="AA98" s="406"/>
      <c r="AB98" s="406"/>
      <c r="AC98" s="406"/>
      <c r="AD98" s="406"/>
      <c r="AE98" s="406"/>
      <c r="AF98" s="406"/>
      <c r="AG98" s="406"/>
      <c r="AH98" s="406"/>
      <c r="AI98" s="406"/>
      <c r="AJ98" s="406"/>
      <c r="AK98" s="406"/>
      <c r="AL98" s="406"/>
      <c r="AM98" s="406"/>
    </row>
    <row r="99" spans="1:39">
      <c r="A99" s="310"/>
      <c r="B99" s="310" t="s">
        <v>112</v>
      </c>
      <c r="C99" s="310">
        <v>18575140.114893399</v>
      </c>
      <c r="D99" s="310">
        <v>162272424043.70874</v>
      </c>
      <c r="E99" s="310">
        <v>4</v>
      </c>
      <c r="F99" s="310"/>
      <c r="G99" s="438">
        <v>8736</v>
      </c>
      <c r="H99" s="438"/>
      <c r="I99" s="310"/>
      <c r="J99" s="310"/>
      <c r="L99" s="406"/>
      <c r="M99" s="406"/>
      <c r="N99" s="406"/>
      <c r="O99" s="406"/>
      <c r="P99" s="406"/>
      <c r="Q99" s="406"/>
      <c r="R99" s="406"/>
      <c r="S99" s="406"/>
      <c r="T99" s="406"/>
      <c r="U99" s="406"/>
      <c r="V99" s="406"/>
      <c r="W99" s="406"/>
      <c r="X99" s="406"/>
      <c r="Y99" s="406"/>
      <c r="Z99" s="406"/>
      <c r="AA99" s="406"/>
      <c r="AB99" s="406"/>
      <c r="AC99" s="406"/>
      <c r="AD99" s="406"/>
      <c r="AE99" s="406"/>
      <c r="AF99" s="406"/>
      <c r="AG99" s="406"/>
      <c r="AH99" s="406"/>
      <c r="AI99" s="406"/>
      <c r="AJ99" s="406"/>
      <c r="AK99" s="406"/>
      <c r="AL99" s="406"/>
      <c r="AM99" s="406"/>
    </row>
    <row r="100" spans="1:39">
      <c r="A100" s="310"/>
      <c r="B100" s="310" t="s">
        <v>62</v>
      </c>
      <c r="C100" s="310">
        <v>77120838</v>
      </c>
      <c r="D100" s="310">
        <v>553801118359.54578</v>
      </c>
      <c r="E100" s="310">
        <v>74</v>
      </c>
      <c r="F100" s="310"/>
      <c r="G100" s="438">
        <v>7180.9530695134017</v>
      </c>
      <c r="H100" s="310"/>
      <c r="I100" s="310"/>
      <c r="J100" s="310"/>
      <c r="L100" s="406"/>
      <c r="M100" s="406"/>
      <c r="N100" s="406"/>
      <c r="O100" s="406"/>
      <c r="P100" s="406"/>
      <c r="Q100" s="406"/>
      <c r="R100" s="406"/>
      <c r="S100" s="406"/>
      <c r="T100" s="406"/>
      <c r="U100" s="406"/>
      <c r="V100" s="406"/>
      <c r="W100" s="406"/>
      <c r="X100" s="406"/>
      <c r="Y100" s="406"/>
      <c r="Z100" s="406"/>
      <c r="AA100" s="406"/>
      <c r="AB100" s="406"/>
      <c r="AC100" s="406"/>
      <c r="AD100" s="406"/>
      <c r="AE100" s="406"/>
      <c r="AF100" s="406"/>
      <c r="AG100" s="406"/>
      <c r="AH100" s="406"/>
      <c r="AI100" s="406"/>
      <c r="AJ100" s="406"/>
      <c r="AK100" s="406"/>
      <c r="AL100" s="406"/>
      <c r="AM100" s="406"/>
    </row>
    <row r="101" spans="1:39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L101" s="406"/>
      <c r="M101" s="406"/>
      <c r="N101" s="406"/>
      <c r="O101" s="406"/>
      <c r="P101" s="406"/>
      <c r="Q101" s="406"/>
      <c r="R101" s="406"/>
      <c r="S101" s="406"/>
      <c r="T101" s="406"/>
      <c r="U101" s="406"/>
      <c r="V101" s="406"/>
      <c r="W101" s="406"/>
      <c r="X101" s="406"/>
      <c r="Y101" s="406"/>
      <c r="Z101" s="406"/>
      <c r="AA101" s="406"/>
      <c r="AB101" s="406"/>
      <c r="AC101" s="406"/>
      <c r="AD101" s="406"/>
      <c r="AE101" s="406"/>
      <c r="AF101" s="406"/>
      <c r="AG101" s="406"/>
      <c r="AH101" s="406"/>
      <c r="AI101" s="406"/>
      <c r="AJ101" s="406"/>
      <c r="AK101" s="406"/>
      <c r="AL101" s="406"/>
      <c r="AM101" s="406"/>
    </row>
    <row r="102" spans="1:39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L102" s="406"/>
      <c r="M102" s="406"/>
      <c r="N102" s="406"/>
      <c r="O102" s="406"/>
      <c r="P102" s="406"/>
      <c r="Q102" s="406"/>
      <c r="R102" s="406"/>
      <c r="S102" s="406"/>
      <c r="T102" s="406"/>
      <c r="U102" s="406"/>
      <c r="V102" s="406"/>
      <c r="W102" s="406"/>
      <c r="X102" s="406"/>
      <c r="Y102" s="406"/>
      <c r="Z102" s="406"/>
      <c r="AA102" s="406"/>
      <c r="AB102" s="406"/>
      <c r="AC102" s="406"/>
      <c r="AD102" s="406"/>
      <c r="AE102" s="406"/>
      <c r="AF102" s="406"/>
      <c r="AG102" s="406"/>
      <c r="AH102" s="406"/>
      <c r="AI102" s="406"/>
      <c r="AJ102" s="406"/>
      <c r="AK102" s="406"/>
      <c r="AL102" s="406"/>
      <c r="AM102" s="406"/>
    </row>
    <row r="103" spans="1:39">
      <c r="A103" s="310"/>
      <c r="B103" s="310"/>
      <c r="C103" s="310" t="s">
        <v>183</v>
      </c>
      <c r="D103" s="310"/>
      <c r="E103" s="310"/>
      <c r="F103" s="310"/>
      <c r="G103" s="310"/>
      <c r="H103" s="310"/>
      <c r="I103" s="310"/>
      <c r="J103" s="310"/>
      <c r="L103" s="406"/>
      <c r="M103" s="406"/>
      <c r="N103" s="406"/>
      <c r="O103" s="406"/>
      <c r="P103" s="406"/>
      <c r="Q103" s="406"/>
      <c r="R103" s="406"/>
      <c r="S103" s="406"/>
      <c r="T103" s="406"/>
      <c r="U103" s="406"/>
      <c r="V103" s="406"/>
      <c r="W103" s="406"/>
      <c r="X103" s="406"/>
      <c r="Y103" s="406"/>
      <c r="Z103" s="406"/>
      <c r="AA103" s="406"/>
      <c r="AB103" s="406"/>
      <c r="AC103" s="406"/>
      <c r="AD103" s="406"/>
      <c r="AE103" s="406"/>
      <c r="AF103" s="406"/>
      <c r="AG103" s="406"/>
      <c r="AH103" s="406"/>
      <c r="AI103" s="406"/>
      <c r="AJ103" s="406"/>
      <c r="AK103" s="406"/>
      <c r="AL103" s="406"/>
      <c r="AM103" s="406"/>
    </row>
    <row r="104" spans="1:39" ht="38.25">
      <c r="A104" s="310"/>
      <c r="B104" s="310" t="s">
        <v>59</v>
      </c>
      <c r="C104" s="436" t="s">
        <v>184</v>
      </c>
      <c r="D104" s="436" t="s">
        <v>190</v>
      </c>
      <c r="E104" s="436" t="s">
        <v>189</v>
      </c>
      <c r="F104" s="436"/>
      <c r="G104" s="310"/>
      <c r="H104" s="310"/>
      <c r="I104" s="436" t="s">
        <v>193</v>
      </c>
      <c r="J104" s="310"/>
      <c r="L104" s="406"/>
      <c r="M104" s="406"/>
      <c r="N104" s="406"/>
      <c r="O104" s="406"/>
      <c r="P104" s="406"/>
      <c r="Q104" s="406"/>
      <c r="R104" s="406"/>
      <c r="S104" s="406"/>
      <c r="T104" s="406"/>
      <c r="U104" s="406"/>
      <c r="V104" s="406"/>
      <c r="W104" s="406"/>
      <c r="X104" s="406"/>
      <c r="Y104" s="406"/>
      <c r="Z104" s="406"/>
      <c r="AA104" s="406"/>
      <c r="AB104" s="406"/>
      <c r="AC104" s="406"/>
      <c r="AD104" s="406"/>
      <c r="AE104" s="406"/>
      <c r="AF104" s="406"/>
      <c r="AG104" s="406"/>
      <c r="AH104" s="406"/>
      <c r="AI104" s="406"/>
      <c r="AJ104" s="406"/>
      <c r="AK104" s="406"/>
      <c r="AL104" s="406"/>
      <c r="AM104" s="406"/>
    </row>
    <row r="105" spans="1:39">
      <c r="A105" s="310"/>
      <c r="B105" s="310" t="s">
        <v>28</v>
      </c>
      <c r="C105" s="310">
        <v>77120838</v>
      </c>
      <c r="D105" s="310">
        <v>88585503.157569811</v>
      </c>
      <c r="E105" s="310">
        <v>74</v>
      </c>
      <c r="F105" s="310"/>
      <c r="G105" s="310"/>
      <c r="H105" s="310"/>
      <c r="I105" s="310"/>
      <c r="J105" s="310"/>
      <c r="L105" s="406"/>
      <c r="M105" s="406"/>
      <c r="N105" s="406"/>
      <c r="O105" s="406"/>
      <c r="P105" s="406"/>
      <c r="Q105" s="406"/>
      <c r="R105" s="406"/>
      <c r="S105" s="406"/>
      <c r="T105" s="406"/>
      <c r="U105" s="406"/>
      <c r="V105" s="406"/>
      <c r="W105" s="406"/>
      <c r="X105" s="406"/>
      <c r="Y105" s="406"/>
      <c r="Z105" s="406"/>
      <c r="AA105" s="406"/>
      <c r="AB105" s="406"/>
      <c r="AC105" s="406"/>
      <c r="AD105" s="406"/>
      <c r="AE105" s="406"/>
      <c r="AF105" s="406"/>
      <c r="AG105" s="406"/>
      <c r="AH105" s="406"/>
      <c r="AI105" s="406"/>
      <c r="AJ105" s="406"/>
      <c r="AK105" s="406"/>
      <c r="AL105" s="406"/>
      <c r="AM105" s="406"/>
    </row>
    <row r="106" spans="1:39">
      <c r="A106" s="310"/>
      <c r="B106" s="310" t="s">
        <v>110</v>
      </c>
      <c r="C106" s="439">
        <v>11691087.999999996</v>
      </c>
      <c r="D106" s="310">
        <v>13314112.54423131</v>
      </c>
      <c r="E106" s="310">
        <v>38</v>
      </c>
      <c r="F106" s="310"/>
      <c r="G106" s="310"/>
      <c r="H106" s="310"/>
      <c r="I106" s="310"/>
      <c r="J106" s="310"/>
      <c r="L106" s="406"/>
      <c r="M106" s="406"/>
      <c r="N106" s="406"/>
      <c r="O106" s="406"/>
      <c r="P106" s="406"/>
      <c r="Q106" s="406"/>
      <c r="R106" s="406"/>
      <c r="S106" s="406"/>
      <c r="T106" s="406"/>
      <c r="U106" s="406"/>
      <c r="V106" s="406"/>
      <c r="W106" s="406"/>
      <c r="X106" s="406"/>
      <c r="Y106" s="406"/>
      <c r="Z106" s="406"/>
      <c r="AA106" s="406"/>
      <c r="AB106" s="406"/>
      <c r="AC106" s="406"/>
      <c r="AD106" s="406"/>
      <c r="AE106" s="406"/>
      <c r="AF106" s="406"/>
      <c r="AG106" s="406"/>
      <c r="AH106" s="406"/>
      <c r="AI106" s="406"/>
      <c r="AJ106" s="406"/>
      <c r="AK106" s="406"/>
      <c r="AL106" s="406"/>
      <c r="AM106" s="406"/>
    </row>
    <row r="107" spans="1:39">
      <c r="A107" s="310"/>
      <c r="B107" s="310" t="s">
        <v>114</v>
      </c>
      <c r="C107" s="439">
        <v>20538489.216240078</v>
      </c>
      <c r="D107" s="310">
        <v>22680804.204463065</v>
      </c>
      <c r="E107" s="310">
        <v>24</v>
      </c>
      <c r="F107" s="310"/>
      <c r="G107" s="310"/>
      <c r="H107" s="310"/>
      <c r="I107" s="310"/>
      <c r="J107" s="310"/>
      <c r="L107" s="406"/>
      <c r="M107" s="406"/>
      <c r="N107" s="406"/>
      <c r="O107" s="406"/>
      <c r="P107" s="406"/>
      <c r="Q107" s="406"/>
      <c r="R107" s="406"/>
      <c r="S107" s="406"/>
      <c r="T107" s="406"/>
      <c r="U107" s="406"/>
      <c r="V107" s="406"/>
      <c r="W107" s="406"/>
      <c r="X107" s="406"/>
      <c r="Y107" s="406"/>
      <c r="Z107" s="406"/>
      <c r="AA107" s="406"/>
      <c r="AB107" s="406"/>
      <c r="AC107" s="406"/>
      <c r="AD107" s="406"/>
      <c r="AE107" s="406"/>
      <c r="AF107" s="406"/>
      <c r="AG107" s="406"/>
      <c r="AH107" s="406"/>
      <c r="AI107" s="406"/>
      <c r="AJ107" s="406"/>
      <c r="AK107" s="406"/>
      <c r="AL107" s="406"/>
      <c r="AM107" s="406"/>
    </row>
    <row r="108" spans="1:39">
      <c r="A108" s="310"/>
      <c r="B108" s="310" t="s">
        <v>111</v>
      </c>
      <c r="C108" s="439">
        <v>26316120.668866519</v>
      </c>
      <c r="D108" s="310">
        <v>30412742.159074575</v>
      </c>
      <c r="E108" s="310">
        <v>8</v>
      </c>
      <c r="F108" s="310"/>
      <c r="G108" s="310"/>
      <c r="H108" s="310"/>
      <c r="I108" s="310"/>
      <c r="J108" s="310"/>
      <c r="L108" s="406"/>
      <c r="M108" s="406"/>
      <c r="N108" s="406"/>
      <c r="O108" s="406"/>
      <c r="P108" s="406"/>
      <c r="Q108" s="406"/>
      <c r="R108" s="406"/>
      <c r="S108" s="406"/>
      <c r="T108" s="406"/>
      <c r="U108" s="406"/>
      <c r="V108" s="406"/>
      <c r="W108" s="406"/>
      <c r="X108" s="406"/>
      <c r="Y108" s="406"/>
      <c r="Z108" s="406"/>
      <c r="AA108" s="406"/>
      <c r="AB108" s="406"/>
      <c r="AC108" s="406"/>
      <c r="AD108" s="406"/>
      <c r="AE108" s="406"/>
      <c r="AF108" s="406"/>
      <c r="AG108" s="406"/>
      <c r="AH108" s="406"/>
      <c r="AI108" s="406"/>
      <c r="AJ108" s="406"/>
      <c r="AK108" s="406"/>
      <c r="AL108" s="406"/>
      <c r="AM108" s="406"/>
    </row>
    <row r="109" spans="1:39">
      <c r="A109" s="310"/>
      <c r="B109" s="310" t="s">
        <v>112</v>
      </c>
      <c r="C109" s="439">
        <v>18575140.114893399</v>
      </c>
      <c r="D109" s="310">
        <v>22177844.249800853</v>
      </c>
      <c r="E109" s="310">
        <v>4</v>
      </c>
      <c r="F109" s="310"/>
      <c r="G109" s="310"/>
      <c r="H109" s="310"/>
      <c r="I109" s="310"/>
      <c r="J109" s="310"/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6"/>
      <c r="Y109" s="406"/>
      <c r="Z109" s="406"/>
      <c r="AA109" s="406"/>
      <c r="AB109" s="406"/>
      <c r="AC109" s="406"/>
      <c r="AD109" s="406"/>
      <c r="AE109" s="406"/>
      <c r="AF109" s="406"/>
      <c r="AG109" s="406"/>
      <c r="AH109" s="406"/>
      <c r="AI109" s="406"/>
      <c r="AJ109" s="406"/>
      <c r="AK109" s="406"/>
      <c r="AL109" s="406"/>
      <c r="AM109" s="406"/>
    </row>
    <row r="110" spans="1:39">
      <c r="A110" s="310"/>
      <c r="B110" s="310" t="s">
        <v>62</v>
      </c>
      <c r="C110" s="439">
        <v>77120838</v>
      </c>
      <c r="D110" s="310">
        <v>88585503.157569811</v>
      </c>
      <c r="E110" s="310">
        <v>74</v>
      </c>
      <c r="F110" s="310"/>
      <c r="G110" s="310"/>
      <c r="H110" s="310"/>
      <c r="I110" s="310"/>
      <c r="J110" s="310"/>
      <c r="L110" s="406"/>
      <c r="M110" s="406"/>
      <c r="N110" s="406"/>
      <c r="O110" s="406"/>
      <c r="P110" s="406"/>
      <c r="Q110" s="406"/>
      <c r="R110" s="406"/>
      <c r="S110" s="406"/>
      <c r="T110" s="406"/>
      <c r="U110" s="406"/>
      <c r="V110" s="406"/>
      <c r="W110" s="406"/>
      <c r="X110" s="406"/>
      <c r="Y110" s="406"/>
      <c r="Z110" s="406"/>
      <c r="AA110" s="406"/>
      <c r="AB110" s="406"/>
      <c r="AC110" s="406"/>
      <c r="AD110" s="406"/>
      <c r="AE110" s="406"/>
      <c r="AF110" s="406"/>
      <c r="AG110" s="406"/>
      <c r="AH110" s="406"/>
      <c r="AI110" s="406"/>
      <c r="AJ110" s="406"/>
      <c r="AK110" s="406"/>
      <c r="AL110" s="406"/>
      <c r="AM110" s="406"/>
    </row>
    <row r="111" spans="1:39">
      <c r="A111" s="310"/>
      <c r="B111" s="310"/>
      <c r="C111" s="310"/>
      <c r="D111" s="310"/>
      <c r="E111" s="310"/>
      <c r="F111" s="310"/>
      <c r="G111" s="310"/>
      <c r="H111" s="310"/>
      <c r="I111" s="310"/>
      <c r="J111" s="310"/>
      <c r="L111" s="406"/>
      <c r="M111" s="406"/>
      <c r="N111" s="406"/>
      <c r="O111" s="406"/>
      <c r="P111" s="406"/>
      <c r="Q111" s="406"/>
      <c r="R111" s="406"/>
      <c r="S111" s="406"/>
      <c r="T111" s="406"/>
      <c r="U111" s="406"/>
      <c r="V111" s="406"/>
      <c r="W111" s="406"/>
      <c r="X111" s="406"/>
      <c r="Y111" s="406"/>
      <c r="Z111" s="406"/>
      <c r="AA111" s="406"/>
      <c r="AB111" s="406"/>
      <c r="AC111" s="406"/>
      <c r="AD111" s="406"/>
      <c r="AE111" s="406"/>
      <c r="AF111" s="406"/>
      <c r="AG111" s="406"/>
      <c r="AH111" s="406"/>
      <c r="AI111" s="406"/>
      <c r="AJ111" s="406"/>
      <c r="AK111" s="406"/>
      <c r="AL111" s="406"/>
      <c r="AM111" s="406"/>
    </row>
    <row r="112" spans="1:39">
      <c r="A112" s="310"/>
      <c r="B112" s="310"/>
      <c r="C112" s="310"/>
      <c r="D112" s="310"/>
      <c r="E112" s="310"/>
      <c r="F112" s="310"/>
      <c r="G112" s="310"/>
      <c r="H112" s="310"/>
      <c r="I112" s="310"/>
      <c r="J112" s="310"/>
      <c r="L112" s="406"/>
      <c r="M112" s="406"/>
      <c r="N112" s="406"/>
      <c r="O112" s="406"/>
      <c r="P112" s="406"/>
      <c r="Q112" s="406"/>
      <c r="R112" s="406"/>
      <c r="S112" s="406"/>
      <c r="T112" s="406"/>
      <c r="U112" s="406"/>
      <c r="V112" s="406"/>
      <c r="W112" s="406"/>
      <c r="X112" s="406"/>
      <c r="Y112" s="406"/>
      <c r="Z112" s="406"/>
      <c r="AA112" s="406"/>
      <c r="AB112" s="406"/>
      <c r="AC112" s="406"/>
      <c r="AD112" s="406"/>
      <c r="AE112" s="406"/>
      <c r="AF112" s="406"/>
      <c r="AG112" s="406"/>
      <c r="AH112" s="406"/>
      <c r="AI112" s="406"/>
      <c r="AJ112" s="406"/>
      <c r="AK112" s="406"/>
      <c r="AL112" s="406"/>
      <c r="AM112" s="406"/>
    </row>
    <row r="113" spans="1:39">
      <c r="A113" s="310"/>
      <c r="B113" s="310"/>
      <c r="C113" s="310" t="s">
        <v>183</v>
      </c>
      <c r="D113" s="310"/>
      <c r="E113" s="310"/>
      <c r="F113" s="310"/>
      <c r="G113" s="310"/>
      <c r="H113" s="310"/>
      <c r="I113" s="310"/>
      <c r="J113" s="310"/>
      <c r="L113" s="406"/>
      <c r="M113" s="406"/>
      <c r="N113" s="406"/>
      <c r="O113" s="406"/>
      <c r="P113" s="406"/>
      <c r="Q113" s="406"/>
      <c r="R113" s="406"/>
      <c r="S113" s="406"/>
      <c r="T113" s="406"/>
      <c r="U113" s="406"/>
      <c r="V113" s="406"/>
      <c r="W113" s="406"/>
      <c r="X113" s="406"/>
      <c r="Y113" s="406"/>
      <c r="Z113" s="406"/>
      <c r="AA113" s="406"/>
      <c r="AB113" s="406"/>
      <c r="AC113" s="406"/>
      <c r="AD113" s="406"/>
      <c r="AE113" s="406"/>
      <c r="AF113" s="406"/>
      <c r="AG113" s="406"/>
      <c r="AH113" s="406"/>
      <c r="AI113" s="406"/>
      <c r="AJ113" s="406"/>
      <c r="AK113" s="406"/>
      <c r="AL113" s="406"/>
      <c r="AM113" s="406"/>
    </row>
    <row r="114" spans="1:39" ht="14.25" customHeight="1">
      <c r="A114" s="310"/>
      <c r="B114" s="310" t="s">
        <v>59</v>
      </c>
      <c r="C114" s="436" t="s">
        <v>189</v>
      </c>
      <c r="D114" s="436" t="s">
        <v>184</v>
      </c>
      <c r="E114" s="436" t="s">
        <v>192</v>
      </c>
      <c r="F114" s="436"/>
      <c r="G114" s="310"/>
      <c r="H114" s="310"/>
      <c r="I114" s="436" t="s">
        <v>193</v>
      </c>
      <c r="J114" s="310"/>
      <c r="L114" s="406"/>
      <c r="M114" s="406"/>
      <c r="N114" s="406"/>
      <c r="O114" s="406"/>
      <c r="P114" s="406"/>
      <c r="Q114" s="406"/>
      <c r="R114" s="406"/>
      <c r="S114" s="406"/>
      <c r="T114" s="406"/>
      <c r="U114" s="406"/>
      <c r="V114" s="406"/>
      <c r="W114" s="406"/>
      <c r="X114" s="406"/>
      <c r="Y114" s="406"/>
      <c r="Z114" s="406"/>
      <c r="AA114" s="406"/>
      <c r="AB114" s="406"/>
      <c r="AC114" s="406"/>
      <c r="AD114" s="406"/>
      <c r="AE114" s="406"/>
      <c r="AF114" s="406"/>
      <c r="AG114" s="406"/>
      <c r="AH114" s="406"/>
      <c r="AI114" s="406"/>
      <c r="AJ114" s="406"/>
      <c r="AK114" s="406"/>
      <c r="AL114" s="406"/>
      <c r="AM114" s="406"/>
    </row>
    <row r="115" spans="1:39">
      <c r="A115" s="310"/>
      <c r="B115" s="310" t="s">
        <v>28</v>
      </c>
      <c r="C115" s="310">
        <v>74</v>
      </c>
      <c r="D115" s="310">
        <v>77120838</v>
      </c>
      <c r="E115" s="310">
        <v>4393713121.4449043</v>
      </c>
      <c r="F115" s="310"/>
      <c r="G115" s="310"/>
      <c r="H115" s="310"/>
      <c r="I115" s="310"/>
      <c r="J115" s="310"/>
      <c r="L115" s="406"/>
      <c r="M115" s="406"/>
      <c r="N115" s="406"/>
      <c r="O115" s="406"/>
      <c r="P115" s="406"/>
      <c r="Q115" s="406"/>
      <c r="R115" s="406"/>
      <c r="S115" s="406"/>
      <c r="T115" s="406"/>
      <c r="U115" s="406"/>
      <c r="V115" s="406"/>
      <c r="W115" s="406"/>
      <c r="X115" s="406"/>
      <c r="Y115" s="406"/>
      <c r="Z115" s="406"/>
      <c r="AA115" s="406"/>
      <c r="AB115" s="406"/>
      <c r="AC115" s="406"/>
      <c r="AD115" s="406"/>
      <c r="AE115" s="406"/>
      <c r="AF115" s="406"/>
      <c r="AG115" s="406"/>
      <c r="AH115" s="406"/>
      <c r="AI115" s="406"/>
      <c r="AJ115" s="406"/>
      <c r="AK115" s="406"/>
      <c r="AL115" s="406"/>
      <c r="AM115" s="406"/>
    </row>
    <row r="116" spans="1:39">
      <c r="A116" s="310"/>
      <c r="B116" s="310" t="s">
        <v>110</v>
      </c>
      <c r="C116" s="310">
        <v>38</v>
      </c>
      <c r="D116" s="439">
        <v>11691087.999999996</v>
      </c>
      <c r="E116" s="310">
        <v>922451916.96582317</v>
      </c>
      <c r="F116" s="310"/>
      <c r="G116" s="310"/>
      <c r="H116" s="310"/>
      <c r="I116" s="310"/>
      <c r="J116" s="310"/>
      <c r="L116" s="406"/>
      <c r="M116" s="406"/>
      <c r="N116" s="406"/>
      <c r="O116" s="406"/>
      <c r="P116" s="406"/>
      <c r="Q116" s="406"/>
      <c r="R116" s="406"/>
      <c r="S116" s="406"/>
      <c r="T116" s="406"/>
      <c r="U116" s="406"/>
      <c r="V116" s="406"/>
      <c r="W116" s="406"/>
      <c r="X116" s="406"/>
      <c r="Y116" s="406"/>
      <c r="Z116" s="406"/>
      <c r="AA116" s="406"/>
      <c r="AB116" s="406"/>
      <c r="AC116" s="406"/>
      <c r="AD116" s="406"/>
      <c r="AE116" s="406"/>
      <c r="AF116" s="406"/>
      <c r="AG116" s="406"/>
      <c r="AH116" s="406"/>
      <c r="AI116" s="406"/>
      <c r="AJ116" s="406"/>
      <c r="AK116" s="406"/>
      <c r="AL116" s="406"/>
      <c r="AM116" s="406"/>
    </row>
    <row r="117" spans="1:39">
      <c r="A117" s="310"/>
      <c r="B117" s="310" t="s">
        <v>114</v>
      </c>
      <c r="C117" s="310">
        <v>24</v>
      </c>
      <c r="D117" s="439">
        <v>20538489.216240078</v>
      </c>
      <c r="E117" s="310">
        <v>1059031438.9080244</v>
      </c>
      <c r="F117" s="310"/>
      <c r="G117" s="310"/>
      <c r="H117" s="310"/>
      <c r="I117" s="310"/>
      <c r="J117" s="310"/>
      <c r="L117" s="406"/>
      <c r="M117" s="406"/>
      <c r="N117" s="406"/>
      <c r="O117" s="406"/>
      <c r="P117" s="406"/>
      <c r="Q117" s="406"/>
      <c r="R117" s="406"/>
      <c r="S117" s="406"/>
      <c r="T117" s="406"/>
      <c r="U117" s="406"/>
      <c r="V117" s="406"/>
      <c r="W117" s="406"/>
      <c r="X117" s="406"/>
      <c r="Y117" s="406"/>
      <c r="Z117" s="406"/>
      <c r="AA117" s="406"/>
      <c r="AB117" s="406"/>
      <c r="AC117" s="406"/>
      <c r="AD117" s="406"/>
      <c r="AE117" s="406"/>
      <c r="AF117" s="406"/>
      <c r="AG117" s="406"/>
      <c r="AH117" s="406"/>
      <c r="AI117" s="406"/>
      <c r="AJ117" s="406"/>
      <c r="AK117" s="406"/>
      <c r="AL117" s="406"/>
      <c r="AM117" s="406"/>
    </row>
    <row r="118" spans="1:39">
      <c r="A118" s="310"/>
      <c r="B118" s="310" t="s">
        <v>111</v>
      </c>
      <c r="C118" s="310">
        <v>8</v>
      </c>
      <c r="D118" s="439">
        <v>26316120.668866519</v>
      </c>
      <c r="E118" s="310">
        <v>1385785320.5030253</v>
      </c>
      <c r="F118" s="310"/>
      <c r="G118" s="310"/>
      <c r="H118" s="310"/>
      <c r="I118" s="310"/>
      <c r="J118" s="310"/>
      <c r="L118" s="406"/>
      <c r="M118" s="406"/>
      <c r="N118" s="406"/>
      <c r="O118" s="406"/>
      <c r="P118" s="406"/>
      <c r="Q118" s="406"/>
      <c r="R118" s="406"/>
      <c r="S118" s="406"/>
      <c r="T118" s="406"/>
      <c r="U118" s="406"/>
      <c r="V118" s="406"/>
      <c r="W118" s="406"/>
      <c r="X118" s="406"/>
      <c r="Y118" s="406"/>
      <c r="Z118" s="406"/>
      <c r="AA118" s="406"/>
      <c r="AB118" s="406"/>
      <c r="AC118" s="406"/>
      <c r="AD118" s="406"/>
      <c r="AE118" s="406"/>
      <c r="AF118" s="406"/>
      <c r="AG118" s="406"/>
      <c r="AH118" s="406"/>
      <c r="AI118" s="406"/>
      <c r="AJ118" s="406"/>
      <c r="AK118" s="406"/>
      <c r="AL118" s="406"/>
      <c r="AM118" s="406"/>
    </row>
    <row r="119" spans="1:39">
      <c r="A119" s="310"/>
      <c r="B119" s="310" t="s">
        <v>112</v>
      </c>
      <c r="C119" s="310">
        <v>4</v>
      </c>
      <c r="D119" s="439">
        <v>18575140.114893399</v>
      </c>
      <c r="E119" s="310">
        <v>1026444445.0680311</v>
      </c>
      <c r="F119" s="310"/>
      <c r="G119" s="310"/>
      <c r="H119" s="310"/>
      <c r="I119" s="310"/>
      <c r="J119" s="310"/>
      <c r="L119" s="406"/>
      <c r="M119" s="406"/>
      <c r="N119" s="406"/>
      <c r="O119" s="406"/>
      <c r="P119" s="406"/>
      <c r="Q119" s="406"/>
      <c r="R119" s="406"/>
      <c r="S119" s="406"/>
      <c r="T119" s="406"/>
      <c r="U119" s="406"/>
      <c r="V119" s="406"/>
      <c r="W119" s="406"/>
      <c r="X119" s="406"/>
      <c r="Y119" s="406"/>
      <c r="Z119" s="406"/>
      <c r="AA119" s="406"/>
      <c r="AB119" s="406"/>
      <c r="AC119" s="406"/>
      <c r="AD119" s="406"/>
      <c r="AE119" s="406"/>
      <c r="AF119" s="406"/>
      <c r="AG119" s="406"/>
      <c r="AH119" s="406"/>
      <c r="AI119" s="406"/>
      <c r="AJ119" s="406"/>
      <c r="AK119" s="406"/>
      <c r="AL119" s="406"/>
      <c r="AM119" s="406"/>
    </row>
    <row r="120" spans="1:39">
      <c r="A120" s="310"/>
      <c r="B120" s="310" t="s">
        <v>62</v>
      </c>
      <c r="C120" s="310">
        <v>74</v>
      </c>
      <c r="D120" s="439">
        <v>77120838</v>
      </c>
      <c r="E120" s="310">
        <v>4393713121.4449043</v>
      </c>
      <c r="F120" s="310"/>
      <c r="G120" s="310"/>
      <c r="H120" s="310"/>
      <c r="I120" s="310"/>
      <c r="J120" s="310"/>
      <c r="L120" s="406"/>
      <c r="M120" s="406"/>
      <c r="N120" s="406"/>
      <c r="O120" s="406"/>
      <c r="P120" s="406"/>
      <c r="Q120" s="406"/>
      <c r="R120" s="406"/>
      <c r="S120" s="406"/>
      <c r="T120" s="406"/>
      <c r="U120" s="406"/>
      <c r="V120" s="406"/>
      <c r="W120" s="406"/>
      <c r="X120" s="406"/>
      <c r="Y120" s="406"/>
      <c r="Z120" s="406"/>
      <c r="AA120" s="406"/>
      <c r="AB120" s="406"/>
      <c r="AC120" s="406"/>
      <c r="AD120" s="406"/>
      <c r="AE120" s="406"/>
      <c r="AF120" s="406"/>
      <c r="AG120" s="406"/>
      <c r="AH120" s="406"/>
      <c r="AI120" s="406"/>
      <c r="AJ120" s="406"/>
      <c r="AK120" s="406"/>
      <c r="AL120" s="406"/>
      <c r="AM120" s="406"/>
    </row>
    <row r="121" spans="1:39">
      <c r="A121" s="310"/>
      <c r="B121" s="310"/>
      <c r="C121" s="310"/>
      <c r="D121" s="310"/>
      <c r="E121" s="310"/>
      <c r="F121" s="310"/>
      <c r="G121" s="310"/>
      <c r="H121" s="310"/>
      <c r="I121" s="310"/>
      <c r="J121" s="310"/>
      <c r="L121" s="406"/>
      <c r="M121" s="406"/>
      <c r="N121" s="406"/>
      <c r="O121" s="406"/>
      <c r="P121" s="406"/>
      <c r="Q121" s="406"/>
      <c r="R121" s="406"/>
      <c r="S121" s="406"/>
      <c r="T121" s="406"/>
      <c r="U121" s="406"/>
      <c r="V121" s="406"/>
      <c r="W121" s="406"/>
      <c r="X121" s="406"/>
      <c r="Y121" s="406"/>
      <c r="Z121" s="406"/>
      <c r="AA121" s="406"/>
      <c r="AB121" s="406"/>
      <c r="AC121" s="406"/>
      <c r="AD121" s="406"/>
      <c r="AE121" s="406"/>
      <c r="AF121" s="406"/>
      <c r="AG121" s="406"/>
      <c r="AH121" s="406"/>
      <c r="AI121" s="406"/>
      <c r="AJ121" s="406"/>
      <c r="AK121" s="406"/>
      <c r="AL121" s="406"/>
      <c r="AM121" s="406"/>
    </row>
    <row r="122" spans="1:39">
      <c r="A122" s="310"/>
      <c r="B122" s="310"/>
      <c r="C122" s="310"/>
      <c r="D122" s="310"/>
      <c r="E122" s="310"/>
      <c r="F122" s="310"/>
      <c r="G122" s="310"/>
      <c r="H122" s="310"/>
      <c r="I122" s="310"/>
      <c r="J122" s="310"/>
      <c r="L122" s="406"/>
      <c r="M122" s="406"/>
      <c r="N122" s="406"/>
      <c r="O122" s="406"/>
      <c r="P122" s="406"/>
      <c r="Q122" s="406"/>
      <c r="R122" s="406"/>
      <c r="S122" s="406"/>
      <c r="T122" s="406"/>
      <c r="U122" s="406"/>
      <c r="V122" s="406"/>
      <c r="W122" s="406"/>
      <c r="X122" s="406"/>
      <c r="Y122" s="406"/>
      <c r="Z122" s="406"/>
      <c r="AA122" s="406"/>
      <c r="AB122" s="406"/>
      <c r="AC122" s="406"/>
      <c r="AD122" s="406"/>
      <c r="AE122" s="406"/>
      <c r="AF122" s="406"/>
      <c r="AG122" s="406"/>
      <c r="AH122" s="406"/>
      <c r="AI122" s="406"/>
      <c r="AJ122" s="406"/>
      <c r="AK122" s="406"/>
      <c r="AL122" s="406"/>
      <c r="AM122" s="406"/>
    </row>
    <row r="123" spans="1:39">
      <c r="A123" s="310"/>
      <c r="B123" s="310"/>
      <c r="C123" s="310" t="s">
        <v>183</v>
      </c>
      <c r="D123" s="310"/>
      <c r="E123" s="310"/>
      <c r="F123" s="310"/>
      <c r="G123" s="310"/>
      <c r="H123" s="310"/>
      <c r="I123" s="310"/>
      <c r="J123" s="310"/>
      <c r="L123" s="406"/>
      <c r="M123" s="406"/>
      <c r="N123" s="406"/>
      <c r="O123" s="406"/>
      <c r="P123" s="406"/>
      <c r="Q123" s="406"/>
      <c r="R123" s="406"/>
      <c r="S123" s="406"/>
      <c r="T123" s="406"/>
      <c r="U123" s="406"/>
      <c r="V123" s="406"/>
      <c r="W123" s="406"/>
      <c r="X123" s="406"/>
      <c r="Y123" s="406"/>
      <c r="Z123" s="406"/>
      <c r="AA123" s="406"/>
      <c r="AB123" s="406"/>
      <c r="AC123" s="406"/>
      <c r="AD123" s="406"/>
      <c r="AE123" s="406"/>
      <c r="AF123" s="406"/>
      <c r="AG123" s="406"/>
      <c r="AH123" s="406"/>
      <c r="AI123" s="406"/>
      <c r="AJ123" s="406"/>
      <c r="AK123" s="406"/>
      <c r="AL123" s="406"/>
      <c r="AM123" s="406"/>
    </row>
    <row r="124" spans="1:39" ht="16.5" customHeight="1">
      <c r="A124" s="310"/>
      <c r="B124" s="310" t="s">
        <v>59</v>
      </c>
      <c r="C124" s="436" t="s">
        <v>189</v>
      </c>
      <c r="D124" s="436" t="s">
        <v>184</v>
      </c>
      <c r="E124" s="436" t="s">
        <v>191</v>
      </c>
      <c r="F124" s="436"/>
      <c r="G124" s="310"/>
      <c r="H124" s="310"/>
      <c r="I124" s="436" t="s">
        <v>193</v>
      </c>
      <c r="J124" s="310"/>
      <c r="L124" s="406"/>
      <c r="M124" s="406"/>
      <c r="N124" s="406"/>
      <c r="O124" s="406"/>
      <c r="P124" s="406"/>
      <c r="Q124" s="406"/>
      <c r="R124" s="406"/>
      <c r="S124" s="406"/>
      <c r="T124" s="406"/>
      <c r="U124" s="406"/>
      <c r="V124" s="406"/>
      <c r="W124" s="406"/>
      <c r="X124" s="406"/>
      <c r="Y124" s="406"/>
      <c r="Z124" s="406"/>
      <c r="AA124" s="406"/>
      <c r="AB124" s="406"/>
      <c r="AC124" s="406"/>
      <c r="AD124" s="406"/>
      <c r="AE124" s="406"/>
      <c r="AF124" s="406"/>
      <c r="AG124" s="406"/>
      <c r="AH124" s="406"/>
      <c r="AI124" s="406"/>
      <c r="AJ124" s="406"/>
      <c r="AK124" s="406"/>
      <c r="AL124" s="406"/>
      <c r="AM124" s="406"/>
    </row>
    <row r="125" spans="1:39">
      <c r="A125" s="310"/>
      <c r="B125" s="310" t="s">
        <v>28</v>
      </c>
      <c r="C125" s="310">
        <v>74</v>
      </c>
      <c r="D125" s="310">
        <v>77120838</v>
      </c>
      <c r="E125" s="310">
        <v>1328637617.9241118</v>
      </c>
      <c r="F125" s="310"/>
      <c r="G125" s="310"/>
      <c r="H125" s="310"/>
      <c r="I125" s="310"/>
      <c r="J125" s="310"/>
      <c r="L125" s="406"/>
      <c r="M125" s="406"/>
      <c r="N125" s="406"/>
      <c r="O125" s="406"/>
      <c r="P125" s="406"/>
      <c r="Q125" s="406"/>
      <c r="R125" s="406"/>
      <c r="S125" s="406"/>
      <c r="T125" s="406"/>
      <c r="U125" s="406"/>
      <c r="V125" s="406"/>
      <c r="W125" s="406"/>
      <c r="X125" s="406"/>
      <c r="Y125" s="406"/>
      <c r="Z125" s="406"/>
      <c r="AA125" s="406"/>
      <c r="AB125" s="406"/>
      <c r="AC125" s="406"/>
      <c r="AD125" s="406"/>
      <c r="AE125" s="406"/>
      <c r="AF125" s="406"/>
      <c r="AG125" s="406"/>
      <c r="AH125" s="406"/>
      <c r="AI125" s="406"/>
      <c r="AJ125" s="406"/>
      <c r="AK125" s="406"/>
      <c r="AL125" s="406"/>
      <c r="AM125" s="406"/>
    </row>
    <row r="126" spans="1:39">
      <c r="A126" s="310"/>
      <c r="B126" s="310" t="s">
        <v>110</v>
      </c>
      <c r="C126" s="310">
        <v>38</v>
      </c>
      <c r="D126" s="439">
        <v>11691087.999999996</v>
      </c>
      <c r="E126" s="310">
        <v>541435000.9916693</v>
      </c>
      <c r="F126" s="310"/>
      <c r="G126" s="310"/>
      <c r="H126" s="310"/>
      <c r="I126" s="310"/>
      <c r="J126" s="310"/>
      <c r="L126" s="406"/>
      <c r="M126" s="406"/>
      <c r="N126" s="406"/>
      <c r="O126" s="406"/>
      <c r="P126" s="406"/>
      <c r="Q126" s="406"/>
      <c r="R126" s="406"/>
      <c r="S126" s="406"/>
      <c r="T126" s="406"/>
      <c r="U126" s="406"/>
      <c r="V126" s="406"/>
      <c r="W126" s="406"/>
      <c r="X126" s="406"/>
      <c r="Y126" s="406"/>
      <c r="Z126" s="406"/>
      <c r="AA126" s="406"/>
      <c r="AB126" s="406"/>
      <c r="AC126" s="406"/>
      <c r="AD126" s="406"/>
      <c r="AE126" s="406"/>
      <c r="AF126" s="406"/>
      <c r="AG126" s="406"/>
      <c r="AH126" s="406"/>
      <c r="AI126" s="406"/>
      <c r="AJ126" s="406"/>
      <c r="AK126" s="406"/>
      <c r="AL126" s="406"/>
      <c r="AM126" s="406"/>
    </row>
    <row r="127" spans="1:39">
      <c r="A127" s="310"/>
      <c r="B127" s="310" t="s">
        <v>114</v>
      </c>
      <c r="C127" s="310">
        <v>24</v>
      </c>
      <c r="D127" s="439">
        <v>20538489.216240078</v>
      </c>
      <c r="E127" s="310">
        <v>397277008.72017252</v>
      </c>
      <c r="F127" s="310"/>
      <c r="G127" s="310"/>
      <c r="H127" s="310"/>
      <c r="I127" s="310"/>
      <c r="J127" s="310"/>
      <c r="L127" s="406"/>
      <c r="M127" s="406"/>
      <c r="N127" s="406"/>
      <c r="O127" s="406"/>
      <c r="P127" s="406"/>
      <c r="Q127" s="406"/>
      <c r="R127" s="406"/>
      <c r="S127" s="406"/>
      <c r="T127" s="406"/>
      <c r="U127" s="406"/>
      <c r="V127" s="406"/>
      <c r="W127" s="406"/>
      <c r="X127" s="406"/>
      <c r="Y127" s="406"/>
      <c r="Z127" s="406"/>
      <c r="AA127" s="406"/>
      <c r="AB127" s="406"/>
      <c r="AC127" s="406"/>
      <c r="AD127" s="406"/>
      <c r="AE127" s="406"/>
      <c r="AF127" s="406"/>
      <c r="AG127" s="406"/>
      <c r="AH127" s="406"/>
      <c r="AI127" s="406"/>
      <c r="AJ127" s="406"/>
      <c r="AK127" s="406"/>
      <c r="AL127" s="406"/>
      <c r="AM127" s="406"/>
    </row>
    <row r="128" spans="1:39">
      <c r="A128" s="310"/>
      <c r="B128" s="310" t="s">
        <v>111</v>
      </c>
      <c r="C128" s="310">
        <v>8</v>
      </c>
      <c r="D128" s="439">
        <v>26316120.668866519</v>
      </c>
      <c r="E128" s="310">
        <v>83832221.69499898</v>
      </c>
      <c r="F128" s="310"/>
      <c r="G128" s="310"/>
      <c r="H128" s="310"/>
      <c r="I128" s="310"/>
      <c r="J128" s="310"/>
      <c r="L128" s="406"/>
      <c r="M128" s="406"/>
      <c r="N128" s="406"/>
      <c r="O128" s="406"/>
      <c r="P128" s="406"/>
      <c r="Q128" s="406"/>
      <c r="R128" s="406"/>
      <c r="S128" s="406"/>
      <c r="T128" s="406"/>
      <c r="U128" s="406"/>
      <c r="V128" s="406"/>
      <c r="W128" s="406"/>
      <c r="X128" s="406"/>
      <c r="Y128" s="406"/>
      <c r="Z128" s="406"/>
      <c r="AA128" s="406"/>
      <c r="AB128" s="406"/>
      <c r="AC128" s="406"/>
      <c r="AD128" s="406"/>
      <c r="AE128" s="406"/>
      <c r="AF128" s="406"/>
      <c r="AG128" s="406"/>
      <c r="AH128" s="406"/>
      <c r="AI128" s="406"/>
      <c r="AJ128" s="406"/>
      <c r="AK128" s="406"/>
      <c r="AL128" s="406"/>
      <c r="AM128" s="406"/>
    </row>
    <row r="129" spans="1:39">
      <c r="A129" s="310"/>
      <c r="B129" s="310" t="s">
        <v>112</v>
      </c>
      <c r="C129" s="310">
        <v>4</v>
      </c>
      <c r="D129" s="439">
        <v>18575140.114893399</v>
      </c>
      <c r="E129" s="310">
        <v>306093386.51727098</v>
      </c>
      <c r="F129" s="310"/>
      <c r="G129" s="310"/>
      <c r="H129" s="310"/>
      <c r="I129" s="310"/>
      <c r="J129" s="310"/>
      <c r="L129" s="406"/>
      <c r="M129" s="406"/>
      <c r="N129" s="406"/>
      <c r="O129" s="406"/>
      <c r="P129" s="406"/>
      <c r="Q129" s="406"/>
      <c r="R129" s="406"/>
      <c r="S129" s="406"/>
      <c r="T129" s="406"/>
      <c r="U129" s="406"/>
      <c r="V129" s="406"/>
      <c r="W129" s="406"/>
      <c r="X129" s="406"/>
      <c r="Y129" s="406"/>
      <c r="Z129" s="406"/>
      <c r="AA129" s="406"/>
      <c r="AB129" s="406"/>
      <c r="AC129" s="406"/>
      <c r="AD129" s="406"/>
      <c r="AE129" s="406"/>
      <c r="AF129" s="406"/>
      <c r="AG129" s="406"/>
      <c r="AH129" s="406"/>
      <c r="AI129" s="406"/>
      <c r="AJ129" s="406"/>
      <c r="AK129" s="406"/>
      <c r="AL129" s="406"/>
      <c r="AM129" s="406"/>
    </row>
    <row r="130" spans="1:39">
      <c r="A130" s="310"/>
      <c r="B130" s="310" t="s">
        <v>62</v>
      </c>
      <c r="C130" s="310">
        <v>74</v>
      </c>
      <c r="D130" s="439">
        <v>77120838</v>
      </c>
      <c r="E130" s="310">
        <v>1328637617.9241118</v>
      </c>
      <c r="F130" s="310"/>
      <c r="G130" s="310"/>
      <c r="H130" s="310"/>
      <c r="I130" s="310"/>
      <c r="J130" s="310"/>
      <c r="L130" s="406"/>
      <c r="M130" s="406"/>
      <c r="N130" s="406"/>
      <c r="O130" s="406"/>
      <c r="P130" s="406"/>
      <c r="Q130" s="406"/>
      <c r="R130" s="406"/>
      <c r="S130" s="406"/>
      <c r="T130" s="406"/>
      <c r="U130" s="406"/>
      <c r="V130" s="406"/>
      <c r="W130" s="406"/>
      <c r="X130" s="406"/>
      <c r="Y130" s="406"/>
      <c r="Z130" s="406"/>
      <c r="AA130" s="406"/>
      <c r="AB130" s="406"/>
      <c r="AC130" s="406"/>
      <c r="AD130" s="406"/>
      <c r="AE130" s="406"/>
      <c r="AF130" s="406"/>
      <c r="AG130" s="406"/>
      <c r="AH130" s="406"/>
      <c r="AI130" s="406"/>
      <c r="AJ130" s="406"/>
      <c r="AK130" s="406"/>
      <c r="AL130" s="406"/>
      <c r="AM130" s="406"/>
    </row>
    <row r="131" spans="1:39">
      <c r="A131" s="310"/>
      <c r="B131" s="310"/>
      <c r="C131" s="310"/>
      <c r="D131" s="310"/>
      <c r="E131" s="310"/>
      <c r="F131" s="310"/>
      <c r="G131" s="310"/>
      <c r="H131" s="310"/>
      <c r="I131" s="310"/>
      <c r="J131" s="310"/>
      <c r="L131" s="406"/>
      <c r="M131" s="406"/>
      <c r="N131" s="406"/>
      <c r="O131" s="406"/>
      <c r="P131" s="406"/>
      <c r="Q131" s="406"/>
      <c r="R131" s="406"/>
      <c r="S131" s="406"/>
      <c r="T131" s="406"/>
      <c r="U131" s="406"/>
      <c r="V131" s="406"/>
      <c r="W131" s="406"/>
      <c r="X131" s="406"/>
      <c r="Y131" s="406"/>
      <c r="Z131" s="406"/>
      <c r="AA131" s="406"/>
      <c r="AB131" s="406"/>
      <c r="AC131" s="406"/>
      <c r="AD131" s="406"/>
      <c r="AE131" s="406"/>
      <c r="AF131" s="406"/>
      <c r="AG131" s="406"/>
      <c r="AH131" s="406"/>
      <c r="AI131" s="406"/>
      <c r="AJ131" s="406"/>
      <c r="AK131" s="406"/>
      <c r="AL131" s="406"/>
      <c r="AM131" s="406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6"/>
  <dimension ref="A1:BB276"/>
  <sheetViews>
    <sheetView topLeftCell="A43" workbookViewId="0">
      <selection activeCell="A6" sqref="A6:A7"/>
    </sheetView>
  </sheetViews>
  <sheetFormatPr defaultRowHeight="12.75"/>
  <cols>
    <col min="1" max="1" width="15.42578125" style="29" bestFit="1" customWidth="1"/>
    <col min="2" max="12" width="20.5703125" style="29" bestFit="1" customWidth="1"/>
    <col min="13" max="13" width="9.140625" style="29"/>
    <col min="14" max="14" width="15" style="29" customWidth="1"/>
    <col min="15" max="15" width="9.140625" style="29"/>
    <col min="16" max="16" width="12.42578125" style="29" customWidth="1"/>
    <col min="17" max="17" width="14.42578125" style="29" customWidth="1"/>
    <col min="18" max="18" width="12.85546875" style="29" customWidth="1"/>
    <col min="19" max="21" width="9.140625" style="29"/>
    <col min="22" max="22" width="11.140625" style="29" customWidth="1"/>
    <col min="23" max="23" width="12.28515625" style="29" customWidth="1"/>
    <col min="24" max="25" width="9.140625" style="29"/>
    <col min="26" max="26" width="14.28515625" style="29" customWidth="1"/>
    <col min="27" max="29" width="9.140625" style="29"/>
    <col min="30" max="30" width="11.5703125" style="29" customWidth="1"/>
    <col min="31" max="45" width="9.140625" style="29"/>
    <col min="46" max="46" width="12.28515625" style="29" customWidth="1"/>
    <col min="47" max="16384" width="9.140625" style="29"/>
  </cols>
  <sheetData>
    <row r="1" spans="1:12">
      <c r="A1" s="323" t="s">
        <v>419</v>
      </c>
      <c r="B1" s="322"/>
      <c r="C1" s="322"/>
      <c r="D1" s="322"/>
      <c r="E1" s="322"/>
    </row>
    <row r="2" spans="1:12" ht="18" customHeight="1">
      <c r="A2" s="324"/>
    </row>
    <row r="3" spans="1:12" ht="18" customHeight="1">
      <c r="A3" s="324"/>
    </row>
    <row r="4" spans="1:12" ht="18" customHeight="1">
      <c r="A4" s="28" t="s">
        <v>67</v>
      </c>
    </row>
    <row r="5" spans="1:12" ht="18" customHeight="1">
      <c r="A5" s="538" t="s">
        <v>68</v>
      </c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40"/>
    </row>
    <row r="6" spans="1:12" ht="18" customHeight="1">
      <c r="A6" s="541" t="s">
        <v>69</v>
      </c>
      <c r="B6" s="538" t="s">
        <v>70</v>
      </c>
      <c r="C6" s="539"/>
      <c r="D6" s="539"/>
      <c r="E6" s="539"/>
      <c r="F6" s="539"/>
      <c r="G6" s="539"/>
      <c r="H6" s="539"/>
      <c r="I6" s="539"/>
      <c r="J6" s="539"/>
      <c r="K6" s="539"/>
      <c r="L6" s="540"/>
    </row>
    <row r="7" spans="1:12" ht="18" customHeight="1">
      <c r="A7" s="542"/>
      <c r="B7" s="30" t="s">
        <v>10</v>
      </c>
      <c r="C7" s="30" t="s">
        <v>28</v>
      </c>
      <c r="D7" s="30" t="s">
        <v>13</v>
      </c>
      <c r="E7" s="30" t="s">
        <v>31</v>
      </c>
      <c r="F7" s="30" t="s">
        <v>9</v>
      </c>
      <c r="G7" s="30" t="s">
        <v>71</v>
      </c>
      <c r="H7" s="30" t="s">
        <v>14</v>
      </c>
      <c r="I7" s="30" t="s">
        <v>72</v>
      </c>
      <c r="J7" s="30" t="s">
        <v>73</v>
      </c>
      <c r="K7" s="30" t="s">
        <v>16</v>
      </c>
      <c r="L7" s="30" t="s">
        <v>44</v>
      </c>
    </row>
    <row r="8" spans="1:12" ht="18" customHeight="1">
      <c r="A8" s="28" t="s">
        <v>74</v>
      </c>
      <c r="B8" s="31">
        <v>0</v>
      </c>
      <c r="C8" s="31">
        <v>0</v>
      </c>
      <c r="D8" s="31">
        <v>0</v>
      </c>
      <c r="E8" s="31">
        <v>0</v>
      </c>
      <c r="F8" s="31">
        <v>3110094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3110094</v>
      </c>
    </row>
    <row r="9" spans="1:12" ht="18" customHeight="1">
      <c r="A9" s="28" t="s">
        <v>75</v>
      </c>
      <c r="B9" s="31">
        <v>4511607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5968018</v>
      </c>
      <c r="L9" s="31">
        <v>10479625</v>
      </c>
    </row>
    <row r="10" spans="1:12" ht="18" customHeight="1">
      <c r="A10" s="28" t="s">
        <v>76</v>
      </c>
      <c r="B10" s="31">
        <v>0</v>
      </c>
      <c r="C10" s="31">
        <v>344806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171648061</v>
      </c>
      <c r="L10" s="31">
        <v>171992867</v>
      </c>
    </row>
    <row r="11" spans="1:12" ht="18" customHeight="1">
      <c r="A11" s="28" t="s">
        <v>77</v>
      </c>
      <c r="B11" s="31">
        <v>6595771</v>
      </c>
      <c r="C11" s="31">
        <v>0</v>
      </c>
      <c r="D11" s="31">
        <v>5119776</v>
      </c>
      <c r="E11" s="31">
        <v>0</v>
      </c>
      <c r="F11" s="31">
        <v>8214482</v>
      </c>
      <c r="G11" s="31">
        <v>0</v>
      </c>
      <c r="H11" s="31">
        <v>0</v>
      </c>
      <c r="I11" s="31">
        <v>0</v>
      </c>
      <c r="J11" s="31">
        <v>0</v>
      </c>
      <c r="K11" s="31">
        <v>5141736</v>
      </c>
      <c r="L11" s="31">
        <v>25071766</v>
      </c>
    </row>
    <row r="12" spans="1:12" ht="18" customHeight="1">
      <c r="A12" s="28" t="s">
        <v>78</v>
      </c>
      <c r="B12" s="31">
        <v>13978488</v>
      </c>
      <c r="C12" s="31">
        <v>392222</v>
      </c>
      <c r="D12" s="31">
        <v>21588151</v>
      </c>
      <c r="E12" s="31">
        <v>2965716</v>
      </c>
      <c r="F12" s="31">
        <v>1010392</v>
      </c>
      <c r="G12" s="31">
        <v>1622167</v>
      </c>
      <c r="H12" s="31">
        <v>3095787</v>
      </c>
      <c r="I12" s="31">
        <v>19440711</v>
      </c>
      <c r="J12" s="31">
        <v>0</v>
      </c>
      <c r="K12" s="31">
        <v>34305257</v>
      </c>
      <c r="L12" s="31">
        <v>98398889</v>
      </c>
    </row>
    <row r="13" spans="1:12" ht="18" customHeight="1">
      <c r="A13" s="28" t="s">
        <v>79</v>
      </c>
      <c r="B13" s="31">
        <v>11087516</v>
      </c>
      <c r="C13" s="31">
        <v>1564526</v>
      </c>
      <c r="D13" s="31">
        <v>11333402</v>
      </c>
      <c r="E13" s="31">
        <v>72921834</v>
      </c>
      <c r="F13" s="31">
        <v>19138633</v>
      </c>
      <c r="G13" s="31">
        <v>11006764</v>
      </c>
      <c r="H13" s="31">
        <v>2921668</v>
      </c>
      <c r="I13" s="31">
        <v>27649250</v>
      </c>
      <c r="J13" s="31">
        <v>8627946</v>
      </c>
      <c r="K13" s="31">
        <v>39727831</v>
      </c>
      <c r="L13" s="31">
        <v>205979369</v>
      </c>
    </row>
    <row r="14" spans="1:12" ht="18" customHeight="1">
      <c r="A14" s="28" t="s">
        <v>80</v>
      </c>
      <c r="B14" s="31">
        <v>31932019</v>
      </c>
      <c r="C14" s="31">
        <v>8116751</v>
      </c>
      <c r="D14" s="31">
        <v>12312725</v>
      </c>
      <c r="E14" s="31">
        <v>70048364</v>
      </c>
      <c r="F14" s="31">
        <v>48476502</v>
      </c>
      <c r="G14" s="31">
        <v>14165606</v>
      </c>
      <c r="H14" s="31">
        <v>5686683</v>
      </c>
      <c r="I14" s="31">
        <v>34137639</v>
      </c>
      <c r="J14" s="31">
        <v>42576288</v>
      </c>
      <c r="K14" s="31">
        <v>29298237</v>
      </c>
      <c r="L14" s="31">
        <v>296750813</v>
      </c>
    </row>
    <row r="15" spans="1:12" ht="18" customHeight="1">
      <c r="A15" s="28" t="s">
        <v>81</v>
      </c>
      <c r="B15" s="31">
        <v>18360443</v>
      </c>
      <c r="C15" s="31">
        <v>1782677</v>
      </c>
      <c r="D15" s="31">
        <v>38910968</v>
      </c>
      <c r="E15" s="31">
        <v>57902292</v>
      </c>
      <c r="F15" s="31">
        <v>27425754</v>
      </c>
      <c r="G15" s="31">
        <v>7585638</v>
      </c>
      <c r="H15" s="31">
        <v>1566684</v>
      </c>
      <c r="I15" s="31">
        <v>41084934</v>
      </c>
      <c r="J15" s="31">
        <v>19767222</v>
      </c>
      <c r="K15" s="31">
        <v>20746985</v>
      </c>
      <c r="L15" s="31">
        <v>235133599</v>
      </c>
    </row>
    <row r="16" spans="1:12" ht="18" customHeight="1">
      <c r="A16" s="28" t="s">
        <v>82</v>
      </c>
      <c r="B16" s="31">
        <v>42197616</v>
      </c>
      <c r="C16" s="31">
        <v>2149610</v>
      </c>
      <c r="D16" s="31">
        <v>5831103</v>
      </c>
      <c r="E16" s="31">
        <v>96544583</v>
      </c>
      <c r="F16" s="31">
        <v>84354750</v>
      </c>
      <c r="G16" s="31">
        <v>8492260</v>
      </c>
      <c r="H16" s="31">
        <v>2469778</v>
      </c>
      <c r="I16" s="31">
        <v>50016274</v>
      </c>
      <c r="J16" s="31">
        <v>36400016</v>
      </c>
      <c r="K16" s="31">
        <v>6499045</v>
      </c>
      <c r="L16" s="31">
        <v>334955035</v>
      </c>
    </row>
    <row r="17" spans="1:12" ht="18" customHeight="1">
      <c r="A17" s="28" t="s">
        <v>83</v>
      </c>
      <c r="B17" s="31">
        <v>65309041</v>
      </c>
      <c r="C17" s="31">
        <v>6014668</v>
      </c>
      <c r="D17" s="31">
        <v>13289610</v>
      </c>
      <c r="E17" s="31">
        <v>58590185</v>
      </c>
      <c r="F17" s="31">
        <v>22312505</v>
      </c>
      <c r="G17" s="31">
        <v>22093673</v>
      </c>
      <c r="H17" s="31">
        <v>6174203</v>
      </c>
      <c r="I17" s="31">
        <v>60064125</v>
      </c>
      <c r="J17" s="31">
        <v>22906614</v>
      </c>
      <c r="K17" s="31">
        <v>68783829</v>
      </c>
      <c r="L17" s="31">
        <v>345538454</v>
      </c>
    </row>
    <row r="18" spans="1:12" ht="18" customHeight="1">
      <c r="A18" s="28" t="s">
        <v>84</v>
      </c>
      <c r="B18" s="31">
        <v>46969122</v>
      </c>
      <c r="C18" s="31">
        <v>20803441</v>
      </c>
      <c r="D18" s="31">
        <v>14820541</v>
      </c>
      <c r="E18" s="31">
        <v>68575526</v>
      </c>
      <c r="F18" s="31">
        <v>19782676</v>
      </c>
      <c r="G18" s="31">
        <v>8752443</v>
      </c>
      <c r="H18" s="31">
        <v>4888768</v>
      </c>
      <c r="I18" s="31">
        <v>22545609</v>
      </c>
      <c r="J18" s="31">
        <v>50224696</v>
      </c>
      <c r="K18" s="31">
        <v>31936004</v>
      </c>
      <c r="L18" s="31">
        <v>289298826</v>
      </c>
    </row>
    <row r="19" spans="1:12" ht="18" customHeight="1">
      <c r="A19" s="28" t="s">
        <v>85</v>
      </c>
      <c r="B19" s="31">
        <v>21445927</v>
      </c>
      <c r="C19" s="31">
        <v>6437400</v>
      </c>
      <c r="D19" s="31">
        <v>9942913</v>
      </c>
      <c r="E19" s="31">
        <v>78029467</v>
      </c>
      <c r="F19" s="31">
        <v>44256009</v>
      </c>
      <c r="G19" s="31">
        <v>7948437</v>
      </c>
      <c r="H19" s="31">
        <v>2506918</v>
      </c>
      <c r="I19" s="31">
        <v>32999880</v>
      </c>
      <c r="J19" s="31">
        <v>15958314</v>
      </c>
      <c r="K19" s="31">
        <v>2444272</v>
      </c>
      <c r="L19" s="31">
        <v>221969537</v>
      </c>
    </row>
    <row r="20" spans="1:12" ht="18" customHeight="1">
      <c r="A20" s="28" t="s">
        <v>86</v>
      </c>
      <c r="B20" s="31">
        <v>35837881</v>
      </c>
      <c r="C20" s="31">
        <v>9647290</v>
      </c>
      <c r="D20" s="31">
        <v>8326739</v>
      </c>
      <c r="E20" s="31">
        <v>72581758</v>
      </c>
      <c r="F20" s="31">
        <v>2279929</v>
      </c>
      <c r="G20" s="31">
        <v>8423381</v>
      </c>
      <c r="H20" s="31">
        <v>2814574</v>
      </c>
      <c r="I20" s="31">
        <v>21412024</v>
      </c>
      <c r="J20" s="31">
        <v>29842143</v>
      </c>
      <c r="K20" s="31">
        <v>25724780</v>
      </c>
      <c r="L20" s="31">
        <v>216890499</v>
      </c>
    </row>
    <row r="21" spans="1:12" ht="18" customHeight="1">
      <c r="A21" s="28" t="s">
        <v>87</v>
      </c>
      <c r="B21" s="31">
        <v>10239709</v>
      </c>
      <c r="C21" s="31">
        <v>3383069</v>
      </c>
      <c r="D21" s="31">
        <v>12738155</v>
      </c>
      <c r="E21" s="31">
        <v>32018153</v>
      </c>
      <c r="F21" s="31">
        <v>4812803</v>
      </c>
      <c r="G21" s="31">
        <v>10420888</v>
      </c>
      <c r="H21" s="31">
        <v>2115924</v>
      </c>
      <c r="I21" s="31">
        <v>71410016</v>
      </c>
      <c r="J21" s="31">
        <v>6076366</v>
      </c>
      <c r="K21" s="31">
        <v>0</v>
      </c>
      <c r="L21" s="31">
        <v>153215081</v>
      </c>
    </row>
    <row r="22" spans="1:12" ht="18" customHeight="1">
      <c r="A22" s="28" t="s">
        <v>88</v>
      </c>
      <c r="B22" s="31">
        <v>14540072</v>
      </c>
      <c r="C22" s="31">
        <v>2505863</v>
      </c>
      <c r="D22" s="31">
        <v>4304101</v>
      </c>
      <c r="E22" s="31">
        <v>38028100</v>
      </c>
      <c r="F22" s="31">
        <v>6740129</v>
      </c>
      <c r="G22" s="31">
        <v>211183</v>
      </c>
      <c r="H22" s="31">
        <v>5850478</v>
      </c>
      <c r="I22" s="31">
        <v>58037360</v>
      </c>
      <c r="J22" s="31">
        <v>2222270</v>
      </c>
      <c r="K22" s="31">
        <v>0</v>
      </c>
      <c r="L22" s="31">
        <v>132439557</v>
      </c>
    </row>
    <row r="23" spans="1:12" ht="18" customHeight="1">
      <c r="A23" s="28" t="s">
        <v>89</v>
      </c>
      <c r="B23" s="31">
        <v>11168187</v>
      </c>
      <c r="C23" s="31">
        <v>9856092</v>
      </c>
      <c r="D23" s="31">
        <v>4931948</v>
      </c>
      <c r="E23" s="31">
        <v>31101876</v>
      </c>
      <c r="F23" s="31">
        <v>1671006</v>
      </c>
      <c r="G23" s="31">
        <v>6028610</v>
      </c>
      <c r="H23" s="31">
        <v>2722406</v>
      </c>
      <c r="I23" s="31">
        <v>33340646</v>
      </c>
      <c r="J23" s="31">
        <v>3521733</v>
      </c>
      <c r="K23" s="31">
        <v>0</v>
      </c>
      <c r="L23" s="31">
        <v>104342503</v>
      </c>
    </row>
    <row r="24" spans="1:12" ht="18" customHeight="1">
      <c r="A24" s="28" t="s">
        <v>90</v>
      </c>
      <c r="B24" s="31">
        <v>11147798</v>
      </c>
      <c r="C24" s="31">
        <v>359848</v>
      </c>
      <c r="D24" s="31">
        <v>2443009</v>
      </c>
      <c r="E24" s="31">
        <v>2516632</v>
      </c>
      <c r="F24" s="31">
        <v>3283907</v>
      </c>
      <c r="G24" s="31">
        <v>1008285</v>
      </c>
      <c r="H24" s="31">
        <v>2359712</v>
      </c>
      <c r="I24" s="31">
        <v>45751152</v>
      </c>
      <c r="J24" s="31">
        <v>0</v>
      </c>
      <c r="K24" s="31">
        <v>0</v>
      </c>
      <c r="L24" s="31">
        <v>68870343</v>
      </c>
    </row>
    <row r="25" spans="1:12" ht="18" customHeight="1">
      <c r="A25" s="28" t="s">
        <v>91</v>
      </c>
      <c r="B25" s="31">
        <v>13334162</v>
      </c>
      <c r="C25" s="31">
        <v>735944</v>
      </c>
      <c r="D25" s="31">
        <v>2998606</v>
      </c>
      <c r="E25" s="31">
        <v>14023648</v>
      </c>
      <c r="F25" s="31">
        <v>6092630</v>
      </c>
      <c r="G25" s="31">
        <v>1710465</v>
      </c>
      <c r="H25" s="31">
        <v>1339875</v>
      </c>
      <c r="I25" s="31">
        <v>11466445</v>
      </c>
      <c r="J25" s="31">
        <v>2007387</v>
      </c>
      <c r="K25" s="31">
        <v>0</v>
      </c>
      <c r="L25" s="31">
        <v>53709162</v>
      </c>
    </row>
    <row r="26" spans="1:12" ht="18" customHeight="1">
      <c r="A26" s="28" t="s">
        <v>92</v>
      </c>
      <c r="B26" s="31">
        <v>2992349</v>
      </c>
      <c r="C26" s="31">
        <v>739728</v>
      </c>
      <c r="D26" s="31">
        <v>952798</v>
      </c>
      <c r="E26" s="31">
        <v>17591078</v>
      </c>
      <c r="F26" s="31">
        <v>1919234</v>
      </c>
      <c r="G26" s="31">
        <v>7984515</v>
      </c>
      <c r="H26" s="31">
        <v>4272298</v>
      </c>
      <c r="I26" s="31">
        <v>12266345</v>
      </c>
      <c r="J26" s="31">
        <v>0</v>
      </c>
      <c r="K26" s="31">
        <v>0</v>
      </c>
      <c r="L26" s="31">
        <v>48718344</v>
      </c>
    </row>
    <row r="27" spans="1:12" ht="18" customHeight="1">
      <c r="A27" s="28" t="s">
        <v>93</v>
      </c>
      <c r="B27" s="31">
        <v>3185265</v>
      </c>
      <c r="C27" s="31">
        <v>1709238</v>
      </c>
      <c r="D27" s="31">
        <v>0</v>
      </c>
      <c r="E27" s="31">
        <v>11996760</v>
      </c>
      <c r="F27" s="31">
        <v>1857784</v>
      </c>
      <c r="G27" s="31">
        <v>0</v>
      </c>
      <c r="H27" s="31">
        <v>0</v>
      </c>
      <c r="I27" s="31">
        <v>11831516</v>
      </c>
      <c r="J27" s="31">
        <v>530072</v>
      </c>
      <c r="K27" s="31">
        <v>0</v>
      </c>
      <c r="L27" s="31">
        <v>31110635</v>
      </c>
    </row>
    <row r="28" spans="1:12" ht="18" customHeight="1">
      <c r="A28" s="28" t="s">
        <v>94</v>
      </c>
      <c r="B28" s="31">
        <v>0</v>
      </c>
      <c r="C28" s="31">
        <v>577664</v>
      </c>
      <c r="D28" s="31">
        <v>636431</v>
      </c>
      <c r="E28" s="31">
        <v>3959348</v>
      </c>
      <c r="F28" s="31">
        <v>4573417</v>
      </c>
      <c r="G28" s="31">
        <v>2306027</v>
      </c>
      <c r="H28" s="31">
        <v>0</v>
      </c>
      <c r="I28" s="31">
        <v>2301347</v>
      </c>
      <c r="J28" s="31">
        <v>0</v>
      </c>
      <c r="K28" s="31">
        <v>0</v>
      </c>
      <c r="L28" s="31">
        <v>14354234</v>
      </c>
    </row>
    <row r="29" spans="1:12" ht="18" customHeight="1">
      <c r="A29" s="28" t="s">
        <v>95</v>
      </c>
      <c r="B29" s="31">
        <v>4039080</v>
      </c>
      <c r="C29" s="31">
        <v>0</v>
      </c>
      <c r="D29" s="31">
        <v>304462</v>
      </c>
      <c r="E29" s="31">
        <v>4962807</v>
      </c>
      <c r="F29" s="31">
        <v>15690162</v>
      </c>
      <c r="G29" s="31">
        <v>2468055</v>
      </c>
      <c r="H29" s="31">
        <v>2250983</v>
      </c>
      <c r="I29" s="31">
        <v>7106909</v>
      </c>
      <c r="J29" s="31">
        <v>0</v>
      </c>
      <c r="K29" s="31">
        <v>0</v>
      </c>
      <c r="L29" s="31">
        <v>36822460</v>
      </c>
    </row>
    <row r="30" spans="1:12" ht="18" customHeight="1">
      <c r="A30" s="28" t="s">
        <v>96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2932238</v>
      </c>
      <c r="H30" s="31">
        <v>0</v>
      </c>
      <c r="I30" s="31">
        <v>1401075</v>
      </c>
      <c r="J30" s="31">
        <v>0</v>
      </c>
      <c r="K30" s="31">
        <v>0</v>
      </c>
      <c r="L30" s="31">
        <v>4333313</v>
      </c>
    </row>
    <row r="31" spans="1:12" ht="18" customHeight="1">
      <c r="A31" s="28" t="s">
        <v>97</v>
      </c>
      <c r="B31" s="31">
        <v>0</v>
      </c>
      <c r="C31" s="31">
        <v>0</v>
      </c>
      <c r="D31" s="31">
        <v>0</v>
      </c>
      <c r="E31" s="31">
        <v>0</v>
      </c>
      <c r="F31" s="31">
        <v>6431668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6431668</v>
      </c>
    </row>
    <row r="32" spans="1:12" ht="18" customHeight="1">
      <c r="A32" s="28" t="s">
        <v>98</v>
      </c>
      <c r="B32" s="31">
        <v>0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1391919</v>
      </c>
      <c r="J32" s="31">
        <v>4692094</v>
      </c>
      <c r="K32" s="31">
        <v>0</v>
      </c>
      <c r="L32" s="31">
        <v>6084013</v>
      </c>
    </row>
    <row r="33" spans="1:12" ht="18" customHeight="1">
      <c r="A33" s="28" t="s">
        <v>99</v>
      </c>
      <c r="B33" s="31">
        <v>0</v>
      </c>
      <c r="C33" s="31">
        <v>0</v>
      </c>
      <c r="D33" s="31">
        <v>255488</v>
      </c>
      <c r="E33" s="31">
        <v>0</v>
      </c>
      <c r="F33" s="31">
        <v>0</v>
      </c>
      <c r="G33" s="31">
        <v>0</v>
      </c>
      <c r="H33" s="31">
        <v>0</v>
      </c>
      <c r="I33" s="31">
        <v>3901608</v>
      </c>
      <c r="J33" s="31">
        <v>0</v>
      </c>
      <c r="K33" s="31">
        <v>0</v>
      </c>
      <c r="L33" s="31">
        <v>4157096</v>
      </c>
    </row>
    <row r="34" spans="1:12" ht="18" customHeight="1">
      <c r="A34" s="28" t="s">
        <v>100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1372704</v>
      </c>
      <c r="J34" s="31">
        <v>0</v>
      </c>
      <c r="K34" s="31">
        <v>0</v>
      </c>
      <c r="L34" s="31">
        <v>1372704</v>
      </c>
    </row>
    <row r="35" spans="1:12" ht="18" customHeight="1">
      <c r="A35" s="28" t="s">
        <v>44</v>
      </c>
      <c r="B35" s="31">
        <v>368872052</v>
      </c>
      <c r="C35" s="31">
        <v>77120838</v>
      </c>
      <c r="D35" s="31">
        <v>171040928</v>
      </c>
      <c r="E35" s="31">
        <v>734358126</v>
      </c>
      <c r="F35" s="31">
        <v>333434465</v>
      </c>
      <c r="G35" s="31">
        <v>125160636</v>
      </c>
      <c r="H35" s="31">
        <v>53036739</v>
      </c>
      <c r="I35" s="31">
        <v>570929488</v>
      </c>
      <c r="J35" s="31">
        <v>245353161</v>
      </c>
      <c r="K35" s="31">
        <v>442224054</v>
      </c>
      <c r="L35" s="31">
        <v>3121530487</v>
      </c>
    </row>
    <row r="38" spans="1:12">
      <c r="A38" s="28" t="s">
        <v>67</v>
      </c>
    </row>
    <row r="39" spans="1:12">
      <c r="A39" s="538" t="s">
        <v>68</v>
      </c>
      <c r="B39" s="539"/>
      <c r="C39" s="539"/>
      <c r="D39" s="539"/>
      <c r="E39" s="539"/>
      <c r="F39" s="539"/>
      <c r="G39" s="539"/>
      <c r="H39" s="539"/>
      <c r="I39" s="539"/>
      <c r="J39" s="539"/>
      <c r="K39" s="539"/>
      <c r="L39" s="540"/>
    </row>
    <row r="40" spans="1:12">
      <c r="A40" s="541" t="s">
        <v>69</v>
      </c>
      <c r="B40" s="538" t="s">
        <v>70</v>
      </c>
      <c r="C40" s="539"/>
      <c r="D40" s="539"/>
      <c r="E40" s="539"/>
      <c r="F40" s="539"/>
      <c r="G40" s="539"/>
      <c r="H40" s="539"/>
      <c r="I40" s="539"/>
      <c r="J40" s="539"/>
      <c r="K40" s="539"/>
      <c r="L40" s="540"/>
    </row>
    <row r="41" spans="1:12">
      <c r="A41" s="542"/>
      <c r="B41" s="30" t="s">
        <v>10</v>
      </c>
      <c r="C41" s="30" t="s">
        <v>28</v>
      </c>
      <c r="D41" s="30" t="s">
        <v>13</v>
      </c>
      <c r="E41" s="30" t="s">
        <v>31</v>
      </c>
      <c r="F41" s="30" t="s">
        <v>9</v>
      </c>
      <c r="G41" s="30" t="s">
        <v>71</v>
      </c>
      <c r="H41" s="30" t="s">
        <v>14</v>
      </c>
      <c r="I41" s="30" t="s">
        <v>72</v>
      </c>
      <c r="J41" s="30" t="s">
        <v>73</v>
      </c>
      <c r="K41" s="30" t="s">
        <v>16</v>
      </c>
      <c r="L41" s="30" t="s">
        <v>44</v>
      </c>
    </row>
    <row r="42" spans="1:12">
      <c r="A42" s="28" t="s">
        <v>74</v>
      </c>
      <c r="B42" s="32">
        <f>B8/B$35</f>
        <v>0</v>
      </c>
      <c r="C42" s="32">
        <f t="shared" ref="C42:L42" si="0">C8/C$35</f>
        <v>0</v>
      </c>
      <c r="D42" s="32">
        <f t="shared" si="0"/>
        <v>0</v>
      </c>
      <c r="E42" s="32">
        <f t="shared" si="0"/>
        <v>0</v>
      </c>
      <c r="F42" s="32">
        <f t="shared" si="0"/>
        <v>9.327452097670828E-3</v>
      </c>
      <c r="G42" s="32">
        <f t="shared" si="0"/>
        <v>0</v>
      </c>
      <c r="H42" s="32">
        <f t="shared" si="0"/>
        <v>0</v>
      </c>
      <c r="I42" s="32">
        <f t="shared" si="0"/>
        <v>0</v>
      </c>
      <c r="J42" s="32">
        <f t="shared" si="0"/>
        <v>0</v>
      </c>
      <c r="K42" s="32">
        <f t="shared" si="0"/>
        <v>0</v>
      </c>
      <c r="L42" s="32">
        <f t="shared" si="0"/>
        <v>9.963362565101868E-4</v>
      </c>
    </row>
    <row r="43" spans="1:12">
      <c r="A43" s="28" t="s">
        <v>75</v>
      </c>
      <c r="B43" s="32">
        <f t="shared" ref="B43:L58" si="1">B9/B$35</f>
        <v>1.2230818180825475E-2</v>
      </c>
      <c r="C43" s="32">
        <f t="shared" si="1"/>
        <v>0</v>
      </c>
      <c r="D43" s="32">
        <f t="shared" si="1"/>
        <v>0</v>
      </c>
      <c r="E43" s="32">
        <f t="shared" si="1"/>
        <v>0</v>
      </c>
      <c r="F43" s="32">
        <f t="shared" si="1"/>
        <v>0</v>
      </c>
      <c r="G43" s="32">
        <f t="shared" si="1"/>
        <v>0</v>
      </c>
      <c r="H43" s="32">
        <f t="shared" si="1"/>
        <v>0</v>
      </c>
      <c r="I43" s="32">
        <f t="shared" si="1"/>
        <v>0</v>
      </c>
      <c r="J43" s="32">
        <f t="shared" si="1"/>
        <v>0</v>
      </c>
      <c r="K43" s="32">
        <f t="shared" si="1"/>
        <v>1.3495462189399584E-2</v>
      </c>
      <c r="L43" s="32">
        <f t="shared" si="1"/>
        <v>3.3572073198207403E-3</v>
      </c>
    </row>
    <row r="44" spans="1:12">
      <c r="A44" s="28" t="s">
        <v>76</v>
      </c>
      <c r="B44" s="32">
        <f t="shared" si="1"/>
        <v>0</v>
      </c>
      <c r="C44" s="32">
        <f t="shared" si="1"/>
        <v>4.4709835751525415E-3</v>
      </c>
      <c r="D44" s="32">
        <f t="shared" si="1"/>
        <v>0</v>
      </c>
      <c r="E44" s="32">
        <f t="shared" si="1"/>
        <v>0</v>
      </c>
      <c r="F44" s="32">
        <f t="shared" si="1"/>
        <v>0</v>
      </c>
      <c r="G44" s="32">
        <f t="shared" si="1"/>
        <v>0</v>
      </c>
      <c r="H44" s="32">
        <f t="shared" si="1"/>
        <v>0</v>
      </c>
      <c r="I44" s="32">
        <f t="shared" si="1"/>
        <v>0</v>
      </c>
      <c r="J44" s="32">
        <f t="shared" si="1"/>
        <v>0</v>
      </c>
      <c r="K44" s="33">
        <f t="shared" si="1"/>
        <v>0.38814727387036257</v>
      </c>
      <c r="L44" s="32">
        <f t="shared" si="1"/>
        <v>5.5098890661579497E-2</v>
      </c>
    </row>
    <row r="45" spans="1:12">
      <c r="A45" s="28" t="s">
        <v>77</v>
      </c>
      <c r="B45" s="32">
        <f t="shared" si="1"/>
        <v>1.7880918232319753E-2</v>
      </c>
      <c r="C45" s="32">
        <f t="shared" si="1"/>
        <v>0</v>
      </c>
      <c r="D45" s="32">
        <f t="shared" si="1"/>
        <v>2.9933046200497696E-2</v>
      </c>
      <c r="E45" s="32">
        <f t="shared" si="1"/>
        <v>0</v>
      </c>
      <c r="F45" s="32">
        <f t="shared" si="1"/>
        <v>2.4635971569405699E-2</v>
      </c>
      <c r="G45" s="32">
        <f t="shared" si="1"/>
        <v>0</v>
      </c>
      <c r="H45" s="32">
        <f t="shared" si="1"/>
        <v>0</v>
      </c>
      <c r="I45" s="32">
        <f t="shared" si="1"/>
        <v>0</v>
      </c>
      <c r="J45" s="32">
        <f t="shared" si="1"/>
        <v>0</v>
      </c>
      <c r="K45" s="33">
        <f t="shared" si="1"/>
        <v>1.1626993044571023E-2</v>
      </c>
      <c r="L45" s="32">
        <f t="shared" si="1"/>
        <v>8.0318824706067972E-3</v>
      </c>
    </row>
    <row r="46" spans="1:12">
      <c r="A46" s="28" t="s">
        <v>78</v>
      </c>
      <c r="B46" s="32">
        <f t="shared" si="1"/>
        <v>3.7895221186342413E-2</v>
      </c>
      <c r="C46" s="32">
        <f t="shared" si="1"/>
        <v>5.085810919222636E-3</v>
      </c>
      <c r="D46" s="32">
        <f t="shared" si="1"/>
        <v>0.126216287834921</v>
      </c>
      <c r="E46" s="32">
        <f t="shared" si="1"/>
        <v>4.0385145816443247E-3</v>
      </c>
      <c r="F46" s="32">
        <f t="shared" si="1"/>
        <v>3.0302566352881366E-3</v>
      </c>
      <c r="G46" s="32">
        <f t="shared" si="1"/>
        <v>1.2960680385165188E-2</v>
      </c>
      <c r="H46" s="32">
        <f t="shared" si="1"/>
        <v>5.8370613623133956E-2</v>
      </c>
      <c r="I46" s="32">
        <f t="shared" si="1"/>
        <v>3.4050984243434279E-2</v>
      </c>
      <c r="J46" s="32">
        <f t="shared" si="1"/>
        <v>0</v>
      </c>
      <c r="K46" s="33">
        <f t="shared" si="1"/>
        <v>7.7574380429337744E-2</v>
      </c>
      <c r="L46" s="32">
        <f t="shared" si="1"/>
        <v>3.1522642309531924E-2</v>
      </c>
    </row>
    <row r="47" spans="1:12">
      <c r="A47" s="28" t="s">
        <v>79</v>
      </c>
      <c r="B47" s="32">
        <f t="shared" si="1"/>
        <v>3.005789118444788E-2</v>
      </c>
      <c r="C47" s="32">
        <f t="shared" si="1"/>
        <v>2.0286683088168726E-2</v>
      </c>
      <c r="D47" s="32">
        <f t="shared" si="1"/>
        <v>6.6261345354721182E-2</v>
      </c>
      <c r="E47" s="32">
        <f t="shared" si="1"/>
        <v>9.9300098164910894E-2</v>
      </c>
      <c r="F47" s="32">
        <f t="shared" si="1"/>
        <v>5.73984845867688E-2</v>
      </c>
      <c r="G47" s="32">
        <f t="shared" si="1"/>
        <v>8.7941099947750345E-2</v>
      </c>
      <c r="H47" s="32">
        <f t="shared" si="1"/>
        <v>5.5087625202597766E-2</v>
      </c>
      <c r="I47" s="32">
        <f t="shared" si="1"/>
        <v>4.8428484744862221E-2</v>
      </c>
      <c r="J47" s="32">
        <f t="shared" si="1"/>
        <v>3.5165416108089188E-2</v>
      </c>
      <c r="K47" s="33">
        <f t="shared" si="1"/>
        <v>8.9836431647383891E-2</v>
      </c>
      <c r="L47" s="32">
        <f t="shared" si="1"/>
        <v>6.5986659383218127E-2</v>
      </c>
    </row>
    <row r="48" spans="1:12">
      <c r="A48" s="28" t="s">
        <v>80</v>
      </c>
      <c r="B48" s="32">
        <f t="shared" si="1"/>
        <v>8.6566653198220614E-2</v>
      </c>
      <c r="C48" s="32">
        <f t="shared" si="1"/>
        <v>0.10524718364704491</v>
      </c>
      <c r="D48" s="33">
        <f t="shared" si="1"/>
        <v>7.1987010033060628E-2</v>
      </c>
      <c r="E48" s="32">
        <f t="shared" si="1"/>
        <v>9.5387198044023555E-2</v>
      </c>
      <c r="F48" s="32">
        <f t="shared" si="1"/>
        <v>0.14538539679753862</v>
      </c>
      <c r="G48" s="32">
        <f t="shared" si="1"/>
        <v>0.11317940250798982</v>
      </c>
      <c r="H48" s="32">
        <f t="shared" si="1"/>
        <v>0.10722158087434448</v>
      </c>
      <c r="I48" s="32">
        <f t="shared" si="1"/>
        <v>5.9793091296766229E-2</v>
      </c>
      <c r="J48" s="32">
        <f t="shared" si="1"/>
        <v>0.17353062755119752</v>
      </c>
      <c r="K48" s="33">
        <f t="shared" si="1"/>
        <v>6.62520202937672E-2</v>
      </c>
      <c r="L48" s="32">
        <f t="shared" si="1"/>
        <v>9.5065806416389481E-2</v>
      </c>
    </row>
    <row r="49" spans="1:12">
      <c r="A49" s="28" t="s">
        <v>81</v>
      </c>
      <c r="B49" s="32">
        <f t="shared" si="1"/>
        <v>4.977455705969288E-2</v>
      </c>
      <c r="C49" s="32">
        <f t="shared" si="1"/>
        <v>2.3115373824127792E-2</v>
      </c>
      <c r="D49" s="33">
        <f t="shared" si="1"/>
        <v>0.2274950706534988</v>
      </c>
      <c r="E49" s="32">
        <f t="shared" si="1"/>
        <v>7.8847485919969248E-2</v>
      </c>
      <c r="F49" s="33">
        <f t="shared" si="1"/>
        <v>8.2252307061299143E-2</v>
      </c>
      <c r="G49" s="32">
        <f t="shared" si="1"/>
        <v>6.0607218390932437E-2</v>
      </c>
      <c r="H49" s="32">
        <f t="shared" si="1"/>
        <v>2.953959895611229E-2</v>
      </c>
      <c r="I49" s="32">
        <f t="shared" si="1"/>
        <v>7.1961485373479253E-2</v>
      </c>
      <c r="J49" s="33">
        <f t="shared" si="1"/>
        <v>8.0566404440984563E-2</v>
      </c>
      <c r="K49" s="33">
        <f t="shared" si="1"/>
        <v>4.6915098381328665E-2</v>
      </c>
      <c r="L49" s="33">
        <f t="shared" si="1"/>
        <v>7.5326382356104796E-2</v>
      </c>
    </row>
    <row r="50" spans="1:12">
      <c r="A50" s="28" t="s">
        <v>82</v>
      </c>
      <c r="B50" s="33">
        <f t="shared" si="1"/>
        <v>0.11439634900830058</v>
      </c>
      <c r="C50" s="32">
        <f t="shared" si="1"/>
        <v>2.787327077540314E-2</v>
      </c>
      <c r="D50" s="33">
        <f t="shared" si="1"/>
        <v>3.409185782715117E-2</v>
      </c>
      <c r="E50" s="33">
        <f t="shared" si="1"/>
        <v>0.13146798487254704</v>
      </c>
      <c r="F50" s="33">
        <f t="shared" si="1"/>
        <v>0.25298749485899724</v>
      </c>
      <c r="G50" s="33">
        <f t="shared" si="1"/>
        <v>6.7850885641073291E-2</v>
      </c>
      <c r="H50" s="33">
        <f t="shared" si="1"/>
        <v>4.6567304977027338E-2</v>
      </c>
      <c r="I50" s="33">
        <f t="shared" si="1"/>
        <v>8.7604993350772598E-2</v>
      </c>
      <c r="J50" s="33">
        <f t="shared" si="1"/>
        <v>0.14835764027511347</v>
      </c>
      <c r="K50" s="33">
        <f t="shared" si="1"/>
        <v>1.4696272039512352E-2</v>
      </c>
      <c r="L50" s="33">
        <f t="shared" si="1"/>
        <v>0.10730474566721732</v>
      </c>
    </row>
    <row r="51" spans="1:12">
      <c r="A51" s="28" t="s">
        <v>83</v>
      </c>
      <c r="B51" s="33">
        <f t="shared" si="1"/>
        <v>0.17705066200027536</v>
      </c>
      <c r="C51" s="32">
        <f t="shared" si="1"/>
        <v>7.7990179515424876E-2</v>
      </c>
      <c r="D51" s="33">
        <f t="shared" si="1"/>
        <v>7.7698420813058264E-2</v>
      </c>
      <c r="E51" s="33">
        <f t="shared" si="1"/>
        <v>7.978421280518383E-2</v>
      </c>
      <c r="F51" s="33">
        <f t="shared" si="1"/>
        <v>6.6917212652267369E-2</v>
      </c>
      <c r="G51" s="33">
        <f t="shared" si="1"/>
        <v>0.17652253700596407</v>
      </c>
      <c r="H51" s="33">
        <f t="shared" si="1"/>
        <v>0.11641369956776566</v>
      </c>
      <c r="I51" s="33">
        <f t="shared" si="1"/>
        <v>0.10520410359326195</v>
      </c>
      <c r="J51" s="33">
        <f t="shared" si="1"/>
        <v>9.3361805108351542E-2</v>
      </c>
      <c r="K51" s="33">
        <f t="shared" si="1"/>
        <v>0.15554067757698228</v>
      </c>
      <c r="L51" s="33">
        <f t="shared" si="1"/>
        <v>0.11069520398376298</v>
      </c>
    </row>
    <row r="52" spans="1:12">
      <c r="A52" s="28" t="s">
        <v>84</v>
      </c>
      <c r="B52" s="33">
        <f t="shared" si="1"/>
        <v>0.12733174482950527</v>
      </c>
      <c r="C52" s="33">
        <f t="shared" si="1"/>
        <v>0.26975123117827116</v>
      </c>
      <c r="D52" s="33">
        <f t="shared" si="1"/>
        <v>8.6649091380046769E-2</v>
      </c>
      <c r="E52" s="33">
        <f t="shared" si="1"/>
        <v>9.3381585322036734E-2</v>
      </c>
      <c r="F52" s="33">
        <f t="shared" si="1"/>
        <v>5.9330027566286525E-2</v>
      </c>
      <c r="G52" s="33">
        <f t="shared" si="1"/>
        <v>6.9929678209688872E-2</v>
      </c>
      <c r="H52" s="33">
        <f t="shared" si="1"/>
        <v>9.2177009600835372E-2</v>
      </c>
      <c r="I52" s="33">
        <f t="shared" si="1"/>
        <v>3.9489305551511471E-2</v>
      </c>
      <c r="J52" s="33">
        <f t="shared" si="1"/>
        <v>0.20470368425373578</v>
      </c>
      <c r="K52" s="34">
        <f t="shared" si="1"/>
        <v>7.2216795335153794E-2</v>
      </c>
      <c r="L52" s="33">
        <f t="shared" si="1"/>
        <v>9.2678520105704806E-2</v>
      </c>
    </row>
    <row r="53" spans="1:12">
      <c r="A53" s="28" t="s">
        <v>85</v>
      </c>
      <c r="B53" s="33">
        <f t="shared" si="1"/>
        <v>5.813920269568159E-2</v>
      </c>
      <c r="C53" s="33">
        <f t="shared" si="1"/>
        <v>8.3471603355762286E-2</v>
      </c>
      <c r="D53" s="33">
        <f t="shared" si="1"/>
        <v>5.8131776506731771E-2</v>
      </c>
      <c r="E53" s="33">
        <f t="shared" si="1"/>
        <v>0.10625533270125481</v>
      </c>
      <c r="F53" s="33">
        <f t="shared" si="1"/>
        <v>0.13272775806184284</v>
      </c>
      <c r="G53" s="33">
        <f t="shared" si="1"/>
        <v>6.3505885348808869E-2</v>
      </c>
      <c r="H53" s="33">
        <f t="shared" si="1"/>
        <v>4.7267574275258517E-2</v>
      </c>
      <c r="I53" s="33">
        <f t="shared" si="1"/>
        <v>5.7800272526823841E-2</v>
      </c>
      <c r="J53" s="34">
        <f t="shared" si="1"/>
        <v>6.5042218877302341E-2</v>
      </c>
      <c r="K53" s="34">
        <f t="shared" si="1"/>
        <v>5.5272253462720954E-3</v>
      </c>
      <c r="L53" s="33">
        <f t="shared" si="1"/>
        <v>7.1109200414482446E-2</v>
      </c>
    </row>
    <row r="54" spans="1:12">
      <c r="A54" s="28" t="s">
        <v>86</v>
      </c>
      <c r="B54" s="34">
        <f t="shared" si="1"/>
        <v>9.7155316608263945E-2</v>
      </c>
      <c r="C54" s="33">
        <f t="shared" si="1"/>
        <v>0.12509316872308882</v>
      </c>
      <c r="D54" s="34">
        <f t="shared" si="1"/>
        <v>4.8682728147967015E-2</v>
      </c>
      <c r="E54" s="33">
        <f t="shared" si="1"/>
        <v>9.8837005311492934E-2</v>
      </c>
      <c r="F54" s="34">
        <f t="shared" si="1"/>
        <v>6.8377124722244897E-3</v>
      </c>
      <c r="G54" s="33">
        <f t="shared" si="1"/>
        <v>6.7300560856849587E-2</v>
      </c>
      <c r="H54" s="33">
        <f t="shared" si="1"/>
        <v>5.3068383408715981E-2</v>
      </c>
      <c r="I54" s="33">
        <f t="shared" si="1"/>
        <v>3.7503797666867053E-2</v>
      </c>
      <c r="J54" s="34">
        <f t="shared" si="1"/>
        <v>0.12162933983964445</v>
      </c>
      <c r="K54" s="34">
        <f t="shared" si="1"/>
        <v>5.8171372107225991E-2</v>
      </c>
      <c r="L54" s="33">
        <f t="shared" si="1"/>
        <v>6.9482101777723237E-2</v>
      </c>
    </row>
    <row r="55" spans="1:12">
      <c r="A55" s="28" t="s">
        <v>87</v>
      </c>
      <c r="B55" s="34">
        <f t="shared" si="1"/>
        <v>2.7759514293590342E-2</v>
      </c>
      <c r="C55" s="34">
        <f t="shared" si="1"/>
        <v>4.3867119286229744E-2</v>
      </c>
      <c r="D55" s="34">
        <f t="shared" si="1"/>
        <v>7.4474309447151735E-2</v>
      </c>
      <c r="E55" s="34">
        <f t="shared" si="1"/>
        <v>4.3600188881139992E-2</v>
      </c>
      <c r="F55" s="34">
        <f t="shared" si="1"/>
        <v>1.4434029787532611E-2</v>
      </c>
      <c r="G55" s="34">
        <f t="shared" si="1"/>
        <v>8.3260107435056505E-2</v>
      </c>
      <c r="H55" s="33">
        <f t="shared" si="1"/>
        <v>3.9895439272765246E-2</v>
      </c>
      <c r="I55" s="33">
        <f t="shared" si="1"/>
        <v>0.12507676955021807</v>
      </c>
      <c r="J55" s="34">
        <f t="shared" si="1"/>
        <v>2.4765794641626811E-2</v>
      </c>
      <c r="K55" s="34">
        <f t="shared" si="1"/>
        <v>0</v>
      </c>
      <c r="L55" s="34">
        <f t="shared" si="1"/>
        <v>4.90833203898162E-2</v>
      </c>
    </row>
    <row r="56" spans="1:12">
      <c r="A56" s="28" t="s">
        <v>88</v>
      </c>
      <c r="B56" s="34">
        <f t="shared" si="1"/>
        <v>3.9417656938672059E-2</v>
      </c>
      <c r="C56" s="34">
        <f t="shared" si="1"/>
        <v>3.2492683754292193E-2</v>
      </c>
      <c r="D56" s="34">
        <f t="shared" si="1"/>
        <v>2.5164158370328767E-2</v>
      </c>
      <c r="E56" s="34">
        <f t="shared" si="1"/>
        <v>5.1784134543640906E-2</v>
      </c>
      <c r="F56" s="34">
        <f t="shared" si="1"/>
        <v>2.021425409637843E-2</v>
      </c>
      <c r="G56" s="34">
        <f t="shared" si="1"/>
        <v>1.6872956765735835E-3</v>
      </c>
      <c r="H56" s="33">
        <f t="shared" si="1"/>
        <v>0.11030991177643859</v>
      </c>
      <c r="I56" s="33">
        <f t="shared" si="1"/>
        <v>0.10165416434051835</v>
      </c>
      <c r="J56" s="34">
        <f t="shared" si="1"/>
        <v>9.0574337454735303E-3</v>
      </c>
      <c r="K56" s="34">
        <f t="shared" si="1"/>
        <v>0</v>
      </c>
      <c r="L56" s="34">
        <f t="shared" si="1"/>
        <v>4.2427763416555089E-2</v>
      </c>
    </row>
    <row r="57" spans="1:12">
      <c r="A57" s="28" t="s">
        <v>89</v>
      </c>
      <c r="B57" s="34">
        <f t="shared" si="1"/>
        <v>3.0276587612010249E-2</v>
      </c>
      <c r="C57" s="34">
        <f t="shared" si="1"/>
        <v>0.12780063411655357</v>
      </c>
      <c r="D57" s="34">
        <f t="shared" si="1"/>
        <v>2.8834899679683685E-2</v>
      </c>
      <c r="E57" s="34">
        <f t="shared" si="1"/>
        <v>4.2352463871285599E-2</v>
      </c>
      <c r="F57" s="34">
        <f t="shared" si="1"/>
        <v>5.0114975367048517E-3</v>
      </c>
      <c r="G57" s="34">
        <f t="shared" si="1"/>
        <v>4.8166981190475897E-2</v>
      </c>
      <c r="H57" s="34">
        <f t="shared" si="1"/>
        <v>5.1330569173945628E-2</v>
      </c>
      <c r="I57" s="34">
        <f t="shared" si="1"/>
        <v>5.8397134323529637E-2</v>
      </c>
      <c r="J57" s="34">
        <f t="shared" si="1"/>
        <v>1.4353729887343901E-2</v>
      </c>
      <c r="K57" s="34">
        <f t="shared" si="1"/>
        <v>0</v>
      </c>
      <c r="L57" s="34">
        <f t="shared" si="1"/>
        <v>3.3426712772643828E-2</v>
      </c>
    </row>
    <row r="58" spans="1:12">
      <c r="A58" s="28" t="s">
        <v>90</v>
      </c>
      <c r="B58" s="34">
        <f t="shared" si="1"/>
        <v>3.0221313703647029E-2</v>
      </c>
      <c r="C58" s="34">
        <f t="shared" si="1"/>
        <v>4.6660281362606564E-3</v>
      </c>
      <c r="D58" s="34">
        <f t="shared" si="1"/>
        <v>1.4283183730153757E-2</v>
      </c>
      <c r="E58" s="34">
        <f t="shared" si="1"/>
        <v>3.4269818919386479E-3</v>
      </c>
      <c r="F58" s="34">
        <f t="shared" si="1"/>
        <v>9.8487329436685554E-3</v>
      </c>
      <c r="G58" s="34">
        <f t="shared" si="1"/>
        <v>8.0559274243381124E-3</v>
      </c>
      <c r="H58" s="34">
        <f t="shared" si="1"/>
        <v>4.4492026555403415E-2</v>
      </c>
      <c r="I58" s="34">
        <f t="shared" si="1"/>
        <v>8.0134505156265468E-2</v>
      </c>
      <c r="J58" s="34">
        <f t="shared" si="1"/>
        <v>0</v>
      </c>
      <c r="K58" s="34">
        <f t="shared" si="1"/>
        <v>0</v>
      </c>
      <c r="L58" s="34">
        <f t="shared" si="1"/>
        <v>2.2063005082544947E-2</v>
      </c>
    </row>
    <row r="59" spans="1:12">
      <c r="A59" s="28" t="s">
        <v>91</v>
      </c>
      <c r="B59" s="34">
        <f t="shared" ref="B59:L69" si="2">B25/B$35</f>
        <v>3.6148474593569915E-2</v>
      </c>
      <c r="C59" s="34">
        <f t="shared" si="2"/>
        <v>9.5427386305112511E-3</v>
      </c>
      <c r="D59" s="34">
        <f t="shared" si="2"/>
        <v>1.7531511522201282E-2</v>
      </c>
      <c r="E59" s="34">
        <f t="shared" si="2"/>
        <v>1.9096470105649788E-2</v>
      </c>
      <c r="F59" s="34">
        <f t="shared" si="2"/>
        <v>1.8272346261505989E-2</v>
      </c>
      <c r="G59" s="34">
        <f t="shared" si="2"/>
        <v>1.3666157784624872E-2</v>
      </c>
      <c r="H59" s="34">
        <f t="shared" si="2"/>
        <v>2.5263148248990196E-2</v>
      </c>
      <c r="I59" s="34">
        <f t="shared" si="2"/>
        <v>2.0083819877946118E-2</v>
      </c>
      <c r="J59" s="34">
        <f t="shared" si="2"/>
        <v>8.1816227344224026E-3</v>
      </c>
      <c r="K59" s="34">
        <f t="shared" si="2"/>
        <v>0</v>
      </c>
      <c r="L59" s="34">
        <f t="shared" si="2"/>
        <v>1.7206034739586384E-2</v>
      </c>
    </row>
    <row r="60" spans="1:12">
      <c r="A60" s="28" t="s">
        <v>92</v>
      </c>
      <c r="B60" s="34">
        <f t="shared" si="2"/>
        <v>8.1121597143933265E-3</v>
      </c>
      <c r="C60" s="34">
        <f t="shared" si="2"/>
        <v>9.5918044873941847E-3</v>
      </c>
      <c r="D60" s="34">
        <f t="shared" si="2"/>
        <v>5.5705848368643087E-3</v>
      </c>
      <c r="E60" s="34">
        <f t="shared" si="2"/>
        <v>2.3954358748390837E-2</v>
      </c>
      <c r="F60" s="34">
        <f t="shared" si="2"/>
        <v>5.7559556718289459E-3</v>
      </c>
      <c r="G60" s="34">
        <f t="shared" si="2"/>
        <v>6.3794138917606658E-2</v>
      </c>
      <c r="H60" s="34">
        <f t="shared" si="2"/>
        <v>8.0553557412343921E-2</v>
      </c>
      <c r="I60" s="34">
        <f t="shared" si="2"/>
        <v>2.1484868548250567E-2</v>
      </c>
      <c r="J60" s="34">
        <f t="shared" si="2"/>
        <v>0</v>
      </c>
      <c r="K60" s="34">
        <f t="shared" si="2"/>
        <v>0</v>
      </c>
      <c r="L60" s="34">
        <f t="shared" si="2"/>
        <v>1.5607197880300568E-2</v>
      </c>
    </row>
    <row r="61" spans="1:12">
      <c r="A61" s="28" t="s">
        <v>93</v>
      </c>
      <c r="B61" s="34">
        <f t="shared" si="2"/>
        <v>8.6351486449832739E-3</v>
      </c>
      <c r="C61" s="34">
        <f t="shared" si="2"/>
        <v>2.2163114980674872E-2</v>
      </c>
      <c r="D61" s="34">
        <f t="shared" si="2"/>
        <v>0</v>
      </c>
      <c r="E61" s="34">
        <f t="shared" si="2"/>
        <v>1.6336388984139871E-2</v>
      </c>
      <c r="F61" s="34">
        <f t="shared" si="2"/>
        <v>5.5716615857331966E-3</v>
      </c>
      <c r="G61" s="34">
        <f t="shared" si="2"/>
        <v>0</v>
      </c>
      <c r="H61" s="34">
        <f t="shared" si="2"/>
        <v>0</v>
      </c>
      <c r="I61" s="34">
        <f t="shared" si="2"/>
        <v>2.0723252605933013E-2</v>
      </c>
      <c r="J61" s="34">
        <f t="shared" si="2"/>
        <v>2.160444959582159E-3</v>
      </c>
      <c r="K61" s="34">
        <f t="shared" si="2"/>
        <v>0</v>
      </c>
      <c r="L61" s="34">
        <f t="shared" si="2"/>
        <v>9.9664684133517478E-3</v>
      </c>
    </row>
    <row r="62" spans="1:12">
      <c r="A62" s="28" t="s">
        <v>94</v>
      </c>
      <c r="B62" s="34">
        <f t="shared" si="2"/>
        <v>0</v>
      </c>
      <c r="C62" s="34">
        <f t="shared" si="2"/>
        <v>7.4903750397525507E-3</v>
      </c>
      <c r="D62" s="34">
        <f t="shared" si="2"/>
        <v>3.7209281277987452E-3</v>
      </c>
      <c r="E62" s="34">
        <f t="shared" si="2"/>
        <v>5.3915764799476055E-3</v>
      </c>
      <c r="F62" s="34">
        <f t="shared" si="2"/>
        <v>1.3716089606993687E-2</v>
      </c>
      <c r="G62" s="34">
        <f t="shared" si="2"/>
        <v>1.8424538846223186E-2</v>
      </c>
      <c r="H62" s="34">
        <f t="shared" si="2"/>
        <v>0</v>
      </c>
      <c r="I62" s="34">
        <f t="shared" si="2"/>
        <v>4.030877802549235E-3</v>
      </c>
      <c r="J62" s="34">
        <f t="shared" si="2"/>
        <v>0</v>
      </c>
      <c r="K62" s="34">
        <f t="shared" si="2"/>
        <v>0</v>
      </c>
      <c r="L62" s="34">
        <f t="shared" si="2"/>
        <v>4.5984602936860568E-3</v>
      </c>
    </row>
    <row r="63" spans="1:12">
      <c r="A63" s="28" t="s">
        <v>95</v>
      </c>
      <c r="B63" s="34">
        <f t="shared" si="2"/>
        <v>1.0949813026225148E-2</v>
      </c>
      <c r="C63" s="34">
        <f t="shared" si="2"/>
        <v>0</v>
      </c>
      <c r="D63" s="34">
        <f t="shared" si="2"/>
        <v>1.7800534852102767E-3</v>
      </c>
      <c r="E63" s="34">
        <f t="shared" si="2"/>
        <v>6.7580201325368053E-3</v>
      </c>
      <c r="F63" s="34">
        <f t="shared" si="2"/>
        <v>4.7056209381354741E-2</v>
      </c>
      <c r="G63" s="34">
        <f t="shared" si="2"/>
        <v>1.9719099222218716E-2</v>
      </c>
      <c r="H63" s="34">
        <f t="shared" si="2"/>
        <v>4.2441957074321635E-2</v>
      </c>
      <c r="I63" s="34">
        <f t="shared" si="2"/>
        <v>1.2447962750874763E-2</v>
      </c>
      <c r="J63" s="34">
        <f t="shared" si="2"/>
        <v>0</v>
      </c>
      <c r="K63" s="34">
        <f t="shared" si="2"/>
        <v>0</v>
      </c>
      <c r="L63" s="34">
        <f t="shared" si="2"/>
        <v>1.1796283955371153E-2</v>
      </c>
    </row>
    <row r="64" spans="1:12">
      <c r="A64" s="28" t="s">
        <v>96</v>
      </c>
      <c r="B64" s="34">
        <f t="shared" si="2"/>
        <v>0</v>
      </c>
      <c r="C64" s="34">
        <f t="shared" si="2"/>
        <v>0</v>
      </c>
      <c r="D64" s="34">
        <f t="shared" si="2"/>
        <v>0</v>
      </c>
      <c r="E64" s="34">
        <f t="shared" si="2"/>
        <v>0</v>
      </c>
      <c r="F64" s="34">
        <f t="shared" si="2"/>
        <v>0</v>
      </c>
      <c r="G64" s="34">
        <f t="shared" si="2"/>
        <v>2.3427797218927522E-2</v>
      </c>
      <c r="H64" s="34">
        <f t="shared" si="2"/>
        <v>0</v>
      </c>
      <c r="I64" s="34">
        <f t="shared" si="2"/>
        <v>2.4540245852566647E-3</v>
      </c>
      <c r="J64" s="34">
        <f t="shared" si="2"/>
        <v>0</v>
      </c>
      <c r="K64" s="34">
        <f t="shared" si="2"/>
        <v>0</v>
      </c>
      <c r="L64" s="34">
        <f t="shared" si="2"/>
        <v>1.3882014025000295E-3</v>
      </c>
    </row>
    <row r="65" spans="1:49">
      <c r="A65" s="28" t="s">
        <v>97</v>
      </c>
      <c r="B65" s="34">
        <f t="shared" si="2"/>
        <v>0</v>
      </c>
      <c r="C65" s="34">
        <f t="shared" si="2"/>
        <v>0</v>
      </c>
      <c r="D65" s="34">
        <f t="shared" si="2"/>
        <v>0</v>
      </c>
      <c r="E65" s="34">
        <f t="shared" si="2"/>
        <v>0</v>
      </c>
      <c r="F65" s="34">
        <f t="shared" si="2"/>
        <v>1.9289151767799408E-2</v>
      </c>
      <c r="G65" s="34">
        <f t="shared" si="2"/>
        <v>0</v>
      </c>
      <c r="H65" s="34">
        <f t="shared" si="2"/>
        <v>0</v>
      </c>
      <c r="I65" s="34">
        <f t="shared" si="2"/>
        <v>0</v>
      </c>
      <c r="J65" s="34">
        <f t="shared" si="2"/>
        <v>0</v>
      </c>
      <c r="K65" s="34">
        <f t="shared" si="2"/>
        <v>0</v>
      </c>
      <c r="L65" s="34">
        <f t="shared" si="2"/>
        <v>2.0604213307496041E-3</v>
      </c>
    </row>
    <row r="66" spans="1:49">
      <c r="A66" s="28" t="s">
        <v>98</v>
      </c>
      <c r="B66" s="34">
        <f t="shared" si="2"/>
        <v>0</v>
      </c>
      <c r="C66" s="34">
        <f t="shared" si="2"/>
        <v>0</v>
      </c>
      <c r="D66" s="34">
        <f t="shared" si="2"/>
        <v>0</v>
      </c>
      <c r="E66" s="34">
        <f t="shared" si="2"/>
        <v>0</v>
      </c>
      <c r="F66" s="34">
        <f t="shared" si="2"/>
        <v>0</v>
      </c>
      <c r="G66" s="34">
        <f t="shared" si="2"/>
        <v>0</v>
      </c>
      <c r="H66" s="34">
        <f t="shared" si="2"/>
        <v>0</v>
      </c>
      <c r="I66" s="34">
        <f t="shared" si="2"/>
        <v>2.437987578599198E-3</v>
      </c>
      <c r="J66" s="34">
        <f t="shared" si="2"/>
        <v>1.9123837577132336E-2</v>
      </c>
      <c r="K66" s="34">
        <f t="shared" si="2"/>
        <v>0</v>
      </c>
      <c r="L66" s="34">
        <f t="shared" si="2"/>
        <v>1.9490480792475437E-3</v>
      </c>
    </row>
    <row r="67" spans="1:49">
      <c r="A67" s="28" t="s">
        <v>99</v>
      </c>
      <c r="B67" s="34">
        <f t="shared" si="2"/>
        <v>0</v>
      </c>
      <c r="C67" s="34">
        <f t="shared" si="2"/>
        <v>0</v>
      </c>
      <c r="D67" s="34">
        <f t="shared" si="2"/>
        <v>1.4937243558454034E-3</v>
      </c>
      <c r="E67" s="34">
        <f t="shared" si="2"/>
        <v>0</v>
      </c>
      <c r="F67" s="34">
        <f t="shared" si="2"/>
        <v>0</v>
      </c>
      <c r="G67" s="34">
        <f t="shared" si="2"/>
        <v>0</v>
      </c>
      <c r="H67" s="34">
        <f t="shared" si="2"/>
        <v>0</v>
      </c>
      <c r="I67" s="34">
        <f t="shared" si="2"/>
        <v>6.8337825983863006E-3</v>
      </c>
      <c r="J67" s="34">
        <f t="shared" si="2"/>
        <v>0</v>
      </c>
      <c r="K67" s="34">
        <f t="shared" si="2"/>
        <v>0</v>
      </c>
      <c r="L67" s="34">
        <f t="shared" si="2"/>
        <v>1.3317492868683298E-3</v>
      </c>
    </row>
    <row r="68" spans="1:49">
      <c r="A68" s="28" t="s">
        <v>100</v>
      </c>
      <c r="B68" s="34">
        <f t="shared" si="2"/>
        <v>0</v>
      </c>
      <c r="C68" s="34">
        <f t="shared" si="2"/>
        <v>0</v>
      </c>
      <c r="D68" s="34">
        <f t="shared" si="2"/>
        <v>0</v>
      </c>
      <c r="E68" s="34">
        <f t="shared" si="2"/>
        <v>0</v>
      </c>
      <c r="F68" s="34">
        <f t="shared" si="2"/>
        <v>0</v>
      </c>
      <c r="G68" s="34">
        <f t="shared" si="2"/>
        <v>0</v>
      </c>
      <c r="H68" s="34">
        <f t="shared" si="2"/>
        <v>0</v>
      </c>
      <c r="I68" s="34">
        <f t="shared" si="2"/>
        <v>2.4043319338937349E-3</v>
      </c>
      <c r="J68" s="34">
        <f t="shared" si="2"/>
        <v>0</v>
      </c>
      <c r="K68" s="34">
        <f t="shared" si="2"/>
        <v>0</v>
      </c>
      <c r="L68" s="34">
        <f t="shared" si="2"/>
        <v>4.3975351377050317E-4</v>
      </c>
    </row>
    <row r="69" spans="1:49">
      <c r="A69" s="28" t="s">
        <v>44</v>
      </c>
      <c r="B69" s="33">
        <f t="shared" si="2"/>
        <v>1</v>
      </c>
      <c r="C69" s="33">
        <f t="shared" si="2"/>
        <v>1</v>
      </c>
      <c r="D69" s="33">
        <f t="shared" si="2"/>
        <v>1</v>
      </c>
      <c r="E69" s="33">
        <f t="shared" si="2"/>
        <v>1</v>
      </c>
      <c r="F69" s="33">
        <f t="shared" si="2"/>
        <v>1</v>
      </c>
      <c r="G69" s="33">
        <f t="shared" si="2"/>
        <v>1</v>
      </c>
      <c r="H69" s="33">
        <f t="shared" si="2"/>
        <v>1</v>
      </c>
      <c r="I69" s="33">
        <f t="shared" si="2"/>
        <v>1</v>
      </c>
      <c r="J69" s="33">
        <f t="shared" si="2"/>
        <v>1</v>
      </c>
      <c r="K69" s="33">
        <f t="shared" si="2"/>
        <v>1</v>
      </c>
      <c r="L69" s="33">
        <f t="shared" si="2"/>
        <v>1</v>
      </c>
    </row>
    <row r="73" spans="1:49">
      <c r="A73" s="35" t="s">
        <v>101</v>
      </c>
    </row>
    <row r="74" spans="1:49">
      <c r="A74" s="35" t="s">
        <v>102</v>
      </c>
      <c r="B74" s="29">
        <v>0.7</v>
      </c>
      <c r="C74" s="29">
        <v>0.9</v>
      </c>
      <c r="D74" s="29">
        <v>0.5</v>
      </c>
      <c r="E74" s="29">
        <v>0.7</v>
      </c>
      <c r="F74" s="29">
        <v>0.6</v>
      </c>
      <c r="G74" s="29">
        <v>0.7</v>
      </c>
      <c r="H74" s="29">
        <v>0.7</v>
      </c>
      <c r="I74" s="29">
        <v>0.7</v>
      </c>
      <c r="J74" s="29">
        <v>0.6</v>
      </c>
      <c r="K74" s="29">
        <v>0.2</v>
      </c>
      <c r="L74" s="29">
        <v>0.6</v>
      </c>
    </row>
    <row r="75" spans="1:49">
      <c r="A75" s="35" t="s">
        <v>103</v>
      </c>
      <c r="B75" s="29">
        <v>1.2</v>
      </c>
      <c r="C75" s="29">
        <v>1.3</v>
      </c>
      <c r="D75" s="29">
        <v>1.2</v>
      </c>
      <c r="E75" s="29">
        <v>1.3</v>
      </c>
      <c r="F75" s="29">
        <v>1.1000000000000001</v>
      </c>
      <c r="G75" s="29">
        <v>1.3</v>
      </c>
      <c r="H75" s="29">
        <v>1.4</v>
      </c>
      <c r="I75" s="29">
        <v>1.4</v>
      </c>
      <c r="J75" s="29">
        <v>1.1000000000000001</v>
      </c>
      <c r="K75" s="29">
        <v>1</v>
      </c>
      <c r="L75" s="29">
        <v>1.3</v>
      </c>
    </row>
    <row r="80" spans="1:49">
      <c r="A80" s="35" t="s">
        <v>104</v>
      </c>
      <c r="E80" s="35" t="s">
        <v>163</v>
      </c>
      <c r="K80" s="35" t="s">
        <v>164</v>
      </c>
      <c r="R80" s="35" t="s">
        <v>165</v>
      </c>
      <c r="AO80" s="35" t="s">
        <v>178</v>
      </c>
      <c r="AW80" s="35" t="s">
        <v>179</v>
      </c>
    </row>
    <row r="81" spans="1:54" ht="38.25">
      <c r="A81" s="29" t="s">
        <v>105</v>
      </c>
      <c r="B81" s="29" t="s">
        <v>106</v>
      </c>
      <c r="C81" s="29" t="s">
        <v>107</v>
      </c>
      <c r="D81" s="29" t="s">
        <v>108</v>
      </c>
      <c r="E81" s="29" t="s">
        <v>109</v>
      </c>
      <c r="G81" s="36" t="s">
        <v>105</v>
      </c>
      <c r="H81" s="36" t="s">
        <v>106</v>
      </c>
      <c r="I81" s="36" t="s">
        <v>107</v>
      </c>
      <c r="J81" s="36" t="s">
        <v>108</v>
      </c>
      <c r="K81" s="36" t="s">
        <v>109</v>
      </c>
      <c r="N81" s="36" t="s">
        <v>105</v>
      </c>
      <c r="O81" s="36" t="s">
        <v>106</v>
      </c>
      <c r="P81" s="36" t="s">
        <v>107</v>
      </c>
      <c r="Q81" s="36" t="s">
        <v>108</v>
      </c>
      <c r="R81" s="36" t="s">
        <v>109</v>
      </c>
      <c r="U81" s="70" t="s">
        <v>105</v>
      </c>
      <c r="V81" s="70" t="s">
        <v>107</v>
      </c>
      <c r="W81" s="70" t="s">
        <v>108</v>
      </c>
      <c r="X81" s="70" t="s">
        <v>168</v>
      </c>
      <c r="Y81" s="70" t="s">
        <v>169</v>
      </c>
      <c r="Z81" s="70" t="s">
        <v>170</v>
      </c>
      <c r="AB81" s="70" t="s">
        <v>105</v>
      </c>
      <c r="AC81" s="70" t="s">
        <v>107</v>
      </c>
      <c r="AD81" s="70" t="s">
        <v>108</v>
      </c>
      <c r="AE81" s="70" t="s">
        <v>168</v>
      </c>
      <c r="AF81" s="70" t="s">
        <v>169</v>
      </c>
      <c r="AG81" s="70" t="s">
        <v>170</v>
      </c>
      <c r="AJ81" s="71" t="s">
        <v>105</v>
      </c>
      <c r="AK81" s="71" t="s">
        <v>107</v>
      </c>
      <c r="AL81" s="71" t="s">
        <v>108</v>
      </c>
      <c r="AM81" s="71" t="s">
        <v>168</v>
      </c>
      <c r="AN81" s="71" t="s">
        <v>169</v>
      </c>
      <c r="AO81" s="71" t="s">
        <v>109</v>
      </c>
      <c r="AR81" s="71" t="s">
        <v>105</v>
      </c>
      <c r="AS81" s="71" t="s">
        <v>107</v>
      </c>
      <c r="AT81" s="71" t="s">
        <v>108</v>
      </c>
      <c r="AU81" s="71" t="s">
        <v>168</v>
      </c>
      <c r="AV81" s="71" t="s">
        <v>169</v>
      </c>
      <c r="AW81" s="71" t="s">
        <v>109</v>
      </c>
      <c r="AZ81" s="72"/>
      <c r="BA81" s="73" t="s">
        <v>176</v>
      </c>
      <c r="BB81" s="73" t="s">
        <v>177</v>
      </c>
    </row>
    <row r="82" spans="1:54">
      <c r="A82" s="29" t="s">
        <v>31</v>
      </c>
      <c r="B82" s="29" t="s">
        <v>110</v>
      </c>
      <c r="C82" s="37">
        <v>1117.4977354134001</v>
      </c>
      <c r="D82" s="37">
        <v>2229407.98214973</v>
      </c>
      <c r="E82" s="38">
        <v>0.655723787072651</v>
      </c>
      <c r="G82" s="37" t="s">
        <v>31</v>
      </c>
      <c r="H82" s="37" t="s">
        <v>111</v>
      </c>
      <c r="I82" s="37">
        <v>111.913803540171</v>
      </c>
      <c r="J82" s="39">
        <v>2965715.7938145399</v>
      </c>
      <c r="K82" s="40">
        <v>0.45817351900972603</v>
      </c>
      <c r="N82" s="37" t="s">
        <v>31</v>
      </c>
      <c r="O82" s="37" t="s">
        <v>112</v>
      </c>
      <c r="P82" s="37">
        <v>120.860604585971</v>
      </c>
      <c r="Q82" s="39">
        <v>9454320.7937375605</v>
      </c>
      <c r="R82" s="41">
        <v>0.50658996484499796</v>
      </c>
      <c r="U82" s="37" t="s">
        <v>31</v>
      </c>
      <c r="V82" s="37">
        <v>702.05414791910096</v>
      </c>
      <c r="W82" s="39">
        <v>10530812.2187865</v>
      </c>
      <c r="X82" s="69">
        <v>2007</v>
      </c>
      <c r="Y82" s="37" t="s">
        <v>171</v>
      </c>
      <c r="Z82" s="42">
        <v>1.6E-2</v>
      </c>
      <c r="AB82" s="37" t="s">
        <v>31</v>
      </c>
      <c r="AC82" s="37">
        <v>1117.4977354134001</v>
      </c>
      <c r="AD82" s="39">
        <v>2346745.2443681401</v>
      </c>
      <c r="AE82" s="69">
        <v>1974</v>
      </c>
      <c r="AF82" s="37" t="s">
        <v>172</v>
      </c>
      <c r="AG82" s="42">
        <v>0</v>
      </c>
      <c r="AI82" s="29">
        <v>1</v>
      </c>
      <c r="AJ82" s="29" t="s">
        <v>31</v>
      </c>
      <c r="AK82" s="29">
        <v>1117.4977354134001</v>
      </c>
      <c r="AL82" s="29">
        <v>4962807.4429708999</v>
      </c>
      <c r="AM82" s="29">
        <v>1982</v>
      </c>
      <c r="AN82" s="29" t="s">
        <v>173</v>
      </c>
      <c r="AO82" s="37">
        <v>2.1242121027874599</v>
      </c>
      <c r="AR82" s="37" t="s">
        <v>31</v>
      </c>
      <c r="AS82" s="37">
        <v>702.05414791910096</v>
      </c>
      <c r="AT82" s="39">
        <v>821403.353065348</v>
      </c>
      <c r="AU82" s="69">
        <v>2006</v>
      </c>
      <c r="AV82" s="37" t="s">
        <v>171</v>
      </c>
      <c r="AW82" s="37">
        <v>2.08119658119658</v>
      </c>
      <c r="AZ82" s="29">
        <v>0.4</v>
      </c>
      <c r="BA82" s="29">
        <f t="array" ref="BA82:BA100">FREQUENCY(AO82:AO151,$AZ$82:$AZ$100)</f>
        <v>0</v>
      </c>
      <c r="BB82" s="29">
        <f t="array" ref="BB82:BB100">FREQUENCY(AW82:AW128,$AZ$82:$AZ$100)</f>
        <v>0</v>
      </c>
    </row>
    <row r="83" spans="1:54">
      <c r="A83" s="29" t="s">
        <v>31</v>
      </c>
      <c r="B83" s="29" t="s">
        <v>110</v>
      </c>
      <c r="C83" s="37">
        <v>1117.4977354134001</v>
      </c>
      <c r="D83" s="37">
        <v>5224301.9130576402</v>
      </c>
      <c r="E83" s="38">
        <v>0.69775401069518705</v>
      </c>
      <c r="G83" s="37" t="s">
        <v>31</v>
      </c>
      <c r="H83" s="37" t="s">
        <v>111</v>
      </c>
      <c r="I83" s="37">
        <v>120.860604585971</v>
      </c>
      <c r="J83" s="39">
        <v>3315206.3837931799</v>
      </c>
      <c r="K83" s="40">
        <v>0.60164793349066403</v>
      </c>
      <c r="N83" s="37" t="s">
        <v>31</v>
      </c>
      <c r="O83" s="37" t="s">
        <v>113</v>
      </c>
      <c r="P83" s="37">
        <v>26.394908180552601</v>
      </c>
      <c r="Q83" s="39">
        <v>10827059.3611218</v>
      </c>
      <c r="R83" s="41">
        <v>0.53224938874613803</v>
      </c>
      <c r="U83" s="37" t="s">
        <v>31</v>
      </c>
      <c r="V83" s="37">
        <v>702.05414791910096</v>
      </c>
      <c r="W83" s="39">
        <v>3836725.9183778898</v>
      </c>
      <c r="X83" s="69">
        <v>2005</v>
      </c>
      <c r="Y83" s="37" t="s">
        <v>171</v>
      </c>
      <c r="Z83" s="42">
        <v>7.5754803293687098E-2</v>
      </c>
      <c r="AB83" s="37" t="s">
        <v>31</v>
      </c>
      <c r="AC83" s="37">
        <v>1568.97230222651</v>
      </c>
      <c r="AD83" s="39">
        <v>16099224.793146299</v>
      </c>
      <c r="AE83" s="69">
        <v>1975</v>
      </c>
      <c r="AF83" s="37" t="s">
        <v>172</v>
      </c>
      <c r="AG83" s="42">
        <v>0.193256017931975</v>
      </c>
      <c r="AI83" s="29">
        <v>2</v>
      </c>
      <c r="AJ83" s="29" t="s">
        <v>31</v>
      </c>
      <c r="AK83" s="29">
        <v>1568.97230222651</v>
      </c>
      <c r="AL83" s="29">
        <v>3137944.60445303</v>
      </c>
      <c r="AM83" s="29">
        <v>1989</v>
      </c>
      <c r="AN83" s="29" t="s">
        <v>173</v>
      </c>
      <c r="AO83" s="37">
        <v>2.0874999999999999</v>
      </c>
      <c r="AR83" s="37" t="s">
        <v>31</v>
      </c>
      <c r="AS83" s="37">
        <v>702.05414791910096</v>
      </c>
      <c r="AT83" s="39">
        <v>1310735.0941649601</v>
      </c>
      <c r="AU83" s="69">
        <v>2006</v>
      </c>
      <c r="AV83" s="37" t="s">
        <v>171</v>
      </c>
      <c r="AW83" s="37">
        <v>1.94228358506887</v>
      </c>
      <c r="AZ83" s="29">
        <v>0.5</v>
      </c>
      <c r="BA83" s="29">
        <v>1</v>
      </c>
      <c r="BB83" s="29">
        <v>0</v>
      </c>
    </row>
    <row r="84" spans="1:54">
      <c r="A84" s="29" t="s">
        <v>31</v>
      </c>
      <c r="B84" s="29" t="s">
        <v>110</v>
      </c>
      <c r="C84" s="37">
        <v>1568.97230222651</v>
      </c>
      <c r="D84" s="37">
        <v>6296285.8488349998</v>
      </c>
      <c r="E84" s="38">
        <v>0.77755235755471896</v>
      </c>
      <c r="G84" s="37" t="s">
        <v>31</v>
      </c>
      <c r="H84" s="37" t="s">
        <v>111</v>
      </c>
      <c r="I84" s="37">
        <v>158.30188448215799</v>
      </c>
      <c r="J84" s="39">
        <v>6012305.5726323696</v>
      </c>
      <c r="K84" s="40">
        <v>0.66390189477680295</v>
      </c>
      <c r="N84" s="37" t="s">
        <v>31</v>
      </c>
      <c r="O84" s="37" t="s">
        <v>113</v>
      </c>
      <c r="P84" s="37">
        <v>31.3255071523879</v>
      </c>
      <c r="Q84" s="39">
        <v>24413408.697184902</v>
      </c>
      <c r="R84" s="41">
        <v>0.546912384885897</v>
      </c>
      <c r="U84" s="37" t="s">
        <v>31</v>
      </c>
      <c r="V84" s="37">
        <v>31.3255071523879</v>
      </c>
      <c r="W84" s="39">
        <v>3223081.4309091899</v>
      </c>
      <c r="X84" s="69">
        <v>2006</v>
      </c>
      <c r="Y84" s="37" t="s">
        <v>171</v>
      </c>
      <c r="Z84" s="42">
        <v>0.22216026223732899</v>
      </c>
      <c r="AB84" s="37" t="s">
        <v>31</v>
      </c>
      <c r="AC84" s="37">
        <v>1568.97230222651</v>
      </c>
      <c r="AD84" s="39">
        <v>2471131.3760067602</v>
      </c>
      <c r="AE84" s="69">
        <v>1975</v>
      </c>
      <c r="AF84" s="37" t="s">
        <v>172</v>
      </c>
      <c r="AG84" s="42">
        <v>9.3968253968254006E-2</v>
      </c>
      <c r="AI84" s="29">
        <v>3</v>
      </c>
      <c r="AJ84" s="29" t="s">
        <v>31</v>
      </c>
      <c r="AK84" s="29">
        <v>1117.4977354134001</v>
      </c>
      <c r="AL84" s="29">
        <v>2346745.2443681401</v>
      </c>
      <c r="AM84" s="29">
        <v>1974</v>
      </c>
      <c r="AN84" s="29" t="s">
        <v>172</v>
      </c>
      <c r="AO84" s="37">
        <v>1.9847619047619001</v>
      </c>
      <c r="AR84" s="37" t="s">
        <v>31</v>
      </c>
      <c r="AS84" s="37">
        <v>702.05414791910096</v>
      </c>
      <c r="AT84" s="39">
        <v>2403131.3483270798</v>
      </c>
      <c r="AU84" s="69">
        <v>2006</v>
      </c>
      <c r="AV84" s="37" t="s">
        <v>171</v>
      </c>
      <c r="AW84" s="37">
        <v>1.9059452778785</v>
      </c>
      <c r="AZ84" s="29">
        <v>0.6</v>
      </c>
      <c r="BA84" s="29">
        <v>3</v>
      </c>
      <c r="BB84" s="29">
        <v>3</v>
      </c>
    </row>
    <row r="85" spans="1:54">
      <c r="A85" s="29" t="s">
        <v>31</v>
      </c>
      <c r="B85" s="29" t="s">
        <v>110</v>
      </c>
      <c r="C85" s="37">
        <v>1117.4977354134001</v>
      </c>
      <c r="D85" s="37">
        <v>2142243.1587874801</v>
      </c>
      <c r="E85" s="38">
        <v>0.80878888720818798</v>
      </c>
      <c r="G85" s="37" t="s">
        <v>31</v>
      </c>
      <c r="H85" s="37" t="s">
        <v>114</v>
      </c>
      <c r="I85" s="37">
        <v>702.05414791910096</v>
      </c>
      <c r="J85" s="39">
        <v>5616433.1833528103</v>
      </c>
      <c r="K85" s="40">
        <v>0.68074744494544404</v>
      </c>
      <c r="N85" s="37" t="s">
        <v>31</v>
      </c>
      <c r="O85" s="37" t="s">
        <v>112</v>
      </c>
      <c r="P85" s="37">
        <v>158.30188448215799</v>
      </c>
      <c r="Q85" s="39">
        <v>13515814.8970867</v>
      </c>
      <c r="R85" s="41">
        <v>0.56714758751182603</v>
      </c>
      <c r="U85" s="37" t="s">
        <v>31</v>
      </c>
      <c r="V85" s="37">
        <v>120.860604585971</v>
      </c>
      <c r="W85" s="39">
        <v>4485137.0361853698</v>
      </c>
      <c r="X85" s="69">
        <v>2008</v>
      </c>
      <c r="Y85" s="37" t="s">
        <v>171</v>
      </c>
      <c r="Z85" s="42">
        <v>0.108757747237941</v>
      </c>
      <c r="AB85" s="37" t="s">
        <v>31</v>
      </c>
      <c r="AC85" s="37">
        <v>1117.4977354134001</v>
      </c>
      <c r="AD85" s="39">
        <v>2229407.98214973</v>
      </c>
      <c r="AE85" s="69">
        <v>1959</v>
      </c>
      <c r="AF85" s="37" t="s">
        <v>172</v>
      </c>
      <c r="AG85" s="42">
        <v>0.26134519934829498</v>
      </c>
      <c r="AI85" s="29">
        <v>4</v>
      </c>
      <c r="AJ85" s="29" t="s">
        <v>31</v>
      </c>
      <c r="AK85" s="29">
        <v>1117.4977354134001</v>
      </c>
      <c r="AL85" s="29">
        <v>5936147.9705159701</v>
      </c>
      <c r="AM85" s="29">
        <v>1976</v>
      </c>
      <c r="AN85" s="29" t="s">
        <v>172</v>
      </c>
      <c r="AO85" s="37">
        <v>1.95294021961756</v>
      </c>
      <c r="AR85" s="37" t="s">
        <v>31</v>
      </c>
      <c r="AS85" s="37">
        <v>702.05414791910096</v>
      </c>
      <c r="AT85" s="39">
        <v>1008851.81055975</v>
      </c>
      <c r="AU85" s="69">
        <v>2007</v>
      </c>
      <c r="AV85" s="37" t="s">
        <v>171</v>
      </c>
      <c r="AW85" s="37">
        <v>1.7731384829505901</v>
      </c>
      <c r="AZ85" s="29">
        <v>0.7</v>
      </c>
      <c r="BA85" s="29">
        <v>6</v>
      </c>
      <c r="BB85" s="29">
        <v>3</v>
      </c>
    </row>
    <row r="86" spans="1:54">
      <c r="A86" s="29" t="s">
        <v>31</v>
      </c>
      <c r="B86" s="29" t="s">
        <v>110</v>
      </c>
      <c r="C86" s="37">
        <v>1117.4977354134001</v>
      </c>
      <c r="D86" s="37">
        <v>2544542.3435363099</v>
      </c>
      <c r="E86" s="38">
        <v>0.856894758909853</v>
      </c>
      <c r="G86" s="37" t="s">
        <v>31</v>
      </c>
      <c r="H86" s="37" t="s">
        <v>111</v>
      </c>
      <c r="I86" s="37">
        <v>158.30188448215799</v>
      </c>
      <c r="J86" s="39">
        <v>8149381.0131415101</v>
      </c>
      <c r="K86" s="40">
        <v>0.69984586782230995</v>
      </c>
      <c r="N86" s="37" t="s">
        <v>31</v>
      </c>
      <c r="O86" s="37" t="s">
        <v>113</v>
      </c>
      <c r="P86" s="37">
        <v>22.786347018073499</v>
      </c>
      <c r="Q86" s="39">
        <v>6712675.5407483103</v>
      </c>
      <c r="R86" s="41">
        <v>0.56815371024734995</v>
      </c>
      <c r="U86" s="37" t="s">
        <v>31</v>
      </c>
      <c r="V86" s="37">
        <v>120.860604585971</v>
      </c>
      <c r="W86" s="39">
        <v>11872862.3521074</v>
      </c>
      <c r="X86" s="69">
        <v>2007</v>
      </c>
      <c r="Y86" s="37" t="s">
        <v>171</v>
      </c>
      <c r="Z86" s="42">
        <v>8.3491705192926494E-2</v>
      </c>
      <c r="AB86" s="37" t="s">
        <v>31</v>
      </c>
      <c r="AC86" s="37">
        <v>22.786347018073499</v>
      </c>
      <c r="AD86" s="39">
        <v>8052740.60888121</v>
      </c>
      <c r="AE86" s="69">
        <v>1992</v>
      </c>
      <c r="AF86" s="37" t="s">
        <v>173</v>
      </c>
      <c r="AG86" s="42">
        <v>2.06171094961826E-2</v>
      </c>
      <c r="AI86" s="29">
        <v>5</v>
      </c>
      <c r="AJ86" s="29" t="s">
        <v>31</v>
      </c>
      <c r="AK86" s="29">
        <v>1117.4977354134001</v>
      </c>
      <c r="AL86" s="29">
        <v>1234834.9976317999</v>
      </c>
      <c r="AM86" s="29">
        <v>1973</v>
      </c>
      <c r="AN86" s="29" t="s">
        <v>172</v>
      </c>
      <c r="AO86" s="37">
        <v>1.86787330316742</v>
      </c>
      <c r="AR86" s="37" t="s">
        <v>31</v>
      </c>
      <c r="AS86" s="37">
        <v>702.05414791910096</v>
      </c>
      <c r="AT86" s="39">
        <v>2404535.45662292</v>
      </c>
      <c r="AU86" s="69">
        <v>2006</v>
      </c>
      <c r="AV86" s="37" t="s">
        <v>171</v>
      </c>
      <c r="AW86" s="37">
        <v>1.7218523597995701</v>
      </c>
      <c r="AZ86" s="29">
        <v>0.8</v>
      </c>
      <c r="BA86" s="29">
        <v>3</v>
      </c>
      <c r="BB86" s="29">
        <v>3</v>
      </c>
    </row>
    <row r="87" spans="1:54">
      <c r="A87" s="29" t="s">
        <v>31</v>
      </c>
      <c r="B87" s="29" t="s">
        <v>110</v>
      </c>
      <c r="C87" s="37">
        <v>702.05414791910096</v>
      </c>
      <c r="D87" s="37">
        <v>2609535.2678152998</v>
      </c>
      <c r="E87" s="64">
        <v>0.99565253663354902</v>
      </c>
      <c r="G87" s="37" t="s">
        <v>31</v>
      </c>
      <c r="H87" s="37" t="s">
        <v>114</v>
      </c>
      <c r="I87" s="37">
        <v>702.05414791910096</v>
      </c>
      <c r="J87" s="39">
        <v>13386768.4925214</v>
      </c>
      <c r="K87" s="65">
        <v>0.74289810097180697</v>
      </c>
      <c r="N87" s="37" t="s">
        <v>31</v>
      </c>
      <c r="O87" s="37" t="s">
        <v>112</v>
      </c>
      <c r="P87" s="37">
        <v>120.860604585971</v>
      </c>
      <c r="Q87" s="39">
        <v>7998554.8114995398</v>
      </c>
      <c r="R87" s="66">
        <v>0.59849899546974095</v>
      </c>
      <c r="U87" s="37" t="s">
        <v>31</v>
      </c>
      <c r="V87" s="37">
        <v>31.3255071523879</v>
      </c>
      <c r="W87" s="39">
        <v>10793234.8148624</v>
      </c>
      <c r="X87" s="69">
        <v>2009</v>
      </c>
      <c r="Y87" s="37" t="s">
        <v>171</v>
      </c>
      <c r="Z87" s="42">
        <v>7.0504766449750204E-3</v>
      </c>
      <c r="AB87" s="37" t="s">
        <v>31</v>
      </c>
      <c r="AC87" s="37">
        <v>22.786347018073499</v>
      </c>
      <c r="AD87" s="39">
        <v>4897378.41920646</v>
      </c>
      <c r="AE87" s="69">
        <v>1969</v>
      </c>
      <c r="AF87" s="37" t="s">
        <v>172</v>
      </c>
      <c r="AG87" s="42">
        <v>2.1904672341977401E-4</v>
      </c>
      <c r="AI87" s="29">
        <v>6</v>
      </c>
      <c r="AJ87" s="29" t="s">
        <v>31</v>
      </c>
      <c r="AK87" s="29">
        <v>1568.97230222651</v>
      </c>
      <c r="AL87" s="29">
        <v>7844861.51113257</v>
      </c>
      <c r="AM87" s="29">
        <v>1983</v>
      </c>
      <c r="AN87" s="29" t="s">
        <v>173</v>
      </c>
      <c r="AO87" s="37">
        <v>1.86069143139139</v>
      </c>
      <c r="AR87" s="37" t="s">
        <v>31</v>
      </c>
      <c r="AS87" s="37">
        <v>702.05414791910096</v>
      </c>
      <c r="AT87" s="39">
        <v>4248831.7032064004</v>
      </c>
      <c r="AU87" s="69">
        <v>2007</v>
      </c>
      <c r="AV87" s="37" t="s">
        <v>171</v>
      </c>
      <c r="AW87" s="37">
        <v>1.4531345819681101</v>
      </c>
      <c r="AZ87" s="29">
        <v>0.9</v>
      </c>
      <c r="BA87" s="29">
        <v>6</v>
      </c>
      <c r="BB87" s="29">
        <v>9</v>
      </c>
    </row>
    <row r="88" spans="1:54">
      <c r="A88" s="29" t="s">
        <v>31</v>
      </c>
      <c r="B88" s="29" t="s">
        <v>110</v>
      </c>
      <c r="C88" s="37">
        <v>702.05414791910096</v>
      </c>
      <c r="D88" s="37">
        <v>857910.16875714099</v>
      </c>
      <c r="E88" s="38">
        <v>1.08935300391042</v>
      </c>
      <c r="G88" s="37" t="s">
        <v>31</v>
      </c>
      <c r="H88" s="37" t="s">
        <v>114</v>
      </c>
      <c r="I88" s="37">
        <v>702.05414791910096</v>
      </c>
      <c r="J88" s="39">
        <v>3836725.9183778898</v>
      </c>
      <c r="K88" s="40">
        <v>0.81599898682877403</v>
      </c>
      <c r="N88" s="37" t="s">
        <v>31</v>
      </c>
      <c r="O88" s="37" t="s">
        <v>112</v>
      </c>
      <c r="P88" s="37">
        <v>120.860604585971</v>
      </c>
      <c r="Q88" s="39">
        <v>23688678.498850301</v>
      </c>
      <c r="R88" s="41">
        <v>0.63424346539461196</v>
      </c>
      <c r="U88" s="37" t="s">
        <v>31</v>
      </c>
      <c r="V88" s="37">
        <v>31.3255071523879</v>
      </c>
      <c r="W88" s="39">
        <v>7885914.4960492803</v>
      </c>
      <c r="X88" s="69">
        <v>2008</v>
      </c>
      <c r="Y88" s="37" t="s">
        <v>171</v>
      </c>
      <c r="Z88" s="42">
        <v>1.4187262165415699E-2</v>
      </c>
      <c r="AB88" s="37" t="s">
        <v>31</v>
      </c>
      <c r="AC88" s="37">
        <v>22.786347018073499</v>
      </c>
      <c r="AD88" s="39">
        <v>7000148.0947283199</v>
      </c>
      <c r="AE88" s="69">
        <v>1991</v>
      </c>
      <c r="AF88" s="37" t="s">
        <v>173</v>
      </c>
      <c r="AG88" s="42">
        <v>7.7085163016845804E-3</v>
      </c>
      <c r="AI88" s="29">
        <v>7</v>
      </c>
      <c r="AJ88" s="29" t="s">
        <v>31</v>
      </c>
      <c r="AK88" s="29">
        <v>158.30188448215799</v>
      </c>
      <c r="AL88" s="29">
        <v>3482641.4586074799</v>
      </c>
      <c r="AM88" s="29">
        <v>1979</v>
      </c>
      <c r="AN88" s="29" t="s">
        <v>172</v>
      </c>
      <c r="AO88" s="37">
        <v>1.82390109182392</v>
      </c>
      <c r="AR88" s="37" t="s">
        <v>31</v>
      </c>
      <c r="AS88" s="37">
        <v>702.05414791910096</v>
      </c>
      <c r="AT88" s="39">
        <v>2451573.0845335</v>
      </c>
      <c r="AU88" s="69">
        <v>2008</v>
      </c>
      <c r="AV88" s="37" t="s">
        <v>171</v>
      </c>
      <c r="AW88" s="37">
        <v>1.3815107506174</v>
      </c>
      <c r="AZ88" s="37">
        <v>1</v>
      </c>
      <c r="BA88" s="29">
        <v>3</v>
      </c>
      <c r="BB88" s="29">
        <v>6</v>
      </c>
    </row>
    <row r="89" spans="1:54">
      <c r="A89" s="29" t="s">
        <v>31</v>
      </c>
      <c r="B89" s="29" t="s">
        <v>110</v>
      </c>
      <c r="C89" s="37">
        <v>702.05414791910096</v>
      </c>
      <c r="D89" s="37">
        <v>2768901.55939293</v>
      </c>
      <c r="E89" s="38">
        <v>1.1226684226369701</v>
      </c>
      <c r="G89" s="37" t="s">
        <v>31</v>
      </c>
      <c r="H89" s="37" t="s">
        <v>111</v>
      </c>
      <c r="I89" s="37">
        <v>120.860604585971</v>
      </c>
      <c r="J89" s="39">
        <v>4898117.7220556298</v>
      </c>
      <c r="K89" s="40">
        <v>0.833324199642407</v>
      </c>
      <c r="N89" s="37" t="s">
        <v>31</v>
      </c>
      <c r="O89" s="37" t="s">
        <v>112</v>
      </c>
      <c r="P89" s="37">
        <v>111.913803540171</v>
      </c>
      <c r="Q89" s="39">
        <v>7612936.48582015</v>
      </c>
      <c r="R89" s="41">
        <v>0.66838154121632398</v>
      </c>
      <c r="U89" s="37" t="s">
        <v>31</v>
      </c>
      <c r="V89" s="37">
        <v>120.860604585971</v>
      </c>
      <c r="W89" s="39">
        <v>9454320.7937375605</v>
      </c>
      <c r="X89" s="69">
        <v>2011</v>
      </c>
      <c r="Y89" s="37" t="s">
        <v>171</v>
      </c>
      <c r="Z89" s="42">
        <v>0.31495046340683902</v>
      </c>
      <c r="AB89" s="37" t="s">
        <v>31</v>
      </c>
      <c r="AC89" s="37">
        <v>22.786347018073499</v>
      </c>
      <c r="AD89" s="39">
        <v>8658811.8668679297</v>
      </c>
      <c r="AE89" s="69">
        <v>1973</v>
      </c>
      <c r="AF89" s="37" t="s">
        <v>172</v>
      </c>
      <c r="AG89" s="42">
        <v>4.4137783319436699E-2</v>
      </c>
      <c r="AI89" s="29">
        <v>8</v>
      </c>
      <c r="AJ89" s="29" t="s">
        <v>31</v>
      </c>
      <c r="AK89" s="29">
        <v>1117.4977354134001</v>
      </c>
      <c r="AL89" s="29">
        <v>5028739.8093602899</v>
      </c>
      <c r="AM89" s="29">
        <v>1985</v>
      </c>
      <c r="AN89" s="29" t="s">
        <v>173</v>
      </c>
      <c r="AO89" s="37">
        <v>1.80666666666667</v>
      </c>
      <c r="AR89" s="37" t="s">
        <v>31</v>
      </c>
      <c r="AS89" s="37">
        <v>120.860604585971</v>
      </c>
      <c r="AT89" s="39">
        <v>4485137.0361853698</v>
      </c>
      <c r="AU89" s="69">
        <v>2008</v>
      </c>
      <c r="AV89" s="37" t="s">
        <v>171</v>
      </c>
      <c r="AW89" s="37">
        <v>1.3248015616800699</v>
      </c>
      <c r="AZ89" s="29">
        <v>1.1000000000000001</v>
      </c>
      <c r="BA89" s="29">
        <v>8</v>
      </c>
      <c r="BB89" s="29">
        <v>4</v>
      </c>
    </row>
    <row r="90" spans="1:54">
      <c r="A90" s="29" t="s">
        <v>31</v>
      </c>
      <c r="B90" s="29" t="s">
        <v>110</v>
      </c>
      <c r="C90" s="37">
        <v>702.05414791910096</v>
      </c>
      <c r="D90" s="37">
        <v>1847806.51732307</v>
      </c>
      <c r="E90" s="38">
        <v>1.12362471310713</v>
      </c>
      <c r="G90" s="37" t="s">
        <v>31</v>
      </c>
      <c r="H90" s="37" t="s">
        <v>114</v>
      </c>
      <c r="I90" s="37">
        <v>702.05414791910096</v>
      </c>
      <c r="J90" s="39">
        <v>10530812.2187865</v>
      </c>
      <c r="K90" s="40">
        <v>0.84133333333333304</v>
      </c>
      <c r="N90" s="37" t="s">
        <v>31</v>
      </c>
      <c r="O90" s="37" t="s">
        <v>113</v>
      </c>
      <c r="P90" s="37">
        <v>22.786347018073499</v>
      </c>
      <c r="Q90" s="39">
        <v>8199712.54714779</v>
      </c>
      <c r="R90" s="42">
        <v>0.67529779058597506</v>
      </c>
      <c r="U90" s="37" t="s">
        <v>31</v>
      </c>
      <c r="V90" s="37">
        <v>120.860604585971</v>
      </c>
      <c r="W90" s="39">
        <v>2903796.8857825301</v>
      </c>
      <c r="X90" s="69">
        <v>2008</v>
      </c>
      <c r="Y90" s="37" t="s">
        <v>171</v>
      </c>
      <c r="Z90" s="42">
        <v>0.13818363439607101</v>
      </c>
      <c r="AB90" s="37" t="s">
        <v>31</v>
      </c>
      <c r="AC90" s="37">
        <v>158.30188448215799</v>
      </c>
      <c r="AD90" s="39">
        <v>4963397.2860535895</v>
      </c>
      <c r="AE90" s="69">
        <v>1994</v>
      </c>
      <c r="AF90" s="37" t="s">
        <v>173</v>
      </c>
      <c r="AG90" s="42">
        <v>0.174778337692161</v>
      </c>
      <c r="AI90" s="29">
        <v>9</v>
      </c>
      <c r="AJ90" s="29" t="s">
        <v>31</v>
      </c>
      <c r="AK90" s="29">
        <v>111.913803540171</v>
      </c>
      <c r="AL90" s="29">
        <v>4719069.3538784003</v>
      </c>
      <c r="AM90" s="29">
        <v>1947</v>
      </c>
      <c r="AN90" s="29" t="s">
        <v>172</v>
      </c>
      <c r="AO90" s="37">
        <v>1.7691011796860601</v>
      </c>
      <c r="AR90" s="37" t="s">
        <v>31</v>
      </c>
      <c r="AS90" s="37">
        <v>702.05414791910096</v>
      </c>
      <c r="AT90" s="39">
        <v>5584138.6925485302</v>
      </c>
      <c r="AU90" s="69">
        <v>2006</v>
      </c>
      <c r="AV90" s="37" t="s">
        <v>171</v>
      </c>
      <c r="AW90" s="37">
        <v>1.3239982516948099</v>
      </c>
      <c r="AZ90" s="29">
        <v>1.2</v>
      </c>
      <c r="BA90" s="29">
        <v>6</v>
      </c>
      <c r="BB90" s="29">
        <v>8</v>
      </c>
    </row>
    <row r="91" spans="1:54">
      <c r="A91" s="29" t="s">
        <v>31</v>
      </c>
      <c r="B91" s="29" t="s">
        <v>110</v>
      </c>
      <c r="C91" s="37">
        <v>702.05414791910096</v>
      </c>
      <c r="D91" s="37">
        <v>1034827.81403275</v>
      </c>
      <c r="E91" s="37">
        <v>1.1979661016949199</v>
      </c>
      <c r="G91" s="37" t="s">
        <v>31</v>
      </c>
      <c r="H91" s="37" t="s">
        <v>114</v>
      </c>
      <c r="I91" s="37">
        <v>1117.4977354134001</v>
      </c>
      <c r="J91" s="39">
        <v>9386980.97747254</v>
      </c>
      <c r="K91" s="40">
        <v>0.86896417869176801</v>
      </c>
      <c r="N91" s="37" t="s">
        <v>31</v>
      </c>
      <c r="O91" s="37" t="s">
        <v>113</v>
      </c>
      <c r="P91" s="37">
        <v>22.786347018073499</v>
      </c>
      <c r="Q91" s="39">
        <v>8869813.4402552899</v>
      </c>
      <c r="R91" s="42">
        <v>0.70897065931247405</v>
      </c>
      <c r="U91" s="37" t="s">
        <v>31</v>
      </c>
      <c r="V91" s="37">
        <v>702.05414791910096</v>
      </c>
      <c r="W91" s="39">
        <v>1034827.81403275</v>
      </c>
      <c r="X91" s="69">
        <v>2006</v>
      </c>
      <c r="Y91" s="37" t="s">
        <v>171</v>
      </c>
      <c r="Z91" s="42">
        <v>0</v>
      </c>
      <c r="AB91" s="37" t="s">
        <v>31</v>
      </c>
      <c r="AC91" s="37">
        <v>1568.97230222651</v>
      </c>
      <c r="AD91" s="39">
        <v>5648300.2880154504</v>
      </c>
      <c r="AE91" s="69">
        <v>1960</v>
      </c>
      <c r="AF91" s="37" t="s">
        <v>172</v>
      </c>
      <c r="AG91" s="42">
        <v>0.36944444444444402</v>
      </c>
      <c r="AI91" s="29">
        <v>10</v>
      </c>
      <c r="AJ91" s="29" t="s">
        <v>31</v>
      </c>
      <c r="AK91" s="29">
        <v>1568.97230222651</v>
      </c>
      <c r="AL91" s="29">
        <v>1969060.2392942801</v>
      </c>
      <c r="AM91" s="29">
        <v>1920</v>
      </c>
      <c r="AN91" s="29" t="s">
        <v>172</v>
      </c>
      <c r="AO91" s="37">
        <v>1.7418483692635101</v>
      </c>
      <c r="AR91" s="37" t="s">
        <v>31</v>
      </c>
      <c r="AS91" s="37">
        <v>702.05414791910096</v>
      </c>
      <c r="AT91" s="39">
        <v>3510270.7395954998</v>
      </c>
      <c r="AU91" s="69">
        <v>2009</v>
      </c>
      <c r="AV91" s="37" t="s">
        <v>171</v>
      </c>
      <c r="AW91" s="37">
        <v>1.2654825648938901</v>
      </c>
      <c r="AZ91" s="29">
        <v>1.3</v>
      </c>
      <c r="BA91" s="29">
        <v>8</v>
      </c>
      <c r="BB91" s="29">
        <v>2</v>
      </c>
    </row>
    <row r="92" spans="1:54">
      <c r="A92" s="29" t="s">
        <v>31</v>
      </c>
      <c r="B92" s="29" t="s">
        <v>110</v>
      </c>
      <c r="C92" s="37">
        <v>1117.4977354134001</v>
      </c>
      <c r="D92" s="37">
        <v>4062104.2682277001</v>
      </c>
      <c r="E92" s="37">
        <v>1.20715268225585</v>
      </c>
      <c r="G92" s="37" t="s">
        <v>31</v>
      </c>
      <c r="H92" s="37" t="s">
        <v>114</v>
      </c>
      <c r="I92" s="37">
        <v>702.05414791910096</v>
      </c>
      <c r="J92" s="39">
        <v>7582184.7975262897</v>
      </c>
      <c r="K92" s="40">
        <v>0.89809482718708999</v>
      </c>
      <c r="N92" s="37" t="s">
        <v>31</v>
      </c>
      <c r="O92" s="37" t="s">
        <v>113</v>
      </c>
      <c r="P92" s="37">
        <v>31.3255071523879</v>
      </c>
      <c r="Q92" s="39">
        <v>5588470.4759860002</v>
      </c>
      <c r="R92" s="42">
        <v>0.72686881672571801</v>
      </c>
      <c r="U92" s="37" t="s">
        <v>31</v>
      </c>
      <c r="V92" s="37">
        <v>120.860604585971</v>
      </c>
      <c r="W92" s="39">
        <v>4305054.7353522796</v>
      </c>
      <c r="X92" s="69">
        <v>2007</v>
      </c>
      <c r="Y92" s="37" t="s">
        <v>171</v>
      </c>
      <c r="Z92" s="42">
        <v>0.30474452554744502</v>
      </c>
      <c r="AB92" s="37" t="s">
        <v>31</v>
      </c>
      <c r="AC92" s="37">
        <v>1568.97230222651</v>
      </c>
      <c r="AD92" s="39">
        <v>7844861.51113257</v>
      </c>
      <c r="AE92" s="69">
        <v>1983</v>
      </c>
      <c r="AF92" s="37" t="s">
        <v>173</v>
      </c>
      <c r="AG92" s="42">
        <v>8.7999999999999995E-2</v>
      </c>
      <c r="AI92" s="29">
        <v>11</v>
      </c>
      <c r="AJ92" s="29" t="s">
        <v>31</v>
      </c>
      <c r="AK92" s="29">
        <v>111.913803540171</v>
      </c>
      <c r="AL92" s="29">
        <v>3922131.15886884</v>
      </c>
      <c r="AM92" s="29">
        <v>1976</v>
      </c>
      <c r="AN92" s="29" t="s">
        <v>172</v>
      </c>
      <c r="AO92" s="37">
        <v>1.73779715864728</v>
      </c>
      <c r="AR92" s="37" t="s">
        <v>31</v>
      </c>
      <c r="AS92" s="37">
        <v>120.860604585971</v>
      </c>
      <c r="AT92" s="39">
        <v>2903796.8857825301</v>
      </c>
      <c r="AU92" s="69">
        <v>2008</v>
      </c>
      <c r="AV92" s="37" t="s">
        <v>171</v>
      </c>
      <c r="AW92" s="37">
        <v>1.2313743444601699</v>
      </c>
      <c r="AZ92" s="29">
        <v>1.4</v>
      </c>
      <c r="BA92" s="29">
        <v>4</v>
      </c>
      <c r="BB92" s="29">
        <v>3</v>
      </c>
    </row>
    <row r="93" spans="1:54">
      <c r="A93" s="29" t="s">
        <v>31</v>
      </c>
      <c r="B93" s="29" t="s">
        <v>110</v>
      </c>
      <c r="C93" s="37">
        <v>1568.97230222651</v>
      </c>
      <c r="D93" s="37">
        <v>2471131.3760067602</v>
      </c>
      <c r="E93" s="37">
        <v>1.2438095238095199</v>
      </c>
      <c r="G93" s="37" t="s">
        <v>31</v>
      </c>
      <c r="H93" s="37" t="s">
        <v>111</v>
      </c>
      <c r="I93" s="37">
        <v>120.860604585971</v>
      </c>
      <c r="J93" s="39">
        <v>4305054.7353522796</v>
      </c>
      <c r="K93" s="40">
        <v>0.92426542734333506</v>
      </c>
      <c r="N93" s="37" t="s">
        <v>31</v>
      </c>
      <c r="O93" s="37" t="s">
        <v>113</v>
      </c>
      <c r="P93" s="37">
        <v>31.3255071523879</v>
      </c>
      <c r="Q93" s="39">
        <v>14424362.301938601</v>
      </c>
      <c r="R93" s="42">
        <v>0.77024317301583101</v>
      </c>
      <c r="U93" s="37" t="s">
        <v>31</v>
      </c>
      <c r="V93" s="37">
        <v>702.05414791910096</v>
      </c>
      <c r="W93" s="39">
        <v>2609535.2678152998</v>
      </c>
      <c r="X93" s="69">
        <v>2006</v>
      </c>
      <c r="Y93" s="37" t="s">
        <v>171</v>
      </c>
      <c r="Z93" s="42">
        <v>0.27602905569007302</v>
      </c>
      <c r="AB93" s="37" t="s">
        <v>31</v>
      </c>
      <c r="AC93" s="37">
        <v>26.394908180552601</v>
      </c>
      <c r="AD93" s="39">
        <v>3513769.3617197</v>
      </c>
      <c r="AE93" s="69">
        <v>1976</v>
      </c>
      <c r="AF93" s="37" t="s">
        <v>172</v>
      </c>
      <c r="AG93" s="42">
        <v>8.8042623809939699E-2</v>
      </c>
      <c r="AI93" s="29">
        <v>12</v>
      </c>
      <c r="AJ93" s="29" t="s">
        <v>31</v>
      </c>
      <c r="AK93" s="29">
        <v>1568.97230222651</v>
      </c>
      <c r="AL93" s="29">
        <v>2516631.5727713299</v>
      </c>
      <c r="AM93" s="29">
        <v>1973</v>
      </c>
      <c r="AN93" s="29" t="s">
        <v>172</v>
      </c>
      <c r="AO93" s="37">
        <v>1.6645885286783</v>
      </c>
      <c r="AR93" s="37" t="s">
        <v>31</v>
      </c>
      <c r="AS93" s="37">
        <v>702.05414791910096</v>
      </c>
      <c r="AT93" s="39">
        <v>1034827.81403275</v>
      </c>
      <c r="AU93" s="69">
        <v>2006</v>
      </c>
      <c r="AV93" s="37" t="s">
        <v>171</v>
      </c>
      <c r="AW93" s="37">
        <v>1.1979661016949199</v>
      </c>
      <c r="AZ93" s="29">
        <v>1.5</v>
      </c>
      <c r="BA93" s="29">
        <v>6</v>
      </c>
      <c r="BB93" s="29">
        <v>1</v>
      </c>
    </row>
    <row r="94" spans="1:54">
      <c r="A94" s="29" t="s">
        <v>31</v>
      </c>
      <c r="B94" s="29" t="s">
        <v>110</v>
      </c>
      <c r="C94" s="37">
        <v>702.05414791910096</v>
      </c>
      <c r="D94" s="37">
        <v>3510270.7395954998</v>
      </c>
      <c r="E94" s="37">
        <v>1.2654825648938901</v>
      </c>
      <c r="G94" s="37" t="s">
        <v>31</v>
      </c>
      <c r="H94" s="37" t="s">
        <v>111</v>
      </c>
      <c r="I94" s="37">
        <v>158.30188448215799</v>
      </c>
      <c r="J94" s="39">
        <v>8598166.8556484301</v>
      </c>
      <c r="K94" s="37">
        <v>0.93447620340209903</v>
      </c>
      <c r="N94" s="37" t="s">
        <v>31</v>
      </c>
      <c r="O94" s="37" t="s">
        <v>113</v>
      </c>
      <c r="P94" s="37">
        <v>22.786347018073499</v>
      </c>
      <c r="Q94" s="39">
        <v>9336591.7589205299</v>
      </c>
      <c r="R94" s="42">
        <v>0.77625163083617599</v>
      </c>
      <c r="U94" s="37" t="s">
        <v>31</v>
      </c>
      <c r="V94" s="37">
        <v>702.05414791910096</v>
      </c>
      <c r="W94" s="39">
        <v>2451573.0845335</v>
      </c>
      <c r="X94" s="69">
        <v>2008</v>
      </c>
      <c r="Y94" s="37" t="s">
        <v>171</v>
      </c>
      <c r="Z94" s="42">
        <v>1.4730813287514299</v>
      </c>
      <c r="AB94" s="37" t="s">
        <v>31</v>
      </c>
      <c r="AC94" s="37">
        <v>1117.4977354134001</v>
      </c>
      <c r="AD94" s="39">
        <v>5224301.9130576402</v>
      </c>
      <c r="AE94" s="69">
        <v>1990</v>
      </c>
      <c r="AF94" s="37" t="s">
        <v>173</v>
      </c>
      <c r="AG94" s="42">
        <v>0</v>
      </c>
      <c r="AI94" s="29">
        <v>13</v>
      </c>
      <c r="AJ94" s="29" t="s">
        <v>31</v>
      </c>
      <c r="AK94" s="29">
        <v>1117.4977354134001</v>
      </c>
      <c r="AL94" s="29">
        <v>1480684.49942275</v>
      </c>
      <c r="AM94" s="29">
        <v>1953</v>
      </c>
      <c r="AN94" s="29" t="s">
        <v>172</v>
      </c>
      <c r="AO94" s="37">
        <v>1.5422153369481</v>
      </c>
      <c r="AR94" s="37" t="s">
        <v>31</v>
      </c>
      <c r="AS94" s="37">
        <v>31.3255071523879</v>
      </c>
      <c r="AT94" s="39">
        <v>7885914.4960492803</v>
      </c>
      <c r="AU94" s="69">
        <v>2008</v>
      </c>
      <c r="AV94" s="37" t="s">
        <v>171</v>
      </c>
      <c r="AW94" s="37">
        <v>1.18276717709843</v>
      </c>
      <c r="AZ94" s="29">
        <v>1.6</v>
      </c>
      <c r="BA94" s="29">
        <v>4</v>
      </c>
      <c r="BB94" s="29">
        <v>0</v>
      </c>
    </row>
    <row r="95" spans="1:54">
      <c r="A95" s="29" t="s">
        <v>31</v>
      </c>
      <c r="B95" s="29" t="s">
        <v>110</v>
      </c>
      <c r="C95" s="37">
        <v>1117.4977354134001</v>
      </c>
      <c r="D95" s="37">
        <v>3486592.9344898001</v>
      </c>
      <c r="E95" s="37">
        <v>1.2873040437158501</v>
      </c>
      <c r="G95" s="37" t="s">
        <v>31</v>
      </c>
      <c r="H95" s="37" t="s">
        <v>114</v>
      </c>
      <c r="I95" s="37">
        <v>702.05414791910096</v>
      </c>
      <c r="J95" s="39">
        <v>4379413.77471935</v>
      </c>
      <c r="K95" s="37">
        <v>0.977265248687055</v>
      </c>
      <c r="N95" s="37" t="s">
        <v>31</v>
      </c>
      <c r="O95" s="37" t="s">
        <v>113</v>
      </c>
      <c r="P95" s="37">
        <v>31.3255071523879</v>
      </c>
      <c r="Q95" s="39">
        <v>10793234.8148624</v>
      </c>
      <c r="R95" s="42">
        <v>0.80077623922922403</v>
      </c>
      <c r="U95" s="37" t="s">
        <v>31</v>
      </c>
      <c r="V95" s="37">
        <v>702.05414791910096</v>
      </c>
      <c r="W95" s="39">
        <v>4549310.8785157697</v>
      </c>
      <c r="X95" s="69">
        <v>2005</v>
      </c>
      <c r="Y95" s="37" t="s">
        <v>171</v>
      </c>
      <c r="Z95" s="42">
        <v>1.8629237703311801E-2</v>
      </c>
      <c r="AB95" s="37" t="s">
        <v>31</v>
      </c>
      <c r="AC95" s="37">
        <v>158.30188448215799</v>
      </c>
      <c r="AD95" s="39">
        <v>3482641.4586074799</v>
      </c>
      <c r="AE95" s="69">
        <v>1979</v>
      </c>
      <c r="AF95" s="37" t="s">
        <v>172</v>
      </c>
      <c r="AG95" s="42">
        <v>4.8090909090909101E-2</v>
      </c>
      <c r="AI95" s="29">
        <v>14</v>
      </c>
      <c r="AJ95" s="29" t="s">
        <v>31</v>
      </c>
      <c r="AK95" s="29">
        <v>1568.97230222651</v>
      </c>
      <c r="AL95" s="29">
        <v>2628028.60622941</v>
      </c>
      <c r="AM95" s="29">
        <v>1956</v>
      </c>
      <c r="AN95" s="29" t="s">
        <v>172</v>
      </c>
      <c r="AO95" s="37">
        <v>1.53720068310998</v>
      </c>
      <c r="AR95" s="37" t="s">
        <v>31</v>
      </c>
      <c r="AS95" s="37">
        <v>702.05414791910096</v>
      </c>
      <c r="AT95" s="39">
        <v>5914104.1420705104</v>
      </c>
      <c r="AU95" s="69">
        <v>2005</v>
      </c>
      <c r="AV95" s="37" t="s">
        <v>171</v>
      </c>
      <c r="AW95" s="37">
        <v>1.1592866192348501</v>
      </c>
      <c r="AZ95" s="29">
        <v>1.7</v>
      </c>
      <c r="BA95" s="29">
        <v>1</v>
      </c>
      <c r="BB95" s="29">
        <v>0</v>
      </c>
    </row>
    <row r="96" spans="1:54">
      <c r="A96" s="29" t="s">
        <v>31</v>
      </c>
      <c r="B96" s="29" t="s">
        <v>110</v>
      </c>
      <c r="C96" s="37">
        <v>1117.4977354134001</v>
      </c>
      <c r="D96" s="37">
        <v>1408047.1466208801</v>
      </c>
      <c r="E96" s="37">
        <v>1.3160000000000001</v>
      </c>
      <c r="G96" s="37" t="s">
        <v>31</v>
      </c>
      <c r="H96" s="37" t="s">
        <v>111</v>
      </c>
      <c r="I96" s="37">
        <v>120.860604585971</v>
      </c>
      <c r="J96" s="39">
        <v>4841796.6803185698</v>
      </c>
      <c r="K96" s="37">
        <v>0.98644095128363696</v>
      </c>
      <c r="N96" s="37" t="s">
        <v>31</v>
      </c>
      <c r="O96" s="37" t="s">
        <v>113</v>
      </c>
      <c r="P96" s="37">
        <v>31.3255071523879</v>
      </c>
      <c r="Q96" s="39">
        <v>7906777.2838127697</v>
      </c>
      <c r="R96" s="42">
        <v>0.81253128149162002</v>
      </c>
      <c r="U96" s="37" t="s">
        <v>31</v>
      </c>
      <c r="V96" s="37">
        <v>702.05414791910096</v>
      </c>
      <c r="W96" s="39">
        <v>1310735.0941649601</v>
      </c>
      <c r="X96" s="69">
        <v>2006</v>
      </c>
      <c r="Y96" s="37" t="s">
        <v>171</v>
      </c>
      <c r="Z96" s="42">
        <v>5.1208060435756E-2</v>
      </c>
      <c r="AB96" s="37" t="s">
        <v>31</v>
      </c>
      <c r="AC96" s="37">
        <v>158.30188448215799</v>
      </c>
      <c r="AD96" s="39">
        <v>4817759.5523300096</v>
      </c>
      <c r="AE96" s="69">
        <v>1981</v>
      </c>
      <c r="AF96" s="37" t="s">
        <v>173</v>
      </c>
      <c r="AG96" s="42">
        <v>7.6412210859967498E-3</v>
      </c>
      <c r="AI96" s="29">
        <v>15</v>
      </c>
      <c r="AJ96" s="29" t="s">
        <v>31</v>
      </c>
      <c r="AK96" s="29">
        <v>22.786347018073499</v>
      </c>
      <c r="AL96" s="29">
        <v>17946526.911434699</v>
      </c>
      <c r="AM96" s="29">
        <v>1993</v>
      </c>
      <c r="AN96" s="29" t="s">
        <v>173</v>
      </c>
      <c r="AO96" s="37">
        <v>1.52952638076022</v>
      </c>
      <c r="AR96" s="37" t="s">
        <v>31</v>
      </c>
      <c r="AS96" s="37">
        <v>702.05414791910096</v>
      </c>
      <c r="AT96" s="39">
        <v>4549310.8785157697</v>
      </c>
      <c r="AU96" s="69">
        <v>2005</v>
      </c>
      <c r="AV96" s="37" t="s">
        <v>171</v>
      </c>
      <c r="AW96" s="37">
        <v>1.1251691589422099</v>
      </c>
      <c r="AZ96" s="29">
        <v>1.8</v>
      </c>
      <c r="BA96" s="29">
        <v>3</v>
      </c>
      <c r="BB96" s="29">
        <v>2</v>
      </c>
    </row>
    <row r="97" spans="1:54">
      <c r="A97" s="29" t="s">
        <v>31</v>
      </c>
      <c r="B97" s="29" t="s">
        <v>110</v>
      </c>
      <c r="C97" s="37">
        <v>1568.97230222651</v>
      </c>
      <c r="D97" s="37">
        <v>5648300.2880154504</v>
      </c>
      <c r="E97" s="46">
        <v>1.3392533333333301</v>
      </c>
      <c r="G97" s="37" t="s">
        <v>31</v>
      </c>
      <c r="H97" s="37" t="s">
        <v>111</v>
      </c>
      <c r="I97" s="37">
        <v>111.913803540171</v>
      </c>
      <c r="J97" s="39">
        <v>2659071.9721144699</v>
      </c>
      <c r="K97" s="37">
        <v>1.0030442905457799</v>
      </c>
      <c r="N97" s="37" t="s">
        <v>31</v>
      </c>
      <c r="O97" s="37" t="s">
        <v>113</v>
      </c>
      <c r="P97" s="37">
        <v>26.394908180552601</v>
      </c>
      <c r="Q97" s="39">
        <v>3139938.27715853</v>
      </c>
      <c r="R97" s="42">
        <v>0.83481043276108102</v>
      </c>
      <c r="U97" s="37" t="s">
        <v>31</v>
      </c>
      <c r="V97" s="37">
        <v>702.05414791910096</v>
      </c>
      <c r="W97" s="39">
        <v>2768901.55939293</v>
      </c>
      <c r="X97" s="69">
        <v>2009</v>
      </c>
      <c r="Y97" s="37" t="s">
        <v>171</v>
      </c>
      <c r="Z97" s="42">
        <v>0.598884381338742</v>
      </c>
      <c r="AB97" s="37" t="s">
        <v>31</v>
      </c>
      <c r="AC97" s="37">
        <v>158.30188448215799</v>
      </c>
      <c r="AD97" s="39">
        <v>6332075.3792863302</v>
      </c>
      <c r="AE97" s="69">
        <v>1984</v>
      </c>
      <c r="AF97" s="37" t="s">
        <v>173</v>
      </c>
      <c r="AG97" s="42">
        <v>3.5999999999999997E-2</v>
      </c>
      <c r="AI97" s="29">
        <v>16</v>
      </c>
      <c r="AJ97" s="29" t="s">
        <v>31</v>
      </c>
      <c r="AK97" s="29">
        <v>158.30188448215799</v>
      </c>
      <c r="AL97" s="29">
        <v>9046636.0943863895</v>
      </c>
      <c r="AM97" s="29">
        <v>1980</v>
      </c>
      <c r="AN97" s="29" t="s">
        <v>172</v>
      </c>
      <c r="AO97" s="37">
        <v>1.5197946197181</v>
      </c>
      <c r="AR97" s="37" t="s">
        <v>31</v>
      </c>
      <c r="AS97" s="37">
        <v>702.05414791910096</v>
      </c>
      <c r="AT97" s="39">
        <v>1847806.51732307</v>
      </c>
      <c r="AU97" s="69">
        <v>2006</v>
      </c>
      <c r="AV97" s="37" t="s">
        <v>171</v>
      </c>
      <c r="AW97" s="37">
        <v>1.12362471310713</v>
      </c>
      <c r="AZ97" s="29">
        <v>1.9</v>
      </c>
      <c r="BA97" s="29">
        <v>4</v>
      </c>
      <c r="BB97" s="29">
        <v>0</v>
      </c>
    </row>
    <row r="98" spans="1:54">
      <c r="A98" s="29" t="s">
        <v>31</v>
      </c>
      <c r="B98" s="29" t="s">
        <v>110</v>
      </c>
      <c r="C98" s="37">
        <v>702.05414791910096</v>
      </c>
      <c r="D98" s="37">
        <v>2451573.0845335</v>
      </c>
      <c r="E98" s="37">
        <v>1.3815107506174</v>
      </c>
      <c r="G98" s="37" t="s">
        <v>31</v>
      </c>
      <c r="H98" s="37" t="s">
        <v>111</v>
      </c>
      <c r="I98" s="37">
        <v>158.30188448215799</v>
      </c>
      <c r="J98" s="39">
        <v>4305811.2579147099</v>
      </c>
      <c r="K98" s="37">
        <v>1.0069581945985899</v>
      </c>
      <c r="N98" s="37" t="s">
        <v>31</v>
      </c>
      <c r="O98" s="37" t="s">
        <v>113</v>
      </c>
      <c r="P98" s="37">
        <v>31.3255071523879</v>
      </c>
      <c r="Q98" s="39">
        <v>6586219.20429671</v>
      </c>
      <c r="R98" s="67">
        <v>0.84252941870265197</v>
      </c>
      <c r="U98" s="37" t="s">
        <v>31</v>
      </c>
      <c r="V98" s="37">
        <v>702.05414791910096</v>
      </c>
      <c r="W98" s="39">
        <v>8494855.1898211204</v>
      </c>
      <c r="X98" s="69">
        <v>2007</v>
      </c>
      <c r="Y98" s="37" t="s">
        <v>171</v>
      </c>
      <c r="Z98" s="42">
        <v>0.138672762250209</v>
      </c>
      <c r="AB98" s="37" t="s">
        <v>31</v>
      </c>
      <c r="AC98" s="37">
        <v>158.30188448215799</v>
      </c>
      <c r="AD98" s="39">
        <v>8598166.8556484301</v>
      </c>
      <c r="AE98" s="69">
        <v>1981</v>
      </c>
      <c r="AF98" s="37" t="s">
        <v>173</v>
      </c>
      <c r="AG98" s="42" t="s">
        <v>174</v>
      </c>
      <c r="AI98" s="29">
        <v>17</v>
      </c>
      <c r="AJ98" s="29" t="s">
        <v>31</v>
      </c>
      <c r="AK98" s="29">
        <v>1117.4977354134001</v>
      </c>
      <c r="AL98" s="29">
        <v>6146237.5447736904</v>
      </c>
      <c r="AM98" s="29">
        <v>1982</v>
      </c>
      <c r="AN98" s="29" t="s">
        <v>173</v>
      </c>
      <c r="AO98" s="37">
        <v>1.4698181818181799</v>
      </c>
      <c r="AR98" s="37" t="s">
        <v>31</v>
      </c>
      <c r="AS98" s="37">
        <v>702.05414791910096</v>
      </c>
      <c r="AT98" s="39">
        <v>2768901.55939293</v>
      </c>
      <c r="AU98" s="69">
        <v>2009</v>
      </c>
      <c r="AV98" s="37" t="s">
        <v>171</v>
      </c>
      <c r="AW98" s="37">
        <v>1.1226684226369701</v>
      </c>
      <c r="AZ98" s="37">
        <v>2</v>
      </c>
      <c r="BA98" s="29">
        <v>2</v>
      </c>
      <c r="BB98" s="29">
        <v>2</v>
      </c>
    </row>
    <row r="99" spans="1:54">
      <c r="A99" s="29" t="s">
        <v>31</v>
      </c>
      <c r="B99" s="29" t="s">
        <v>110</v>
      </c>
      <c r="C99" s="37">
        <v>1568.97230222651</v>
      </c>
      <c r="D99" s="37">
        <v>3765533.5253436398</v>
      </c>
      <c r="E99" s="37">
        <v>1.45584255744256</v>
      </c>
      <c r="G99" s="37" t="s">
        <v>31</v>
      </c>
      <c r="H99" s="37" t="s">
        <v>114</v>
      </c>
      <c r="I99" s="37">
        <v>1568.97230222651</v>
      </c>
      <c r="J99" s="39">
        <v>11980672.499801699</v>
      </c>
      <c r="K99" s="37">
        <v>1.01113148245155</v>
      </c>
      <c r="N99" s="37" t="s">
        <v>31</v>
      </c>
      <c r="O99" s="37" t="s">
        <v>113</v>
      </c>
      <c r="P99" s="37">
        <v>31.3255071523879</v>
      </c>
      <c r="Q99" s="39">
        <v>3223081.4309091899</v>
      </c>
      <c r="R99" s="42">
        <v>0.86502276335360495</v>
      </c>
      <c r="U99" s="37" t="s">
        <v>31</v>
      </c>
      <c r="V99" s="37">
        <v>702.05414791910096</v>
      </c>
      <c r="W99" s="39">
        <v>5616433.1833528103</v>
      </c>
      <c r="X99" s="69">
        <v>2006</v>
      </c>
      <c r="Y99" s="37" t="s">
        <v>171</v>
      </c>
      <c r="Z99" s="42">
        <v>0.31900000000000001</v>
      </c>
      <c r="AB99" s="37" t="s">
        <v>31</v>
      </c>
      <c r="AC99" s="37">
        <v>158.30188448215799</v>
      </c>
      <c r="AD99" s="39">
        <v>8149381.0131415101</v>
      </c>
      <c r="AE99" s="69">
        <v>1913</v>
      </c>
      <c r="AF99" s="37" t="s">
        <v>172</v>
      </c>
      <c r="AG99" s="42">
        <v>0</v>
      </c>
      <c r="AI99" s="29">
        <v>18</v>
      </c>
      <c r="AJ99" s="29" t="s">
        <v>31</v>
      </c>
      <c r="AK99" s="29">
        <v>111.913803540171</v>
      </c>
      <c r="AL99" s="29">
        <v>2851004.1451858599</v>
      </c>
      <c r="AM99" s="29">
        <v>1910</v>
      </c>
      <c r="AN99" s="29" t="s">
        <v>172</v>
      </c>
      <c r="AO99" s="37">
        <v>1.4603421461897399</v>
      </c>
      <c r="AR99" s="37" t="s">
        <v>31</v>
      </c>
      <c r="AS99" s="37">
        <v>702.05414791910096</v>
      </c>
      <c r="AT99" s="39">
        <v>8494855.1898211204</v>
      </c>
      <c r="AU99" s="69">
        <v>2007</v>
      </c>
      <c r="AV99" s="37" t="s">
        <v>171</v>
      </c>
      <c r="AW99" s="37">
        <v>1.12075226977951</v>
      </c>
      <c r="AZ99" s="29">
        <v>2.1</v>
      </c>
      <c r="BA99" s="29">
        <v>1</v>
      </c>
      <c r="BB99" s="29">
        <v>1</v>
      </c>
    </row>
    <row r="100" spans="1:54">
      <c r="A100" s="29" t="s">
        <v>31</v>
      </c>
      <c r="B100" s="29" t="s">
        <v>110</v>
      </c>
      <c r="C100" s="37">
        <v>1568.97230222651</v>
      </c>
      <c r="D100" s="37">
        <v>2628028.60622941</v>
      </c>
      <c r="E100" s="37">
        <v>1.53720068310998</v>
      </c>
      <c r="G100" s="37" t="s">
        <v>31</v>
      </c>
      <c r="H100" s="37" t="s">
        <v>111</v>
      </c>
      <c r="I100" s="37">
        <v>158.30188448215799</v>
      </c>
      <c r="J100" s="39">
        <v>4817759.5523300096</v>
      </c>
      <c r="K100" s="37">
        <v>1.0378157820460701</v>
      </c>
      <c r="N100" s="37" t="s">
        <v>31</v>
      </c>
      <c r="O100" s="37" t="s">
        <v>113</v>
      </c>
      <c r="P100" s="37">
        <v>22.786347018073499</v>
      </c>
      <c r="Q100" s="39">
        <v>8052740.60888121</v>
      </c>
      <c r="R100" s="42">
        <v>0.87523962628980101</v>
      </c>
      <c r="U100" s="37" t="s">
        <v>31</v>
      </c>
      <c r="V100" s="37">
        <v>702.05414791910096</v>
      </c>
      <c r="W100" s="39">
        <v>2404535.45662292</v>
      </c>
      <c r="X100" s="69">
        <v>2006</v>
      </c>
      <c r="Y100" s="37" t="s">
        <v>171</v>
      </c>
      <c r="Z100" s="42">
        <v>0.18102189781021899</v>
      </c>
      <c r="AB100" s="37" t="s">
        <v>31</v>
      </c>
      <c r="AC100" s="37">
        <v>22.786347018073499</v>
      </c>
      <c r="AD100" s="39">
        <v>6712675.5407483103</v>
      </c>
      <c r="AE100" s="69">
        <v>1959</v>
      </c>
      <c r="AF100" s="37" t="s">
        <v>172</v>
      </c>
      <c r="AG100" s="42">
        <v>1.1424364784503E-2</v>
      </c>
      <c r="AI100" s="29">
        <v>19</v>
      </c>
      <c r="AJ100" s="29" t="s">
        <v>31</v>
      </c>
      <c r="AK100" s="29">
        <v>1568.97230222651</v>
      </c>
      <c r="AL100" s="29">
        <v>3765533.5253436398</v>
      </c>
      <c r="AM100" s="29">
        <v>1977</v>
      </c>
      <c r="AN100" s="29" t="s">
        <v>172</v>
      </c>
      <c r="AO100" s="37">
        <v>1.45584255744256</v>
      </c>
      <c r="AR100" s="37" t="s">
        <v>31</v>
      </c>
      <c r="AS100" s="37">
        <v>702.05414791910096</v>
      </c>
      <c r="AT100" s="39">
        <v>5669087.2444467396</v>
      </c>
      <c r="AU100" s="69">
        <v>2004</v>
      </c>
      <c r="AV100" s="37" t="s">
        <v>171</v>
      </c>
      <c r="AW100" s="37">
        <v>1.11159561629393</v>
      </c>
      <c r="AZ100" s="29">
        <v>2.2000000000000002</v>
      </c>
      <c r="BA100" s="29">
        <v>1</v>
      </c>
      <c r="BB100" s="29">
        <v>0</v>
      </c>
    </row>
    <row r="101" spans="1:54">
      <c r="A101" s="29" t="s">
        <v>31</v>
      </c>
      <c r="B101" s="29" t="s">
        <v>110</v>
      </c>
      <c r="C101" s="37">
        <v>1117.4977354134001</v>
      </c>
      <c r="D101" s="37">
        <v>1480684.49942275</v>
      </c>
      <c r="E101" s="37">
        <v>1.5422153369481</v>
      </c>
      <c r="G101" s="37" t="s">
        <v>31</v>
      </c>
      <c r="H101" s="37" t="s">
        <v>111</v>
      </c>
      <c r="I101" s="37">
        <v>120.860604585971</v>
      </c>
      <c r="J101" s="39">
        <v>11872862.3521074</v>
      </c>
      <c r="K101" s="37">
        <v>1.0437207586528301</v>
      </c>
      <c r="N101" s="37" t="s">
        <v>31</v>
      </c>
      <c r="O101" s="37" t="s">
        <v>113</v>
      </c>
      <c r="P101" s="37">
        <v>31.3255071523879</v>
      </c>
      <c r="Q101" s="39">
        <v>4094870.29496015</v>
      </c>
      <c r="R101" s="42">
        <v>0.87857063584477402</v>
      </c>
      <c r="U101" s="37" t="s">
        <v>31</v>
      </c>
      <c r="V101" s="37">
        <v>702.05414791910096</v>
      </c>
      <c r="W101" s="39">
        <v>5914104.1420705104</v>
      </c>
      <c r="X101" s="69">
        <v>2005</v>
      </c>
      <c r="Y101" s="37" t="s">
        <v>171</v>
      </c>
      <c r="Z101" s="42">
        <v>8.3333333333333301E-2</v>
      </c>
      <c r="AB101" s="37" t="s">
        <v>31</v>
      </c>
      <c r="AC101" s="37">
        <v>22.786347018073499</v>
      </c>
      <c r="AD101" s="39">
        <v>11826114.102380101</v>
      </c>
      <c r="AE101" s="69">
        <v>1986</v>
      </c>
      <c r="AF101" s="37" t="s">
        <v>173</v>
      </c>
      <c r="AG101" s="42">
        <v>2.0571428571428598E-3</v>
      </c>
      <c r="AI101" s="29">
        <v>20</v>
      </c>
      <c r="AJ101" s="29" t="s">
        <v>31</v>
      </c>
      <c r="AK101" s="29">
        <v>1568.97230222651</v>
      </c>
      <c r="AL101" s="29">
        <v>16099224.793146299</v>
      </c>
      <c r="AM101" s="29">
        <v>1975</v>
      </c>
      <c r="AN101" s="29" t="s">
        <v>172</v>
      </c>
      <c r="AO101" s="37">
        <v>1.4547834934395301</v>
      </c>
      <c r="AR101" s="37" t="s">
        <v>31</v>
      </c>
      <c r="AS101" s="37">
        <v>702.05414791910096</v>
      </c>
      <c r="AT101" s="39">
        <v>857910.16875714099</v>
      </c>
      <c r="AU101" s="69">
        <v>2006</v>
      </c>
      <c r="AV101" s="37" t="s">
        <v>171</v>
      </c>
      <c r="AW101" s="37">
        <v>1.08935300391042</v>
      </c>
    </row>
    <row r="102" spans="1:54">
      <c r="A102" s="29" t="s">
        <v>31</v>
      </c>
      <c r="B102" s="29" t="s">
        <v>110</v>
      </c>
      <c r="C102" s="37">
        <v>1568.97230222651</v>
      </c>
      <c r="D102" s="37">
        <v>2516631.5727713299</v>
      </c>
      <c r="E102" s="37">
        <v>1.6645885286783</v>
      </c>
      <c r="G102" s="37" t="s">
        <v>31</v>
      </c>
      <c r="H102" s="37" t="s">
        <v>111</v>
      </c>
      <c r="I102" s="37">
        <v>158.30188448215799</v>
      </c>
      <c r="J102" s="39">
        <v>6145437.4574818704</v>
      </c>
      <c r="K102" s="37">
        <v>1.04625817123233</v>
      </c>
      <c r="N102" s="37" t="s">
        <v>31</v>
      </c>
      <c r="O102" s="37" t="s">
        <v>113</v>
      </c>
      <c r="P102" s="37">
        <v>22.786347018073499</v>
      </c>
      <c r="Q102" s="39">
        <v>11826114.102380101</v>
      </c>
      <c r="R102" s="42">
        <v>0.89148571428571399</v>
      </c>
      <c r="U102" s="37" t="s">
        <v>31</v>
      </c>
      <c r="V102" s="37">
        <v>702.05414791910096</v>
      </c>
      <c r="W102" s="39">
        <v>2403131.3483270798</v>
      </c>
      <c r="X102" s="69">
        <v>2006</v>
      </c>
      <c r="Y102" s="37" t="s">
        <v>171</v>
      </c>
      <c r="Z102" s="42">
        <v>6.13496932515337E-2</v>
      </c>
      <c r="AB102" s="37" t="s">
        <v>31</v>
      </c>
      <c r="AC102" s="37">
        <v>158.30188448215799</v>
      </c>
      <c r="AD102" s="39">
        <v>3541213.1558658802</v>
      </c>
      <c r="AE102" s="69">
        <v>2002</v>
      </c>
      <c r="AF102" s="37" t="s">
        <v>173</v>
      </c>
      <c r="AG102" s="42">
        <v>0.16459179094766399</v>
      </c>
      <c r="AI102" s="29">
        <v>21</v>
      </c>
      <c r="AJ102" s="29" t="s">
        <v>31</v>
      </c>
      <c r="AK102" s="29">
        <v>111.913803540171</v>
      </c>
      <c r="AL102" s="29">
        <v>2566071.6013725898</v>
      </c>
      <c r="AM102" s="29" t="s">
        <v>174</v>
      </c>
      <c r="AN102" s="29" t="s">
        <v>172</v>
      </c>
      <c r="AO102" s="37">
        <v>1.4536781426806</v>
      </c>
      <c r="AR102" s="37" t="s">
        <v>31</v>
      </c>
      <c r="AS102" s="37">
        <v>120.860604585971</v>
      </c>
      <c r="AT102" s="39">
        <v>5250668.1056329096</v>
      </c>
      <c r="AU102" s="69">
        <v>2005</v>
      </c>
      <c r="AV102" s="37" t="s">
        <v>171</v>
      </c>
      <c r="AW102" s="37">
        <v>1.0752677963851001</v>
      </c>
    </row>
    <row r="103" spans="1:54">
      <c r="A103" s="29" t="s">
        <v>31</v>
      </c>
      <c r="B103" s="29" t="s">
        <v>110</v>
      </c>
      <c r="C103" s="37">
        <v>702.05414791910096</v>
      </c>
      <c r="D103" s="37">
        <v>2404535.45662292</v>
      </c>
      <c r="E103" s="37">
        <v>1.7218523597995701</v>
      </c>
      <c r="G103" s="37" t="s">
        <v>31</v>
      </c>
      <c r="H103" s="37" t="s">
        <v>114</v>
      </c>
      <c r="I103" s="37">
        <v>702.05414791910096</v>
      </c>
      <c r="J103" s="39">
        <v>5932357.5499163996</v>
      </c>
      <c r="K103" s="37">
        <v>1.0502550899833101</v>
      </c>
      <c r="N103" s="37" t="s">
        <v>31</v>
      </c>
      <c r="O103" s="37" t="s">
        <v>113</v>
      </c>
      <c r="P103" s="37">
        <v>26.394908180552601</v>
      </c>
      <c r="Q103" s="39">
        <v>3513769.3617197</v>
      </c>
      <c r="R103" s="42">
        <v>0.92309425879976603</v>
      </c>
      <c r="U103" s="37" t="s">
        <v>31</v>
      </c>
      <c r="V103" s="37">
        <v>702.05414791910096</v>
      </c>
      <c r="W103" s="39">
        <v>3510270.7395954998</v>
      </c>
      <c r="X103" s="69">
        <v>2009</v>
      </c>
      <c r="Y103" s="37" t="s">
        <v>171</v>
      </c>
      <c r="Z103" s="42">
        <v>4.2999999999999997E-2</v>
      </c>
      <c r="AB103" s="37" t="s">
        <v>31</v>
      </c>
      <c r="AC103" s="37">
        <v>158.30188448215799</v>
      </c>
      <c r="AD103" s="39">
        <v>4305811.2579147099</v>
      </c>
      <c r="AE103" s="69">
        <v>1998</v>
      </c>
      <c r="AF103" s="37" t="s">
        <v>173</v>
      </c>
      <c r="AG103" s="42">
        <v>6.6360294117647101E-2</v>
      </c>
      <c r="AI103" s="29">
        <v>22</v>
      </c>
      <c r="AJ103" s="29" t="s">
        <v>31</v>
      </c>
      <c r="AK103" s="29">
        <v>111.913803540171</v>
      </c>
      <c r="AL103" s="29">
        <v>2351197.0985754598</v>
      </c>
      <c r="AM103" s="29">
        <v>1980</v>
      </c>
      <c r="AN103" s="29" t="s">
        <v>172</v>
      </c>
      <c r="AO103" s="37">
        <v>1.4120322006919199</v>
      </c>
      <c r="AR103" s="37" t="s">
        <v>31</v>
      </c>
      <c r="AS103" s="37">
        <v>702.05414791910096</v>
      </c>
      <c r="AT103" s="39">
        <v>5932357.5499163996</v>
      </c>
      <c r="AU103" s="69">
        <v>2006</v>
      </c>
      <c r="AV103" s="37" t="s">
        <v>171</v>
      </c>
      <c r="AW103" s="37">
        <v>1.0502550899833101</v>
      </c>
    </row>
    <row r="104" spans="1:54">
      <c r="A104" s="29" t="s">
        <v>31</v>
      </c>
      <c r="B104" s="29" t="s">
        <v>110</v>
      </c>
      <c r="C104" s="37">
        <v>1568.97230222651</v>
      </c>
      <c r="D104" s="37">
        <v>1969060.2392942801</v>
      </c>
      <c r="E104" s="37">
        <v>1.7418483692635101</v>
      </c>
      <c r="G104" s="37" t="s">
        <v>31</v>
      </c>
      <c r="H104" s="37" t="s">
        <v>111</v>
      </c>
      <c r="I104" s="37">
        <v>120.860604585971</v>
      </c>
      <c r="J104" s="39">
        <v>5250668.1056329096</v>
      </c>
      <c r="K104" s="37">
        <v>1.0752677963851001</v>
      </c>
      <c r="N104" s="37" t="s">
        <v>31</v>
      </c>
      <c r="O104" s="37" t="s">
        <v>112</v>
      </c>
      <c r="P104" s="37">
        <v>111.913803540171</v>
      </c>
      <c r="Q104" s="39">
        <v>7554181.7389615597</v>
      </c>
      <c r="R104" s="42">
        <v>0.92727366515443199</v>
      </c>
      <c r="U104" s="37" t="s">
        <v>31</v>
      </c>
      <c r="V104" s="37">
        <v>120.860604585971</v>
      </c>
      <c r="W104" s="39">
        <v>5250668.1056329096</v>
      </c>
      <c r="X104" s="69">
        <v>2005</v>
      </c>
      <c r="Y104" s="37" t="s">
        <v>171</v>
      </c>
      <c r="Z104" s="42">
        <v>0.103165416708849</v>
      </c>
      <c r="AB104" s="37" t="s">
        <v>31</v>
      </c>
      <c r="AC104" s="37">
        <v>22.786347018073499</v>
      </c>
      <c r="AD104" s="39">
        <v>8199712.54714779</v>
      </c>
      <c r="AE104" s="69">
        <v>1981</v>
      </c>
      <c r="AF104" s="37" t="s">
        <v>173</v>
      </c>
      <c r="AG104" s="42" t="s">
        <v>174</v>
      </c>
      <c r="AI104" s="29">
        <v>23</v>
      </c>
      <c r="AJ104" s="29" t="s">
        <v>31</v>
      </c>
      <c r="AK104" s="29">
        <v>111.913803540171</v>
      </c>
      <c r="AL104" s="29">
        <v>2245774.2956406199</v>
      </c>
      <c r="AM104" s="29">
        <v>1977</v>
      </c>
      <c r="AN104" s="29" t="s">
        <v>172</v>
      </c>
      <c r="AO104" s="37">
        <v>1.38979132915881</v>
      </c>
      <c r="AR104" s="37" t="s">
        <v>31</v>
      </c>
      <c r="AS104" s="37">
        <v>120.860604585971</v>
      </c>
      <c r="AT104" s="39">
        <v>11872862.3521074</v>
      </c>
      <c r="AU104" s="69">
        <v>2007</v>
      </c>
      <c r="AV104" s="37" t="s">
        <v>171</v>
      </c>
      <c r="AW104" s="37">
        <v>1.0437207586528301</v>
      </c>
    </row>
    <row r="105" spans="1:54">
      <c r="A105" s="29" t="s">
        <v>31</v>
      </c>
      <c r="B105" s="29" t="s">
        <v>110</v>
      </c>
      <c r="C105" s="37">
        <v>702.05414791910096</v>
      </c>
      <c r="D105" s="37">
        <v>1008851.81055975</v>
      </c>
      <c r="E105" s="37">
        <v>1.7731384829505901</v>
      </c>
      <c r="G105" s="37" t="s">
        <v>31</v>
      </c>
      <c r="H105" s="37" t="s">
        <v>111</v>
      </c>
      <c r="I105" s="37">
        <v>158.30188448215799</v>
      </c>
      <c r="J105" s="39">
        <v>4963397.2860535895</v>
      </c>
      <c r="K105" s="37">
        <v>1.1024764780833001</v>
      </c>
      <c r="N105" s="37" t="s">
        <v>31</v>
      </c>
      <c r="O105" s="37" t="s">
        <v>112</v>
      </c>
      <c r="P105" s="37">
        <v>120.860604585971</v>
      </c>
      <c r="Q105" s="39">
        <v>13125461.6580364</v>
      </c>
      <c r="R105" s="42">
        <v>0.94587704632532199</v>
      </c>
      <c r="U105" s="37" t="s">
        <v>31</v>
      </c>
      <c r="V105" s="37">
        <v>702.05414791910096</v>
      </c>
      <c r="W105" s="39">
        <v>821403.353065348</v>
      </c>
      <c r="X105" s="69">
        <v>2006</v>
      </c>
      <c r="Y105" s="37" t="s">
        <v>171</v>
      </c>
      <c r="Z105" s="42">
        <v>4.3984708527069296</v>
      </c>
      <c r="AB105" s="37" t="s">
        <v>31</v>
      </c>
      <c r="AC105" s="37">
        <v>158.30188448215799</v>
      </c>
      <c r="AD105" s="39">
        <v>18587807.275895</v>
      </c>
      <c r="AE105" s="69">
        <v>1984</v>
      </c>
      <c r="AF105" s="37" t="s">
        <v>173</v>
      </c>
      <c r="AG105" s="42">
        <v>1.2008175779253999E-2</v>
      </c>
      <c r="AI105" s="29">
        <v>24</v>
      </c>
      <c r="AJ105" s="29" t="s">
        <v>31</v>
      </c>
      <c r="AK105" s="29">
        <v>1568.97230222651</v>
      </c>
      <c r="AL105" s="29">
        <v>10195182.019867901</v>
      </c>
      <c r="AM105" s="29">
        <v>2003</v>
      </c>
      <c r="AN105" s="29" t="s">
        <v>173</v>
      </c>
      <c r="AO105" s="37">
        <v>1.3423789466790901</v>
      </c>
      <c r="AR105" s="37" t="s">
        <v>31</v>
      </c>
      <c r="AS105" s="37">
        <v>120.860604585971</v>
      </c>
      <c r="AT105" s="39">
        <v>9662805.3366483599</v>
      </c>
      <c r="AU105" s="69">
        <v>2005</v>
      </c>
      <c r="AV105" s="37" t="s">
        <v>171</v>
      </c>
      <c r="AW105" s="37">
        <v>0.99647876571758898</v>
      </c>
    </row>
    <row r="106" spans="1:54">
      <c r="A106" s="29" t="s">
        <v>31</v>
      </c>
      <c r="B106" s="29" t="s">
        <v>110</v>
      </c>
      <c r="C106" s="37">
        <v>1117.4977354134001</v>
      </c>
      <c r="D106" s="37">
        <v>5028739.8093602899</v>
      </c>
      <c r="E106" s="43">
        <v>1.80666666666667</v>
      </c>
      <c r="G106" s="37" t="s">
        <v>31</v>
      </c>
      <c r="H106" s="37" t="s">
        <v>114</v>
      </c>
      <c r="I106" s="37">
        <v>702.05414791910096</v>
      </c>
      <c r="J106" s="39">
        <v>5669087.2444467396</v>
      </c>
      <c r="K106" s="67">
        <v>1.11159561629393</v>
      </c>
      <c r="N106" s="37" t="s">
        <v>31</v>
      </c>
      <c r="O106" s="37" t="s">
        <v>112</v>
      </c>
      <c r="P106" s="37">
        <v>120.860604585971</v>
      </c>
      <c r="Q106" s="39">
        <v>9662805.3366483599</v>
      </c>
      <c r="R106" s="42">
        <v>0.99647876571758898</v>
      </c>
      <c r="U106" s="37" t="s">
        <v>31</v>
      </c>
      <c r="V106" s="37">
        <v>120.860604585971</v>
      </c>
      <c r="W106" s="39">
        <v>9662805.3366483599</v>
      </c>
      <c r="X106" s="69">
        <v>2005</v>
      </c>
      <c r="Y106" s="37" t="s">
        <v>171</v>
      </c>
      <c r="Z106" s="42">
        <v>2.42461122379986E-2</v>
      </c>
      <c r="AB106" s="37" t="s">
        <v>31</v>
      </c>
      <c r="AC106" s="37">
        <v>1568.97230222651</v>
      </c>
      <c r="AD106" s="39">
        <v>3765533.5253436398</v>
      </c>
      <c r="AE106" s="69">
        <v>1977</v>
      </c>
      <c r="AF106" s="37" t="s">
        <v>172</v>
      </c>
      <c r="AG106" s="42">
        <v>0.15666666666666701</v>
      </c>
      <c r="AI106" s="29">
        <v>25</v>
      </c>
      <c r="AJ106" s="29" t="s">
        <v>31</v>
      </c>
      <c r="AK106" s="29">
        <v>1568.97230222651</v>
      </c>
      <c r="AL106" s="29">
        <v>5648300.2880154504</v>
      </c>
      <c r="AM106" s="29">
        <v>1960</v>
      </c>
      <c r="AN106" s="29" t="s">
        <v>172</v>
      </c>
      <c r="AO106" s="37">
        <v>1.3392533333333301</v>
      </c>
      <c r="AR106" s="37" t="s">
        <v>31</v>
      </c>
      <c r="AS106" s="37">
        <v>702.05414791910096</v>
      </c>
      <c r="AT106" s="39">
        <v>2609535.2678152998</v>
      </c>
      <c r="AU106" s="69">
        <v>2006</v>
      </c>
      <c r="AV106" s="37" t="s">
        <v>171</v>
      </c>
      <c r="AW106" s="37">
        <v>0.99565253663354902</v>
      </c>
    </row>
    <row r="107" spans="1:54">
      <c r="A107" s="29" t="s">
        <v>31</v>
      </c>
      <c r="B107" s="29" t="s">
        <v>110</v>
      </c>
      <c r="C107" s="37">
        <v>1568.97230222651</v>
      </c>
      <c r="D107" s="37">
        <v>7844861.51113257</v>
      </c>
      <c r="E107" s="43">
        <v>1.86069143139139</v>
      </c>
      <c r="G107" s="37" t="s">
        <v>31</v>
      </c>
      <c r="H107" s="37" t="s">
        <v>114</v>
      </c>
      <c r="I107" s="37">
        <v>702.05414791910096</v>
      </c>
      <c r="J107" s="39">
        <v>8494855.1898211204</v>
      </c>
      <c r="K107" s="37">
        <v>1.12075226977951</v>
      </c>
      <c r="N107" s="37" t="s">
        <v>31</v>
      </c>
      <c r="O107" s="37" t="s">
        <v>113</v>
      </c>
      <c r="P107" s="37">
        <v>22.786347018073499</v>
      </c>
      <c r="Q107" s="39">
        <v>2739830.3654531599</v>
      </c>
      <c r="R107" s="42">
        <v>1.0329901187411801</v>
      </c>
      <c r="U107" s="37" t="s">
        <v>31</v>
      </c>
      <c r="V107" s="37">
        <v>31.3255071523879</v>
      </c>
      <c r="W107" s="39">
        <v>4094870.29496015</v>
      </c>
      <c r="X107" s="69">
        <v>2005</v>
      </c>
      <c r="Y107" s="37" t="s">
        <v>171</v>
      </c>
      <c r="Z107" s="42">
        <v>1.6462668298653602E-2</v>
      </c>
      <c r="AB107" s="37" t="s">
        <v>31</v>
      </c>
      <c r="AC107" s="37">
        <v>1568.97230222651</v>
      </c>
      <c r="AD107" s="39">
        <v>16420864.115102701</v>
      </c>
      <c r="AE107" s="69">
        <v>1997</v>
      </c>
      <c r="AF107" s="37" t="s">
        <v>173</v>
      </c>
      <c r="AG107" s="42">
        <v>0.45432830116567902</v>
      </c>
      <c r="AI107" s="29">
        <v>26</v>
      </c>
      <c r="AJ107" s="29" t="s">
        <v>31</v>
      </c>
      <c r="AK107" s="29">
        <v>1117.4977354134001</v>
      </c>
      <c r="AL107" s="29">
        <v>1408047.1466208801</v>
      </c>
      <c r="AM107" s="29">
        <v>1967</v>
      </c>
      <c r="AN107" s="29" t="s">
        <v>172</v>
      </c>
      <c r="AO107" s="37">
        <v>1.3160000000000001</v>
      </c>
      <c r="AR107" s="37" t="s">
        <v>31</v>
      </c>
      <c r="AS107" s="37">
        <v>120.860604585971</v>
      </c>
      <c r="AT107" s="39">
        <v>4841796.6803185698</v>
      </c>
      <c r="AU107" s="69">
        <v>2008</v>
      </c>
      <c r="AV107" s="37" t="s">
        <v>171</v>
      </c>
      <c r="AW107" s="37">
        <v>0.98644095128363696</v>
      </c>
    </row>
    <row r="108" spans="1:54">
      <c r="A108" s="29" t="s">
        <v>31</v>
      </c>
      <c r="B108" s="29" t="s">
        <v>110</v>
      </c>
      <c r="C108" s="37">
        <v>1117.4977354134001</v>
      </c>
      <c r="D108" s="37">
        <v>1234834.9976317999</v>
      </c>
      <c r="E108" s="43">
        <v>1.86787330316742</v>
      </c>
      <c r="G108" s="37" t="s">
        <v>31</v>
      </c>
      <c r="H108" s="37" t="s">
        <v>114</v>
      </c>
      <c r="I108" s="37">
        <v>702.05414791910096</v>
      </c>
      <c r="J108" s="39">
        <v>4549310.8785157697</v>
      </c>
      <c r="K108" s="37">
        <v>1.1251691589422099</v>
      </c>
      <c r="N108" s="37" t="s">
        <v>31</v>
      </c>
      <c r="O108" s="37" t="s">
        <v>113</v>
      </c>
      <c r="P108" s="37">
        <v>22.786347018073499</v>
      </c>
      <c r="Q108" s="39">
        <v>5012996.3439761698</v>
      </c>
      <c r="R108" s="44">
        <v>1.05779358296816</v>
      </c>
      <c r="U108" s="37" t="s">
        <v>31</v>
      </c>
      <c r="V108" s="37">
        <v>702.05414791910096</v>
      </c>
      <c r="W108" s="39">
        <v>1008851.81055975</v>
      </c>
      <c r="X108" s="69">
        <v>2007</v>
      </c>
      <c r="Y108" s="37" t="s">
        <v>171</v>
      </c>
      <c r="Z108" s="42">
        <v>0.11134307585247</v>
      </c>
      <c r="AB108" s="37" t="s">
        <v>31</v>
      </c>
      <c r="AC108" s="37">
        <v>158.30188448215799</v>
      </c>
      <c r="AD108" s="39">
        <v>9806801.7436697092</v>
      </c>
      <c r="AE108" s="69">
        <v>1908</v>
      </c>
      <c r="AF108" s="37" t="s">
        <v>172</v>
      </c>
      <c r="AG108" s="42">
        <v>4.4289697314752199E-2</v>
      </c>
      <c r="AI108" s="29">
        <v>27</v>
      </c>
      <c r="AJ108" s="29" t="s">
        <v>31</v>
      </c>
      <c r="AK108" s="29">
        <v>1117.4977354134001</v>
      </c>
      <c r="AL108" s="29">
        <v>3486592.9344898001</v>
      </c>
      <c r="AM108" s="29">
        <v>1911</v>
      </c>
      <c r="AN108" s="29" t="s">
        <v>172</v>
      </c>
      <c r="AO108" s="37">
        <v>1.2873040437158501</v>
      </c>
      <c r="AR108" s="37" t="s">
        <v>31</v>
      </c>
      <c r="AS108" s="37">
        <v>702.05414791910096</v>
      </c>
      <c r="AT108" s="39">
        <v>4379413.77471935</v>
      </c>
      <c r="AU108" s="69">
        <v>2007</v>
      </c>
      <c r="AV108" s="37" t="s">
        <v>171</v>
      </c>
      <c r="AW108" s="37">
        <v>0.977265248687055</v>
      </c>
    </row>
    <row r="109" spans="1:54">
      <c r="A109" s="29" t="s">
        <v>31</v>
      </c>
      <c r="B109" s="29" t="s">
        <v>110</v>
      </c>
      <c r="C109" s="37">
        <v>702.05414791910096</v>
      </c>
      <c r="D109" s="37">
        <v>2403131.3483270798</v>
      </c>
      <c r="E109" s="43">
        <v>1.9059452778785</v>
      </c>
      <c r="G109" s="37" t="s">
        <v>31</v>
      </c>
      <c r="H109" s="37" t="s">
        <v>114</v>
      </c>
      <c r="I109" s="37">
        <v>702.05414791910096</v>
      </c>
      <c r="J109" s="39">
        <v>5914104.1420705104</v>
      </c>
      <c r="K109" s="37">
        <v>1.1592866192348501</v>
      </c>
      <c r="N109" s="37" t="s">
        <v>31</v>
      </c>
      <c r="O109" s="37" t="s">
        <v>113</v>
      </c>
      <c r="P109" s="37">
        <v>22.786347018073499</v>
      </c>
      <c r="Q109" s="39">
        <v>7000148.0947283199</v>
      </c>
      <c r="R109" s="44">
        <v>1.09140121668635</v>
      </c>
      <c r="U109" s="37" t="s">
        <v>31</v>
      </c>
      <c r="V109" s="37">
        <v>31.3255071523879</v>
      </c>
      <c r="W109" s="39">
        <v>6586219.20429671</v>
      </c>
      <c r="X109" s="69">
        <v>2005</v>
      </c>
      <c r="Y109" s="37" t="s">
        <v>171</v>
      </c>
      <c r="Z109" s="42">
        <v>6.9946065220760703E-2</v>
      </c>
      <c r="AB109" s="37" t="s">
        <v>31</v>
      </c>
      <c r="AC109" s="37">
        <v>1568.97230222651</v>
      </c>
      <c r="AD109" s="39">
        <v>1969060.2392942801</v>
      </c>
      <c r="AE109" s="69">
        <v>1920</v>
      </c>
      <c r="AF109" s="37" t="s">
        <v>172</v>
      </c>
      <c r="AG109" s="42">
        <v>6.8525896414342605E-2</v>
      </c>
      <c r="AI109" s="29">
        <v>28</v>
      </c>
      <c r="AJ109" s="29" t="s">
        <v>31</v>
      </c>
      <c r="AK109" s="29">
        <v>158.30188448215799</v>
      </c>
      <c r="AL109" s="29">
        <v>3541213.1558658802</v>
      </c>
      <c r="AM109" s="29">
        <v>2002</v>
      </c>
      <c r="AN109" s="29" t="s">
        <v>173</v>
      </c>
      <c r="AO109" s="37">
        <v>1.2701123922219799</v>
      </c>
      <c r="AR109" s="37" t="s">
        <v>31</v>
      </c>
      <c r="AS109" s="37">
        <v>120.860604585971</v>
      </c>
      <c r="AT109" s="39">
        <v>13125461.6580364</v>
      </c>
      <c r="AU109" s="69">
        <v>2012</v>
      </c>
      <c r="AV109" s="37" t="s">
        <v>171</v>
      </c>
      <c r="AW109" s="37">
        <v>0.94587704632532199</v>
      </c>
    </row>
    <row r="110" spans="1:54">
      <c r="A110" s="29" t="s">
        <v>31</v>
      </c>
      <c r="B110" s="29" t="s">
        <v>110</v>
      </c>
      <c r="C110" s="37">
        <v>702.05414791910096</v>
      </c>
      <c r="D110" s="37">
        <v>1310735.0941649601</v>
      </c>
      <c r="E110" s="43">
        <v>1.94228358506887</v>
      </c>
      <c r="G110" s="37" t="s">
        <v>31</v>
      </c>
      <c r="H110" s="37" t="s">
        <v>111</v>
      </c>
      <c r="I110" s="37">
        <v>111.913803540171</v>
      </c>
      <c r="J110" s="39">
        <v>2350189.8743436001</v>
      </c>
      <c r="K110" s="37">
        <v>1.1750274084124801</v>
      </c>
      <c r="N110" s="37" t="s">
        <v>31</v>
      </c>
      <c r="O110" s="37" t="s">
        <v>113</v>
      </c>
      <c r="P110" s="37">
        <v>22.786347018073499</v>
      </c>
      <c r="Q110" s="39">
        <v>8658811.8668679297</v>
      </c>
      <c r="R110" s="44">
        <v>1.1130539236474799</v>
      </c>
      <c r="U110" s="37" t="s">
        <v>31</v>
      </c>
      <c r="V110" s="37">
        <v>702.05414791910096</v>
      </c>
      <c r="W110" s="39">
        <v>4379413.77471935</v>
      </c>
      <c r="X110" s="69">
        <v>2007</v>
      </c>
      <c r="Y110" s="37" t="s">
        <v>171</v>
      </c>
      <c r="Z110" s="42">
        <v>1.5237255530618801</v>
      </c>
      <c r="AB110" s="37" t="s">
        <v>31</v>
      </c>
      <c r="AC110" s="37">
        <v>1117.4977354134001</v>
      </c>
      <c r="AD110" s="39">
        <v>6146237.5447736904</v>
      </c>
      <c r="AE110" s="69">
        <v>1982</v>
      </c>
      <c r="AF110" s="37" t="s">
        <v>173</v>
      </c>
      <c r="AG110" s="42">
        <v>0</v>
      </c>
      <c r="AI110" s="29">
        <v>29</v>
      </c>
      <c r="AJ110" s="29" t="s">
        <v>31</v>
      </c>
      <c r="AK110" s="29">
        <v>158.30188448215799</v>
      </c>
      <c r="AL110" s="29">
        <v>9806801.7436697092</v>
      </c>
      <c r="AM110" s="29">
        <v>1908</v>
      </c>
      <c r="AN110" s="29" t="s">
        <v>172</v>
      </c>
      <c r="AO110" s="37">
        <v>1.2462091260727299</v>
      </c>
      <c r="AR110" s="37" t="s">
        <v>31</v>
      </c>
      <c r="AS110" s="37">
        <v>120.860604585971</v>
      </c>
      <c r="AT110" s="39">
        <v>4305054.7353522796</v>
      </c>
      <c r="AU110" s="69">
        <v>2007</v>
      </c>
      <c r="AV110" s="37" t="s">
        <v>171</v>
      </c>
      <c r="AW110" s="37">
        <v>0.92426542734333506</v>
      </c>
    </row>
    <row r="111" spans="1:54">
      <c r="A111" s="29" t="s">
        <v>31</v>
      </c>
      <c r="B111" s="29" t="s">
        <v>110</v>
      </c>
      <c r="C111" s="37">
        <v>1117.4977354134001</v>
      </c>
      <c r="D111" s="37">
        <v>2346745.2443681401</v>
      </c>
      <c r="E111" s="43">
        <v>1.9847619047619001</v>
      </c>
      <c r="G111" s="37" t="s">
        <v>31</v>
      </c>
      <c r="H111" s="37" t="s">
        <v>111</v>
      </c>
      <c r="I111" s="37">
        <v>111.913803540171</v>
      </c>
      <c r="J111" s="39">
        <v>2574017.48142394</v>
      </c>
      <c r="K111" s="37">
        <v>1.1905808865048</v>
      </c>
      <c r="N111" s="37" t="s">
        <v>31</v>
      </c>
      <c r="O111" s="37" t="s">
        <v>113</v>
      </c>
      <c r="P111" s="37">
        <v>22.786347018073499</v>
      </c>
      <c r="Q111" s="39">
        <v>4897378.41920646</v>
      </c>
      <c r="R111" s="44">
        <v>1.1725070440222201</v>
      </c>
      <c r="U111" s="37" t="s">
        <v>31</v>
      </c>
      <c r="V111" s="37">
        <v>702.05414791910096</v>
      </c>
      <c r="W111" s="39">
        <v>4248831.7032064004</v>
      </c>
      <c r="X111" s="69">
        <v>2007</v>
      </c>
      <c r="Y111" s="37" t="s">
        <v>171</v>
      </c>
      <c r="Z111" s="42">
        <v>0.24798083786241501</v>
      </c>
      <c r="AB111" s="37" t="s">
        <v>31</v>
      </c>
      <c r="AC111" s="37">
        <v>22.786347018073499</v>
      </c>
      <c r="AD111" s="39">
        <v>2739830.3654531599</v>
      </c>
      <c r="AE111" s="69">
        <v>1988</v>
      </c>
      <c r="AF111" s="37" t="s">
        <v>173</v>
      </c>
      <c r="AG111" s="42">
        <v>4.2215568862275399E-2</v>
      </c>
      <c r="AI111" s="29">
        <v>30</v>
      </c>
      <c r="AJ111" s="29" t="s">
        <v>31</v>
      </c>
      <c r="AK111" s="29">
        <v>1568.97230222651</v>
      </c>
      <c r="AL111" s="29">
        <v>2471131.3760067602</v>
      </c>
      <c r="AM111" s="29">
        <v>1975</v>
      </c>
      <c r="AN111" s="29" t="s">
        <v>172</v>
      </c>
      <c r="AO111" s="37">
        <v>1.2438095238095199</v>
      </c>
      <c r="AR111" s="37" t="s">
        <v>31</v>
      </c>
      <c r="AS111" s="37">
        <v>702.05414791910096</v>
      </c>
      <c r="AT111" s="39">
        <v>7582184.7975262897</v>
      </c>
      <c r="AU111" s="69">
        <v>2008</v>
      </c>
      <c r="AV111" s="37" t="s">
        <v>171</v>
      </c>
      <c r="AW111" s="37">
        <v>0.89809482718708999</v>
      </c>
    </row>
    <row r="112" spans="1:54">
      <c r="A112" s="29" t="s">
        <v>31</v>
      </c>
      <c r="B112" s="29" t="s">
        <v>110</v>
      </c>
      <c r="C112" s="37">
        <v>702.05414791910096</v>
      </c>
      <c r="D112" s="37">
        <v>821403.353065348</v>
      </c>
      <c r="E112" s="43">
        <v>2.08119658119658</v>
      </c>
      <c r="G112" s="37" t="s">
        <v>31</v>
      </c>
      <c r="H112" s="37" t="s">
        <v>114</v>
      </c>
      <c r="I112" s="37">
        <v>1568.97230222651</v>
      </c>
      <c r="J112" s="39">
        <v>16420864.115102701</v>
      </c>
      <c r="K112" s="37">
        <v>1.1977605228088899</v>
      </c>
      <c r="N112" s="37" t="s">
        <v>31</v>
      </c>
      <c r="O112" s="37" t="s">
        <v>113</v>
      </c>
      <c r="P112" s="37">
        <v>31.3255071523879</v>
      </c>
      <c r="Q112" s="39">
        <v>7885914.4960492803</v>
      </c>
      <c r="R112" s="44">
        <v>1.18276717709843</v>
      </c>
      <c r="U112" s="37" t="s">
        <v>31</v>
      </c>
      <c r="V112" s="37">
        <v>702.05414791910096</v>
      </c>
      <c r="W112" s="39">
        <v>1847806.51732307</v>
      </c>
      <c r="X112" s="69">
        <v>2006</v>
      </c>
      <c r="Y112" s="37" t="s">
        <v>171</v>
      </c>
      <c r="Z112" s="42">
        <v>0.31598628723036298</v>
      </c>
      <c r="AB112" s="37" t="s">
        <v>31</v>
      </c>
      <c r="AC112" s="37">
        <v>1568.97230222651</v>
      </c>
      <c r="AD112" s="39">
        <v>10195182.019867901</v>
      </c>
      <c r="AE112" s="69">
        <v>2003</v>
      </c>
      <c r="AF112" s="37" t="s">
        <v>173</v>
      </c>
      <c r="AG112" s="42">
        <v>0.141377941279449</v>
      </c>
      <c r="AI112" s="29">
        <v>31</v>
      </c>
      <c r="AJ112" s="29" t="s">
        <v>31</v>
      </c>
      <c r="AK112" s="29">
        <v>1117.4977354134001</v>
      </c>
      <c r="AL112" s="29">
        <v>17879963.7666144</v>
      </c>
      <c r="AM112" s="29">
        <v>2003</v>
      </c>
      <c r="AN112" s="29" t="s">
        <v>173</v>
      </c>
      <c r="AO112" s="37">
        <v>1.2289436619718299</v>
      </c>
      <c r="AR112" s="37" t="s">
        <v>31</v>
      </c>
      <c r="AS112" s="37">
        <v>31.3255071523879</v>
      </c>
      <c r="AT112" s="39">
        <v>4094870.29496015</v>
      </c>
      <c r="AU112" s="69">
        <v>2005</v>
      </c>
      <c r="AV112" s="37" t="s">
        <v>171</v>
      </c>
      <c r="AW112" s="37">
        <v>0.87857063584477402</v>
      </c>
    </row>
    <row r="113" spans="1:49">
      <c r="A113" s="29" t="s">
        <v>31</v>
      </c>
      <c r="B113" s="29" t="s">
        <v>110</v>
      </c>
      <c r="C113" s="37">
        <v>1568.97230222651</v>
      </c>
      <c r="D113" s="37">
        <v>3137944.60445303</v>
      </c>
      <c r="E113" s="43">
        <v>2.0874999999999999</v>
      </c>
      <c r="G113" s="37" t="s">
        <v>31</v>
      </c>
      <c r="H113" s="37" t="s">
        <v>111</v>
      </c>
      <c r="I113" s="37">
        <v>158.30188448215799</v>
      </c>
      <c r="J113" s="39">
        <v>6332075.3792863302</v>
      </c>
      <c r="K113" s="37">
        <v>1.2175069064539601</v>
      </c>
      <c r="N113" s="37" t="s">
        <v>31</v>
      </c>
      <c r="O113" s="37" t="s">
        <v>112</v>
      </c>
      <c r="P113" s="37">
        <v>158.30188448215799</v>
      </c>
      <c r="Q113" s="39">
        <v>18587807.275895</v>
      </c>
      <c r="R113" s="44">
        <v>1.2209248850281</v>
      </c>
      <c r="U113" s="37" t="s">
        <v>31</v>
      </c>
      <c r="V113" s="37">
        <v>702.05414791910096</v>
      </c>
      <c r="W113" s="39">
        <v>5932357.5499163996</v>
      </c>
      <c r="X113" s="69">
        <v>2006</v>
      </c>
      <c r="Y113" s="37" t="s">
        <v>171</v>
      </c>
      <c r="Z113" s="42">
        <v>0.37597633136094699</v>
      </c>
      <c r="AB113" s="37" t="s">
        <v>31</v>
      </c>
      <c r="AC113" s="37">
        <v>158.30188448215799</v>
      </c>
      <c r="AD113" s="39">
        <v>6012305.5726323696</v>
      </c>
      <c r="AE113" s="69">
        <v>1909</v>
      </c>
      <c r="AF113" s="37" t="s">
        <v>172</v>
      </c>
      <c r="AG113" s="42">
        <v>2.1063717746182199E-3</v>
      </c>
      <c r="AI113" s="29">
        <v>32</v>
      </c>
      <c r="AJ113" s="29" t="s">
        <v>31</v>
      </c>
      <c r="AK113" s="29">
        <v>158.30188448215799</v>
      </c>
      <c r="AL113" s="29">
        <v>18587807.275895</v>
      </c>
      <c r="AM113" s="29">
        <v>1984</v>
      </c>
      <c r="AN113" s="29" t="s">
        <v>173</v>
      </c>
      <c r="AO113" s="37">
        <v>1.2209248850281</v>
      </c>
      <c r="AR113" s="37" t="s">
        <v>31</v>
      </c>
      <c r="AS113" s="37">
        <v>31.3255071523879</v>
      </c>
      <c r="AT113" s="39">
        <v>3223081.4309091899</v>
      </c>
      <c r="AU113" s="69">
        <v>2006</v>
      </c>
      <c r="AV113" s="37" t="s">
        <v>171</v>
      </c>
      <c r="AW113" s="37">
        <v>0.86502276335360495</v>
      </c>
    </row>
    <row r="114" spans="1:49">
      <c r="A114" s="29" t="s">
        <v>31</v>
      </c>
      <c r="B114" s="29" t="s">
        <v>110</v>
      </c>
      <c r="C114" s="37">
        <v>1117.4977354134001</v>
      </c>
      <c r="D114" s="37">
        <v>4962807.4429708999</v>
      </c>
      <c r="E114" s="43">
        <v>2.1242121027874599</v>
      </c>
      <c r="G114" s="37" t="s">
        <v>31</v>
      </c>
      <c r="H114" s="37" t="s">
        <v>114</v>
      </c>
      <c r="I114" s="37">
        <v>1117.4977354134001</v>
      </c>
      <c r="J114" s="39">
        <v>17879963.7666144</v>
      </c>
      <c r="K114" s="37">
        <v>1.2289436619718299</v>
      </c>
      <c r="N114" s="37" t="s">
        <v>31</v>
      </c>
      <c r="O114" s="37" t="s">
        <v>112</v>
      </c>
      <c r="P114" s="37">
        <v>158.30188448215799</v>
      </c>
      <c r="Q114" s="39">
        <v>9806801.7436697092</v>
      </c>
      <c r="R114" s="44">
        <v>1.2462091260727299</v>
      </c>
      <c r="U114" s="37" t="s">
        <v>31</v>
      </c>
      <c r="V114" s="37">
        <v>120.860604585971</v>
      </c>
      <c r="W114" s="39">
        <v>23688678.498850301</v>
      </c>
      <c r="X114" s="69">
        <v>2004</v>
      </c>
      <c r="Y114" s="37" t="s">
        <v>171</v>
      </c>
      <c r="Z114" s="42">
        <v>1.20625E-2</v>
      </c>
      <c r="AB114" s="37" t="s">
        <v>31</v>
      </c>
      <c r="AC114" s="37">
        <v>111.913803540171</v>
      </c>
      <c r="AD114" s="39">
        <v>2245774.2956406199</v>
      </c>
      <c r="AE114" s="69">
        <v>1977</v>
      </c>
      <c r="AF114" s="37" t="s">
        <v>172</v>
      </c>
      <c r="AG114" s="42">
        <v>0.45494866539308798</v>
      </c>
      <c r="AI114" s="29">
        <v>33</v>
      </c>
      <c r="AJ114" s="29" t="s">
        <v>31</v>
      </c>
      <c r="AK114" s="29">
        <v>158.30188448215799</v>
      </c>
      <c r="AL114" s="29">
        <v>6332075.3792863302</v>
      </c>
      <c r="AM114" s="29">
        <v>1984</v>
      </c>
      <c r="AN114" s="29" t="s">
        <v>173</v>
      </c>
      <c r="AO114" s="37">
        <v>1.2175069064539601</v>
      </c>
      <c r="AR114" s="37" t="s">
        <v>31</v>
      </c>
      <c r="AS114" s="37">
        <v>31.3255071523879</v>
      </c>
      <c r="AT114" s="39">
        <v>6586219.20429671</v>
      </c>
      <c r="AU114" s="69">
        <v>2005</v>
      </c>
      <c r="AV114" s="37" t="s">
        <v>171</v>
      </c>
      <c r="AW114" s="37">
        <v>0.84252941870265197</v>
      </c>
    </row>
    <row r="115" spans="1:49">
      <c r="G115" s="37" t="s">
        <v>31</v>
      </c>
      <c r="H115" s="37" t="s">
        <v>111</v>
      </c>
      <c r="I115" s="37">
        <v>120.860604585971</v>
      </c>
      <c r="J115" s="39">
        <v>2903796.8857825301</v>
      </c>
      <c r="K115" s="37">
        <v>1.2313743444601699</v>
      </c>
      <c r="N115" s="37" t="s">
        <v>31</v>
      </c>
      <c r="O115" s="37" t="s">
        <v>113</v>
      </c>
      <c r="P115" s="37">
        <v>22.786347018073499</v>
      </c>
      <c r="Q115" s="39">
        <v>17946526.911434699</v>
      </c>
      <c r="R115" s="44">
        <v>1.52952638076022</v>
      </c>
      <c r="U115" s="37" t="s">
        <v>31</v>
      </c>
      <c r="V115" s="37">
        <v>702.05414791910096</v>
      </c>
      <c r="W115" s="39">
        <v>857910.16875714099</v>
      </c>
      <c r="X115" s="69">
        <v>2006</v>
      </c>
      <c r="Y115" s="37" t="s">
        <v>171</v>
      </c>
      <c r="Z115" s="42">
        <v>5.0736497545008197E-2</v>
      </c>
      <c r="AB115" s="37" t="s">
        <v>31</v>
      </c>
      <c r="AC115" s="37">
        <v>111.913803540171</v>
      </c>
      <c r="AD115" s="39">
        <v>2350189.8743436001</v>
      </c>
      <c r="AE115" s="69">
        <v>1970</v>
      </c>
      <c r="AF115" s="37" t="s">
        <v>172</v>
      </c>
      <c r="AG115" s="42">
        <v>9.2095238095238105E-2</v>
      </c>
      <c r="AI115" s="29">
        <v>34</v>
      </c>
      <c r="AJ115" s="29" t="s">
        <v>31</v>
      </c>
      <c r="AK115" s="29">
        <v>1117.4977354134001</v>
      </c>
      <c r="AL115" s="29">
        <v>4062104.2682277001</v>
      </c>
      <c r="AM115" s="29">
        <v>1994</v>
      </c>
      <c r="AN115" s="29" t="s">
        <v>173</v>
      </c>
      <c r="AO115" s="37">
        <v>1.20715268225585</v>
      </c>
      <c r="AR115" s="37" t="s">
        <v>31</v>
      </c>
      <c r="AS115" s="37">
        <v>702.05414791910096</v>
      </c>
      <c r="AT115" s="39">
        <v>10530812.2187865</v>
      </c>
      <c r="AU115" s="69">
        <v>2007</v>
      </c>
      <c r="AV115" s="37" t="s">
        <v>171</v>
      </c>
      <c r="AW115" s="37">
        <v>0.84133333333333304</v>
      </c>
    </row>
    <row r="116" spans="1:49">
      <c r="G116" s="37" t="s">
        <v>31</v>
      </c>
      <c r="H116" s="37" t="s">
        <v>111</v>
      </c>
      <c r="I116" s="37">
        <v>158.30188448215799</v>
      </c>
      <c r="J116" s="39">
        <v>3541213.1558658802</v>
      </c>
      <c r="K116" s="37">
        <v>1.2701123922219799</v>
      </c>
      <c r="U116" s="37" t="s">
        <v>31</v>
      </c>
      <c r="V116" s="37">
        <v>702.05414791910096</v>
      </c>
      <c r="W116" s="39">
        <v>13386768.4925214</v>
      </c>
      <c r="X116" s="69">
        <v>2008</v>
      </c>
      <c r="Y116" s="37" t="s">
        <v>171</v>
      </c>
      <c r="Z116" s="42">
        <v>0.15897195694423</v>
      </c>
      <c r="AB116" s="37" t="s">
        <v>31</v>
      </c>
      <c r="AC116" s="37">
        <v>1568.97230222651</v>
      </c>
      <c r="AD116" s="39">
        <v>2516631.5727713299</v>
      </c>
      <c r="AE116" s="69">
        <v>1973</v>
      </c>
      <c r="AF116" s="37" t="s">
        <v>172</v>
      </c>
      <c r="AG116" s="42">
        <v>0.40087281795511198</v>
      </c>
      <c r="AI116" s="29">
        <v>35</v>
      </c>
      <c r="AJ116" s="29" t="s">
        <v>31</v>
      </c>
      <c r="AK116" s="29">
        <v>1568.97230222651</v>
      </c>
      <c r="AL116" s="29">
        <v>16420864.115102701</v>
      </c>
      <c r="AM116" s="29">
        <v>1997</v>
      </c>
      <c r="AN116" s="29" t="s">
        <v>173</v>
      </c>
      <c r="AO116" s="37">
        <v>1.1977605228088899</v>
      </c>
      <c r="AR116" s="37" t="s">
        <v>31</v>
      </c>
      <c r="AS116" s="37">
        <v>120.860604585971</v>
      </c>
      <c r="AT116" s="39">
        <v>4898117.7220556298</v>
      </c>
      <c r="AU116" s="69">
        <v>2009</v>
      </c>
      <c r="AV116" s="37" t="s">
        <v>171</v>
      </c>
      <c r="AW116" s="37">
        <v>0.833324199642407</v>
      </c>
    </row>
    <row r="117" spans="1:49">
      <c r="G117" s="37" t="s">
        <v>31</v>
      </c>
      <c r="H117" s="37" t="s">
        <v>114</v>
      </c>
      <c r="I117" s="37">
        <v>702.05414791910096</v>
      </c>
      <c r="J117" s="39">
        <v>5584138.6925485302</v>
      </c>
      <c r="K117" s="37">
        <v>1.3239982516948099</v>
      </c>
      <c r="R117" s="42">
        <f>SUMPRODUCT(R82:R115,Q82:Q115/SUM(Q82:Q115))</f>
        <v>0.85812525748067159</v>
      </c>
      <c r="U117" s="37" t="s">
        <v>31</v>
      </c>
      <c r="V117" s="37">
        <v>702.05414791910096</v>
      </c>
      <c r="W117" s="39">
        <v>5584138.6925485302</v>
      </c>
      <c r="X117" s="69">
        <v>2006</v>
      </c>
      <c r="Y117" s="37" t="s">
        <v>171</v>
      </c>
      <c r="Z117" s="42">
        <v>0.130223915720521</v>
      </c>
      <c r="AB117" s="37" t="s">
        <v>31</v>
      </c>
      <c r="AC117" s="37">
        <v>1568.97230222651</v>
      </c>
      <c r="AD117" s="39">
        <v>11980672.499801699</v>
      </c>
      <c r="AE117" s="69">
        <v>1967</v>
      </c>
      <c r="AF117" s="37" t="s">
        <v>172</v>
      </c>
      <c r="AG117" s="42" t="s">
        <v>174</v>
      </c>
      <c r="AI117" s="29">
        <v>36</v>
      </c>
      <c r="AJ117" s="29" t="s">
        <v>31</v>
      </c>
      <c r="AK117" s="29">
        <v>111.913803540171</v>
      </c>
      <c r="AL117" s="29">
        <v>2574017.48142394</v>
      </c>
      <c r="AM117" s="29">
        <v>1999</v>
      </c>
      <c r="AN117" s="29" t="s">
        <v>173</v>
      </c>
      <c r="AO117" s="37">
        <v>1.1905808865048</v>
      </c>
      <c r="AR117" s="37" t="s">
        <v>31</v>
      </c>
      <c r="AS117" s="37">
        <v>702.05414791910096</v>
      </c>
      <c r="AT117" s="39">
        <v>3836725.9183778898</v>
      </c>
      <c r="AU117" s="69">
        <v>2005</v>
      </c>
      <c r="AV117" s="37" t="s">
        <v>171</v>
      </c>
      <c r="AW117" s="37">
        <v>0.81599898682877403</v>
      </c>
    </row>
    <row r="118" spans="1:49">
      <c r="G118" s="37" t="s">
        <v>31</v>
      </c>
      <c r="H118" s="37" t="s">
        <v>111</v>
      </c>
      <c r="I118" s="37">
        <v>120.860604585971</v>
      </c>
      <c r="J118" s="39">
        <v>4485137.0361853698</v>
      </c>
      <c r="K118" s="37">
        <v>1.3248015616800699</v>
      </c>
      <c r="U118" s="37" t="s">
        <v>31</v>
      </c>
      <c r="V118" s="37">
        <v>702.05414791910096</v>
      </c>
      <c r="W118" s="39">
        <v>5669087.2444467396</v>
      </c>
      <c r="X118" s="69">
        <v>2004</v>
      </c>
      <c r="Y118" s="37" t="s">
        <v>171</v>
      </c>
      <c r="Z118" s="42">
        <v>0.73126934984520098</v>
      </c>
      <c r="AB118" s="37" t="s">
        <v>31</v>
      </c>
      <c r="AC118" s="37">
        <v>1117.4977354134001</v>
      </c>
      <c r="AD118" s="39">
        <v>1480684.49942275</v>
      </c>
      <c r="AE118" s="69">
        <v>1953</v>
      </c>
      <c r="AF118" s="37" t="s">
        <v>172</v>
      </c>
      <c r="AG118" s="42">
        <v>0.19879862132100701</v>
      </c>
      <c r="AI118" s="29">
        <v>37</v>
      </c>
      <c r="AJ118" s="29" t="s">
        <v>31</v>
      </c>
      <c r="AK118" s="29">
        <v>111.913803540171</v>
      </c>
      <c r="AL118" s="29">
        <v>2350189.8743436001</v>
      </c>
      <c r="AM118" s="29">
        <v>1970</v>
      </c>
      <c r="AN118" s="29" t="s">
        <v>172</v>
      </c>
      <c r="AO118" s="37">
        <v>1.1750274084124801</v>
      </c>
      <c r="AR118" s="37" t="s">
        <v>31</v>
      </c>
      <c r="AS118" s="37">
        <v>31.3255071523879</v>
      </c>
      <c r="AT118" s="39">
        <v>7906777.2838127697</v>
      </c>
      <c r="AU118" s="69">
        <v>2008</v>
      </c>
      <c r="AV118" s="37" t="s">
        <v>171</v>
      </c>
      <c r="AW118" s="37">
        <v>0.81253128149162002</v>
      </c>
    </row>
    <row r="119" spans="1:49">
      <c r="G119" s="37" t="s">
        <v>31</v>
      </c>
      <c r="H119" s="37" t="s">
        <v>114</v>
      </c>
      <c r="I119" s="37">
        <v>1568.97230222651</v>
      </c>
      <c r="J119" s="39">
        <v>10195182.019867901</v>
      </c>
      <c r="K119" s="37">
        <v>1.3423789466790901</v>
      </c>
      <c r="U119" s="37" t="s">
        <v>31</v>
      </c>
      <c r="V119" s="37">
        <v>702.05414791910096</v>
      </c>
      <c r="W119" s="39">
        <v>7582184.7975262897</v>
      </c>
      <c r="X119" s="69">
        <v>2008</v>
      </c>
      <c r="Y119" s="37" t="s">
        <v>171</v>
      </c>
      <c r="Z119" s="42">
        <v>0.22064814814814801</v>
      </c>
      <c r="AB119" s="37" t="s">
        <v>31</v>
      </c>
      <c r="AC119" s="37">
        <v>111.913803540171</v>
      </c>
      <c r="AD119" s="39">
        <v>2851004.1451858599</v>
      </c>
      <c r="AE119" s="69">
        <v>1910</v>
      </c>
      <c r="AF119" s="37" t="s">
        <v>172</v>
      </c>
      <c r="AG119" s="42">
        <v>4.99628154825036E-2</v>
      </c>
      <c r="AI119" s="29">
        <v>38</v>
      </c>
      <c r="AJ119" s="29" t="s">
        <v>31</v>
      </c>
      <c r="AK119" s="29">
        <v>22.786347018073499</v>
      </c>
      <c r="AL119" s="29">
        <v>4897378.41920646</v>
      </c>
      <c r="AM119" s="29">
        <v>1969</v>
      </c>
      <c r="AN119" s="29" t="s">
        <v>172</v>
      </c>
      <c r="AO119" s="37">
        <v>1.1725070440222201</v>
      </c>
      <c r="AR119" s="37" t="s">
        <v>31</v>
      </c>
      <c r="AS119" s="37">
        <v>31.3255071523879</v>
      </c>
      <c r="AT119" s="39">
        <v>10793234.8148624</v>
      </c>
      <c r="AU119" s="69">
        <v>2009</v>
      </c>
      <c r="AV119" s="37" t="s">
        <v>171</v>
      </c>
      <c r="AW119" s="37">
        <v>0.80077623922922403</v>
      </c>
    </row>
    <row r="120" spans="1:49">
      <c r="G120" s="37" t="s">
        <v>31</v>
      </c>
      <c r="H120" s="37" t="s">
        <v>111</v>
      </c>
      <c r="I120" s="37">
        <v>111.913803540171</v>
      </c>
      <c r="J120" s="39">
        <v>2245774.2956406199</v>
      </c>
      <c r="K120" s="45">
        <v>1.38979132915881</v>
      </c>
      <c r="U120" s="37" t="s">
        <v>31</v>
      </c>
      <c r="V120" s="37">
        <v>120.860604585971</v>
      </c>
      <c r="W120" s="39">
        <v>7998554.8114995398</v>
      </c>
      <c r="X120" s="69">
        <v>2008</v>
      </c>
      <c r="Y120" s="37" t="s">
        <v>171</v>
      </c>
      <c r="Z120" s="42">
        <v>5.3945948279583801E-2</v>
      </c>
      <c r="AB120" s="37" t="s">
        <v>31</v>
      </c>
      <c r="AC120" s="37">
        <v>1117.4977354134001</v>
      </c>
      <c r="AD120" s="39">
        <v>4962807.4429708999</v>
      </c>
      <c r="AE120" s="69">
        <v>1982</v>
      </c>
      <c r="AF120" s="37" t="s">
        <v>173</v>
      </c>
      <c r="AG120" s="42">
        <v>0.43548750281468102</v>
      </c>
      <c r="AI120" s="29">
        <v>39</v>
      </c>
      <c r="AJ120" s="29" t="s">
        <v>31</v>
      </c>
      <c r="AK120" s="29">
        <v>22.786347018073499</v>
      </c>
      <c r="AL120" s="29">
        <v>8658811.8668679297</v>
      </c>
      <c r="AM120" s="29">
        <v>1973</v>
      </c>
      <c r="AN120" s="29" t="s">
        <v>172</v>
      </c>
      <c r="AO120" s="37">
        <v>1.1130539236474799</v>
      </c>
      <c r="AR120" s="37" t="s">
        <v>31</v>
      </c>
      <c r="AS120" s="37">
        <v>31.3255071523879</v>
      </c>
      <c r="AT120" s="39">
        <v>14424362.301938601</v>
      </c>
      <c r="AU120" s="69">
        <v>2011</v>
      </c>
      <c r="AV120" s="37" t="s">
        <v>171</v>
      </c>
      <c r="AW120" s="37">
        <v>0.77024317301583101</v>
      </c>
    </row>
    <row r="121" spans="1:49">
      <c r="G121" s="37" t="s">
        <v>31</v>
      </c>
      <c r="H121" s="37" t="s">
        <v>111</v>
      </c>
      <c r="I121" s="37">
        <v>111.913803540171</v>
      </c>
      <c r="J121" s="39">
        <v>2351197.0985754598</v>
      </c>
      <c r="K121" s="45">
        <v>1.4120322006919199</v>
      </c>
      <c r="U121" s="37" t="s">
        <v>31</v>
      </c>
      <c r="V121" s="37">
        <v>120.860604585971</v>
      </c>
      <c r="W121" s="39">
        <v>4898117.7220556298</v>
      </c>
      <c r="X121" s="69">
        <v>2009</v>
      </c>
      <c r="Y121" s="37" t="s">
        <v>171</v>
      </c>
      <c r="Z121" s="42">
        <v>2.84441989713142E-2</v>
      </c>
      <c r="AB121" s="37" t="s">
        <v>31</v>
      </c>
      <c r="AC121" s="37">
        <v>1117.4977354134001</v>
      </c>
      <c r="AD121" s="39">
        <v>1408047.1466208801</v>
      </c>
      <c r="AE121" s="69">
        <v>1967</v>
      </c>
      <c r="AF121" s="37" t="s">
        <v>172</v>
      </c>
      <c r="AG121" s="42">
        <v>0.26507936507936503</v>
      </c>
      <c r="AI121" s="29">
        <v>40</v>
      </c>
      <c r="AJ121" s="29" t="s">
        <v>31</v>
      </c>
      <c r="AK121" s="29">
        <v>158.30188448215799</v>
      </c>
      <c r="AL121" s="29">
        <v>4963397.2860535895</v>
      </c>
      <c r="AM121" s="29">
        <v>1994</v>
      </c>
      <c r="AN121" s="29" t="s">
        <v>173</v>
      </c>
      <c r="AO121" s="37">
        <v>1.1024764780833001</v>
      </c>
      <c r="AR121" s="37" t="s">
        <v>31</v>
      </c>
      <c r="AS121" s="37">
        <v>702.05414791910096</v>
      </c>
      <c r="AT121" s="39">
        <v>13386768.4925214</v>
      </c>
      <c r="AU121" s="69">
        <v>2008</v>
      </c>
      <c r="AV121" s="37" t="s">
        <v>171</v>
      </c>
      <c r="AW121" s="37">
        <v>0.74289810097180697</v>
      </c>
    </row>
    <row r="122" spans="1:49">
      <c r="G122" s="37" t="s">
        <v>31</v>
      </c>
      <c r="H122" s="37" t="s">
        <v>114</v>
      </c>
      <c r="I122" s="37">
        <v>702.05414791910096</v>
      </c>
      <c r="J122" s="39">
        <v>4248831.7032064004</v>
      </c>
      <c r="K122" s="45">
        <v>1.4531345819681101</v>
      </c>
      <c r="U122" s="37" t="s">
        <v>31</v>
      </c>
      <c r="V122" s="37">
        <v>31.3255071523879</v>
      </c>
      <c r="W122" s="39">
        <v>5588470.4759860002</v>
      </c>
      <c r="X122" s="69">
        <v>2008</v>
      </c>
      <c r="Y122" s="37" t="s">
        <v>171</v>
      </c>
      <c r="Z122" s="42">
        <v>0.28648542600896898</v>
      </c>
      <c r="AB122" s="37" t="s">
        <v>31</v>
      </c>
      <c r="AC122" s="37">
        <v>1117.4977354134001</v>
      </c>
      <c r="AD122" s="39">
        <v>3486592.9344898001</v>
      </c>
      <c r="AE122" s="69">
        <v>1911</v>
      </c>
      <c r="AF122" s="37" t="s">
        <v>172</v>
      </c>
      <c r="AG122" s="42">
        <v>0.144230769230769</v>
      </c>
      <c r="AI122" s="29">
        <v>41</v>
      </c>
      <c r="AJ122" s="29" t="s">
        <v>31</v>
      </c>
      <c r="AK122" s="29">
        <v>22.786347018073499</v>
      </c>
      <c r="AL122" s="29">
        <v>7000148.0947283199</v>
      </c>
      <c r="AM122" s="29">
        <v>1991</v>
      </c>
      <c r="AN122" s="29" t="s">
        <v>173</v>
      </c>
      <c r="AO122" s="37">
        <v>1.09140121668635</v>
      </c>
      <c r="AR122" s="37" t="s">
        <v>31</v>
      </c>
      <c r="AS122" s="37">
        <v>31.3255071523879</v>
      </c>
      <c r="AT122" s="39">
        <v>5588470.4759860002</v>
      </c>
      <c r="AU122" s="69">
        <v>2008</v>
      </c>
      <c r="AV122" s="37" t="s">
        <v>171</v>
      </c>
      <c r="AW122" s="37">
        <v>0.72686881672571801</v>
      </c>
    </row>
    <row r="123" spans="1:49">
      <c r="G123" s="37" t="s">
        <v>31</v>
      </c>
      <c r="H123" s="37" t="s">
        <v>111</v>
      </c>
      <c r="I123" s="37">
        <v>111.913803540171</v>
      </c>
      <c r="J123" s="39">
        <v>2566071.6013725898</v>
      </c>
      <c r="K123" s="45">
        <v>1.4536781426806</v>
      </c>
      <c r="U123" s="37" t="s">
        <v>31</v>
      </c>
      <c r="V123" s="37">
        <v>31.3255071523879</v>
      </c>
      <c r="W123" s="39">
        <v>7906777.2838127697</v>
      </c>
      <c r="X123" s="69">
        <v>2008</v>
      </c>
      <c r="Y123" s="37" t="s">
        <v>171</v>
      </c>
      <c r="Z123" s="42">
        <v>0.18745114396558801</v>
      </c>
      <c r="AB123" s="37" t="s">
        <v>31</v>
      </c>
      <c r="AC123" s="37">
        <v>158.30188448215799</v>
      </c>
      <c r="AD123" s="39">
        <v>9046636.0943863895</v>
      </c>
      <c r="AE123" s="69">
        <v>1980</v>
      </c>
      <c r="AF123" s="37" t="s">
        <v>172</v>
      </c>
      <c r="AG123" s="42">
        <v>0.11232595226354899</v>
      </c>
      <c r="AI123" s="29">
        <v>42</v>
      </c>
      <c r="AJ123" s="29" t="s">
        <v>31</v>
      </c>
      <c r="AK123" s="29">
        <v>22.786347018073499</v>
      </c>
      <c r="AL123" s="29">
        <v>5012996.3439761698</v>
      </c>
      <c r="AM123" s="29">
        <v>1973</v>
      </c>
      <c r="AN123" s="29" t="s">
        <v>172</v>
      </c>
      <c r="AO123" s="37">
        <v>1.05779358296816</v>
      </c>
      <c r="AR123" s="37" t="s">
        <v>31</v>
      </c>
      <c r="AS123" s="37">
        <v>702.05414791910096</v>
      </c>
      <c r="AT123" s="39">
        <v>5616433.1833528103</v>
      </c>
      <c r="AU123" s="69">
        <v>2006</v>
      </c>
      <c r="AV123" s="37" t="s">
        <v>171</v>
      </c>
      <c r="AW123" s="37">
        <v>0.68074744494544404</v>
      </c>
    </row>
    <row r="124" spans="1:49">
      <c r="G124" s="37" t="s">
        <v>31</v>
      </c>
      <c r="H124" s="37" t="s">
        <v>114</v>
      </c>
      <c r="I124" s="37">
        <v>1568.97230222651</v>
      </c>
      <c r="J124" s="39">
        <v>16099224.793146299</v>
      </c>
      <c r="K124" s="45">
        <v>1.4547834934395301</v>
      </c>
      <c r="U124" s="37" t="s">
        <v>31</v>
      </c>
      <c r="V124" s="37">
        <v>31.3255071523879</v>
      </c>
      <c r="W124" s="39">
        <v>24413408.697184902</v>
      </c>
      <c r="X124" s="69">
        <v>2009</v>
      </c>
      <c r="Y124" s="37" t="s">
        <v>171</v>
      </c>
      <c r="Z124" s="42">
        <v>4.4166976734938499E-3</v>
      </c>
      <c r="AB124" s="37" t="s">
        <v>31</v>
      </c>
      <c r="AC124" s="37">
        <v>1117.4977354134001</v>
      </c>
      <c r="AD124" s="39">
        <v>5936147.9705159701</v>
      </c>
      <c r="AE124" s="69">
        <v>1976</v>
      </c>
      <c r="AF124" s="37" t="s">
        <v>172</v>
      </c>
      <c r="AG124" s="42">
        <v>0.22213855421686701</v>
      </c>
      <c r="AI124" s="29">
        <v>43</v>
      </c>
      <c r="AJ124" s="29" t="s">
        <v>31</v>
      </c>
      <c r="AK124" s="29">
        <v>158.30188448215799</v>
      </c>
      <c r="AL124" s="29">
        <v>6145437.4574818704</v>
      </c>
      <c r="AM124" s="29">
        <v>2002</v>
      </c>
      <c r="AN124" s="29" t="s">
        <v>173</v>
      </c>
      <c r="AO124" s="37">
        <v>1.04625817123233</v>
      </c>
      <c r="AR124" s="37" t="s">
        <v>31</v>
      </c>
      <c r="AS124" s="37">
        <v>120.860604585971</v>
      </c>
      <c r="AT124" s="39">
        <v>23688678.498850301</v>
      </c>
      <c r="AU124" s="69">
        <v>2004</v>
      </c>
      <c r="AV124" s="37" t="s">
        <v>171</v>
      </c>
      <c r="AW124" s="37">
        <v>0.63424346539461196</v>
      </c>
    </row>
    <row r="125" spans="1:49">
      <c r="G125" s="37" t="s">
        <v>31</v>
      </c>
      <c r="H125" s="37" t="s">
        <v>111</v>
      </c>
      <c r="I125" s="37">
        <v>111.913803540171</v>
      </c>
      <c r="J125" s="39">
        <v>2851004.1451858599</v>
      </c>
      <c r="K125" s="45">
        <v>1.4603421461897399</v>
      </c>
      <c r="U125" s="37" t="s">
        <v>31</v>
      </c>
      <c r="V125" s="37">
        <v>120.860604585971</v>
      </c>
      <c r="W125" s="39">
        <v>4841796.6803185698</v>
      </c>
      <c r="X125" s="69">
        <v>2008</v>
      </c>
      <c r="Y125" s="37" t="s">
        <v>171</v>
      </c>
      <c r="Z125" s="42">
        <v>3.4322657946631398E-2</v>
      </c>
      <c r="AB125" s="37" t="s">
        <v>31</v>
      </c>
      <c r="AC125" s="37">
        <v>1568.97230222651</v>
      </c>
      <c r="AD125" s="39">
        <v>6296285.8488349998</v>
      </c>
      <c r="AE125" s="69">
        <v>2000</v>
      </c>
      <c r="AF125" s="37" t="s">
        <v>173</v>
      </c>
      <c r="AG125" s="42">
        <v>0.246115110184182</v>
      </c>
      <c r="AI125" s="29">
        <v>44</v>
      </c>
      <c r="AJ125" s="29" t="s">
        <v>31</v>
      </c>
      <c r="AK125" s="29">
        <v>158.30188448215799</v>
      </c>
      <c r="AL125" s="29">
        <v>4817759.5523300096</v>
      </c>
      <c r="AM125" s="29">
        <v>1981</v>
      </c>
      <c r="AN125" s="29" t="s">
        <v>173</v>
      </c>
      <c r="AO125" s="37">
        <v>1.0378157820460701</v>
      </c>
      <c r="AR125" s="37" t="s">
        <v>31</v>
      </c>
      <c r="AS125" s="37">
        <v>120.860604585971</v>
      </c>
      <c r="AT125" s="39">
        <v>3315206.3837931799</v>
      </c>
      <c r="AU125" s="69">
        <v>2005</v>
      </c>
      <c r="AV125" s="37" t="s">
        <v>171</v>
      </c>
      <c r="AW125" s="37">
        <v>0.60164793349066403</v>
      </c>
    </row>
    <row r="126" spans="1:49">
      <c r="G126" s="37" t="s">
        <v>31</v>
      </c>
      <c r="H126" s="37" t="s">
        <v>114</v>
      </c>
      <c r="I126" s="37">
        <v>1117.4977354134001</v>
      </c>
      <c r="J126" s="39">
        <v>6146237.5447736904</v>
      </c>
      <c r="K126" s="45">
        <v>1.4698181818181799</v>
      </c>
      <c r="U126" s="37" t="s">
        <v>31</v>
      </c>
      <c r="V126" s="37">
        <v>31.3255071523879</v>
      </c>
      <c r="W126" s="39">
        <v>14424362.301938601</v>
      </c>
      <c r="X126" s="69">
        <v>2011</v>
      </c>
      <c r="Y126" s="37" t="s">
        <v>171</v>
      </c>
      <c r="Z126" s="42">
        <v>0</v>
      </c>
      <c r="AB126" s="37" t="s">
        <v>31</v>
      </c>
      <c r="AC126" s="37">
        <v>1117.4977354134001</v>
      </c>
      <c r="AD126" s="39">
        <v>5028739.8093602899</v>
      </c>
      <c r="AE126" s="69">
        <v>1985</v>
      </c>
      <c r="AF126" s="37" t="s">
        <v>173</v>
      </c>
      <c r="AG126" s="42">
        <v>0.06</v>
      </c>
      <c r="AI126" s="29">
        <v>45</v>
      </c>
      <c r="AJ126" s="29" t="s">
        <v>31</v>
      </c>
      <c r="AK126" s="29">
        <v>22.786347018073499</v>
      </c>
      <c r="AL126" s="29">
        <v>2739830.3654531599</v>
      </c>
      <c r="AM126" s="29">
        <v>1988</v>
      </c>
      <c r="AN126" s="29" t="s">
        <v>173</v>
      </c>
      <c r="AO126" s="37">
        <v>1.0329901187411801</v>
      </c>
      <c r="AR126" s="37" t="s">
        <v>31</v>
      </c>
      <c r="AS126" s="37">
        <v>120.860604585971</v>
      </c>
      <c r="AT126" s="39">
        <v>7998554.8114995398</v>
      </c>
      <c r="AU126" s="69">
        <v>2008</v>
      </c>
      <c r="AV126" s="37" t="s">
        <v>171</v>
      </c>
      <c r="AW126" s="37">
        <v>0.59849899546974095</v>
      </c>
    </row>
    <row r="127" spans="1:49">
      <c r="G127" s="37" t="s">
        <v>31</v>
      </c>
      <c r="H127" s="37" t="s">
        <v>111</v>
      </c>
      <c r="I127" s="37">
        <v>158.30188448215799</v>
      </c>
      <c r="J127" s="39">
        <v>9046636.0943863895</v>
      </c>
      <c r="K127" s="45">
        <v>1.5197946197181</v>
      </c>
      <c r="U127" s="37" t="s">
        <v>31</v>
      </c>
      <c r="V127" s="37">
        <v>120.860604585971</v>
      </c>
      <c r="W127" s="39">
        <v>13125461.6580364</v>
      </c>
      <c r="X127" s="69">
        <v>2012</v>
      </c>
      <c r="Y127" s="37" t="s">
        <v>171</v>
      </c>
      <c r="Z127" s="42">
        <v>2.3404255319148901E-2</v>
      </c>
      <c r="AB127" s="37" t="s">
        <v>31</v>
      </c>
      <c r="AC127" s="37">
        <v>1117.4977354134001</v>
      </c>
      <c r="AD127" s="39">
        <v>2142243.1587874801</v>
      </c>
      <c r="AE127" s="69">
        <v>1895</v>
      </c>
      <c r="AF127" s="37" t="s">
        <v>172</v>
      </c>
      <c r="AG127" s="42">
        <v>0.140845070422535</v>
      </c>
      <c r="AI127" s="29">
        <v>46</v>
      </c>
      <c r="AJ127" s="29" t="s">
        <v>31</v>
      </c>
      <c r="AK127" s="29">
        <v>1568.97230222651</v>
      </c>
      <c r="AL127" s="29">
        <v>11980672.499801699</v>
      </c>
      <c r="AM127" s="29">
        <v>1967</v>
      </c>
      <c r="AN127" s="29" t="s">
        <v>172</v>
      </c>
      <c r="AO127" s="37">
        <v>1.01113148245155</v>
      </c>
      <c r="AR127" s="37" t="s">
        <v>31</v>
      </c>
      <c r="AS127" s="37">
        <v>31.3255071523879</v>
      </c>
      <c r="AT127" s="39">
        <v>24413408.697184902</v>
      </c>
      <c r="AU127" s="69">
        <v>2009</v>
      </c>
      <c r="AV127" s="37" t="s">
        <v>171</v>
      </c>
      <c r="AW127" s="37">
        <v>0.546912384885897</v>
      </c>
    </row>
    <row r="128" spans="1:49">
      <c r="G128" s="37" t="s">
        <v>31</v>
      </c>
      <c r="H128" s="37" t="s">
        <v>111</v>
      </c>
      <c r="I128" s="37">
        <v>111.913803540171</v>
      </c>
      <c r="J128" s="39">
        <v>3922131.15886884</v>
      </c>
      <c r="K128" s="45">
        <v>1.73779715864728</v>
      </c>
      <c r="U128" s="37" t="s">
        <v>31</v>
      </c>
      <c r="V128" s="37">
        <v>120.860604585971</v>
      </c>
      <c r="W128" s="39">
        <v>3315206.3837931799</v>
      </c>
      <c r="X128" s="69">
        <v>2005</v>
      </c>
      <c r="Y128" s="37" t="s">
        <v>171</v>
      </c>
      <c r="Z128" s="42">
        <v>6.2194677360554097E-2</v>
      </c>
      <c r="AB128" s="37" t="s">
        <v>31</v>
      </c>
      <c r="AC128" s="37">
        <v>1568.97230222651</v>
      </c>
      <c r="AD128" s="39">
        <v>2628028.60622941</v>
      </c>
      <c r="AE128" s="69">
        <v>1956</v>
      </c>
      <c r="AF128" s="37" t="s">
        <v>172</v>
      </c>
      <c r="AG128" s="42">
        <v>0.92179104477611895</v>
      </c>
      <c r="AI128" s="29">
        <v>47</v>
      </c>
      <c r="AJ128" s="29" t="s">
        <v>31</v>
      </c>
      <c r="AK128" s="29">
        <v>158.30188448215799</v>
      </c>
      <c r="AL128" s="29">
        <v>4305811.2579147099</v>
      </c>
      <c r="AM128" s="29">
        <v>1998</v>
      </c>
      <c r="AN128" s="29" t="s">
        <v>173</v>
      </c>
      <c r="AO128" s="37">
        <v>1.0069581945985899</v>
      </c>
      <c r="AR128" s="37" t="s">
        <v>31</v>
      </c>
      <c r="AS128" s="37">
        <v>120.860604585971</v>
      </c>
      <c r="AT128" s="39">
        <v>9454320.7937375605</v>
      </c>
      <c r="AU128" s="69">
        <v>2011</v>
      </c>
      <c r="AV128" s="37" t="s">
        <v>171</v>
      </c>
      <c r="AW128" s="37">
        <v>0.50658996484499796</v>
      </c>
    </row>
    <row r="129" spans="7:50">
      <c r="G129" s="37" t="s">
        <v>31</v>
      </c>
      <c r="H129" s="37" t="s">
        <v>111</v>
      </c>
      <c r="I129" s="37">
        <v>111.913803540171</v>
      </c>
      <c r="J129" s="39">
        <v>4719069.3538784003</v>
      </c>
      <c r="K129" s="45">
        <v>1.7691011796860601</v>
      </c>
      <c r="AB129" s="37" t="s">
        <v>31</v>
      </c>
      <c r="AC129" s="37">
        <v>22.786347018073499</v>
      </c>
      <c r="AD129" s="39">
        <v>9336591.7589205299</v>
      </c>
      <c r="AE129" s="69">
        <v>1991</v>
      </c>
      <c r="AF129" s="37" t="s">
        <v>173</v>
      </c>
      <c r="AG129" s="42">
        <v>8.4286516734842595E-2</v>
      </c>
      <c r="AI129" s="29">
        <v>48</v>
      </c>
      <c r="AJ129" s="29" t="s">
        <v>31</v>
      </c>
      <c r="AK129" s="29">
        <v>111.913803540171</v>
      </c>
      <c r="AL129" s="29">
        <v>2659071.9721144699</v>
      </c>
      <c r="AM129" s="29">
        <v>1980</v>
      </c>
      <c r="AN129" s="29" t="s">
        <v>172</v>
      </c>
      <c r="AO129" s="37">
        <v>1.0030442905457799</v>
      </c>
    </row>
    <row r="130" spans="7:50">
      <c r="G130" s="37" t="s">
        <v>31</v>
      </c>
      <c r="H130" s="37" t="s">
        <v>111</v>
      </c>
      <c r="I130" s="37">
        <v>158.30188448215799</v>
      </c>
      <c r="J130" s="39">
        <v>3482641.4586074799</v>
      </c>
      <c r="K130" s="45">
        <v>1.82390109182392</v>
      </c>
      <c r="AB130" s="37" t="s">
        <v>31</v>
      </c>
      <c r="AC130" s="37">
        <v>158.30188448215799</v>
      </c>
      <c r="AD130" s="39">
        <v>6145437.4574818704</v>
      </c>
      <c r="AE130" s="69">
        <v>2002</v>
      </c>
      <c r="AF130" s="37" t="s">
        <v>173</v>
      </c>
      <c r="AG130" s="42">
        <v>0.89877406966611295</v>
      </c>
      <c r="AI130" s="29">
        <v>49</v>
      </c>
      <c r="AJ130" s="29" t="s">
        <v>31</v>
      </c>
      <c r="AK130" s="29">
        <v>158.30188448215799</v>
      </c>
      <c r="AL130" s="29">
        <v>8598166.8556484301</v>
      </c>
      <c r="AM130" s="29">
        <v>1981</v>
      </c>
      <c r="AN130" s="29" t="s">
        <v>173</v>
      </c>
      <c r="AO130" s="37">
        <v>0.93447620340209903</v>
      </c>
      <c r="AV130" s="35" t="s">
        <v>101</v>
      </c>
      <c r="AW130" s="42">
        <f>SUMPRODUCT(AW82:AW128,AT82:AT128)/SUM(AT82:AT128)</f>
        <v>0.90452174237354843</v>
      </c>
    </row>
    <row r="131" spans="7:50">
      <c r="G131" s="37" t="s">
        <v>31</v>
      </c>
      <c r="H131" s="37" t="s">
        <v>114</v>
      </c>
      <c r="I131" s="37">
        <v>1117.4977354134001</v>
      </c>
      <c r="J131" s="39">
        <v>5936147.9705159701</v>
      </c>
      <c r="K131" s="45">
        <v>1.95294021961756</v>
      </c>
      <c r="AB131" s="37" t="s">
        <v>31</v>
      </c>
      <c r="AC131" s="37">
        <v>158.30188448215799</v>
      </c>
      <c r="AD131" s="39">
        <v>13515814.8970867</v>
      </c>
      <c r="AE131" s="69">
        <v>1996</v>
      </c>
      <c r="AF131" s="37" t="s">
        <v>173</v>
      </c>
      <c r="AG131" s="42">
        <v>2.9410057168113801E-2</v>
      </c>
      <c r="AI131" s="29">
        <v>50</v>
      </c>
      <c r="AJ131" s="29" t="s">
        <v>31</v>
      </c>
      <c r="AK131" s="29">
        <v>111.913803540171</v>
      </c>
      <c r="AL131" s="29">
        <v>7554181.7389615597</v>
      </c>
      <c r="AM131" s="29">
        <v>1990</v>
      </c>
      <c r="AN131" s="29" t="s">
        <v>173</v>
      </c>
      <c r="AO131" s="37">
        <v>0.92727366515443199</v>
      </c>
      <c r="AV131" s="35" t="s">
        <v>175</v>
      </c>
      <c r="AW131" s="42">
        <f>MEDIAN(AW82:AW128)</f>
        <v>0.99647876571758898</v>
      </c>
      <c r="AX131" s="29" t="str">
        <f>AW80</f>
        <v>Post-2004</v>
      </c>
    </row>
    <row r="132" spans="7:50">
      <c r="AB132" s="37" t="s">
        <v>31</v>
      </c>
      <c r="AC132" s="37">
        <v>111.913803540171</v>
      </c>
      <c r="AD132" s="39">
        <v>2965715.7938145399</v>
      </c>
      <c r="AE132" s="69">
        <v>1914</v>
      </c>
      <c r="AF132" s="37" t="s">
        <v>172</v>
      </c>
      <c r="AG132" s="42">
        <v>1.4339622641509399E-2</v>
      </c>
      <c r="AI132" s="29">
        <v>51</v>
      </c>
      <c r="AJ132" s="29" t="s">
        <v>31</v>
      </c>
      <c r="AK132" s="29">
        <v>26.394908180552601</v>
      </c>
      <c r="AL132" s="29">
        <v>3513769.3617197</v>
      </c>
      <c r="AM132" s="29">
        <v>1976</v>
      </c>
      <c r="AN132" s="29" t="s">
        <v>172</v>
      </c>
      <c r="AO132" s="37">
        <v>0.92309425879976603</v>
      </c>
    </row>
    <row r="133" spans="7:50">
      <c r="K133" s="42">
        <f>SUMPRODUCT(K82:K131,J82:J131/SUM(J82:J131))</f>
        <v>1.1292088560642828</v>
      </c>
      <c r="AB133" s="37" t="s">
        <v>31</v>
      </c>
      <c r="AC133" s="37">
        <v>1117.4977354134001</v>
      </c>
      <c r="AD133" s="39">
        <v>1234834.9976317999</v>
      </c>
      <c r="AE133" s="69">
        <v>1973</v>
      </c>
      <c r="AF133" s="37" t="s">
        <v>172</v>
      </c>
      <c r="AG133" s="42">
        <v>0</v>
      </c>
      <c r="AI133" s="29">
        <v>52</v>
      </c>
      <c r="AJ133" s="29" t="s">
        <v>31</v>
      </c>
      <c r="AK133" s="29">
        <v>22.786347018073499</v>
      </c>
      <c r="AL133" s="29">
        <v>11826114.102380101</v>
      </c>
      <c r="AM133" s="29">
        <v>1986</v>
      </c>
      <c r="AN133" s="29" t="s">
        <v>173</v>
      </c>
      <c r="AO133" s="37">
        <v>0.89148571428571399</v>
      </c>
    </row>
    <row r="134" spans="7:50">
      <c r="AB134" s="37" t="s">
        <v>31</v>
      </c>
      <c r="AC134" s="37">
        <v>26.394908180552601</v>
      </c>
      <c r="AD134" s="39">
        <v>10827059.3611218</v>
      </c>
      <c r="AE134" s="69">
        <v>1993</v>
      </c>
      <c r="AF134" s="37" t="s">
        <v>173</v>
      </c>
      <c r="AG134" s="42">
        <v>2.2082194319603399E-2</v>
      </c>
      <c r="AI134" s="29">
        <v>53</v>
      </c>
      <c r="AJ134" s="29" t="s">
        <v>31</v>
      </c>
      <c r="AK134" s="29">
        <v>22.786347018073499</v>
      </c>
      <c r="AL134" s="29">
        <v>8052740.60888121</v>
      </c>
      <c r="AM134" s="29">
        <v>1992</v>
      </c>
      <c r="AN134" s="29" t="s">
        <v>173</v>
      </c>
      <c r="AO134" s="37">
        <v>0.87523962628980101</v>
      </c>
    </row>
    <row r="135" spans="7:50">
      <c r="AB135" s="37" t="s">
        <v>31</v>
      </c>
      <c r="AC135" s="37">
        <v>111.913803540171</v>
      </c>
      <c r="AD135" s="39">
        <v>2574017.48142394</v>
      </c>
      <c r="AE135" s="69">
        <v>1999</v>
      </c>
      <c r="AF135" s="37" t="s">
        <v>173</v>
      </c>
      <c r="AG135" s="42">
        <v>0.315263886156469</v>
      </c>
      <c r="AI135" s="29">
        <v>54</v>
      </c>
      <c r="AJ135" s="29" t="s">
        <v>31</v>
      </c>
      <c r="AK135" s="29">
        <v>1117.4977354134001</v>
      </c>
      <c r="AL135" s="29">
        <v>9386980.97747254</v>
      </c>
      <c r="AM135" s="29">
        <v>1928</v>
      </c>
      <c r="AN135" s="29" t="s">
        <v>172</v>
      </c>
      <c r="AO135" s="37">
        <v>0.86896417869176801</v>
      </c>
    </row>
    <row r="136" spans="7:50">
      <c r="AB136" s="37" t="s">
        <v>31</v>
      </c>
      <c r="AC136" s="37">
        <v>111.913803540171</v>
      </c>
      <c r="AD136" s="39">
        <v>2659071.9721144699</v>
      </c>
      <c r="AE136" s="69">
        <v>1980</v>
      </c>
      <c r="AF136" s="37" t="s">
        <v>172</v>
      </c>
      <c r="AG136" s="42">
        <v>0.14052775927775901</v>
      </c>
      <c r="AI136" s="29">
        <v>55</v>
      </c>
      <c r="AJ136" s="29" t="s">
        <v>31</v>
      </c>
      <c r="AK136" s="29">
        <v>1117.4977354134001</v>
      </c>
      <c r="AL136" s="29">
        <v>2544542.3435363099</v>
      </c>
      <c r="AM136" s="29">
        <v>1995</v>
      </c>
      <c r="AN136" s="29" t="s">
        <v>173</v>
      </c>
      <c r="AO136" s="37">
        <v>0.856894758909853</v>
      </c>
    </row>
    <row r="137" spans="7:50">
      <c r="AB137" s="37" t="s">
        <v>31</v>
      </c>
      <c r="AC137" s="37">
        <v>1568.97230222651</v>
      </c>
      <c r="AD137" s="39">
        <v>3137944.60445303</v>
      </c>
      <c r="AE137" s="69">
        <v>1989</v>
      </c>
      <c r="AF137" s="37" t="s">
        <v>173</v>
      </c>
      <c r="AG137" s="42">
        <v>3.2500000000000001E-2</v>
      </c>
      <c r="AI137" s="29">
        <v>56</v>
      </c>
      <c r="AJ137" s="29" t="s">
        <v>31</v>
      </c>
      <c r="AK137" s="29">
        <v>26.394908180552601</v>
      </c>
      <c r="AL137" s="29">
        <v>3139938.27715853</v>
      </c>
      <c r="AM137" s="29">
        <v>1929</v>
      </c>
      <c r="AN137" s="29" t="s">
        <v>172</v>
      </c>
      <c r="AO137" s="37">
        <v>0.83481043276108102</v>
      </c>
    </row>
    <row r="138" spans="7:50">
      <c r="AB138" s="37" t="s">
        <v>31</v>
      </c>
      <c r="AC138" s="37">
        <v>1117.4977354134001</v>
      </c>
      <c r="AD138" s="39">
        <v>2544542.3435363099</v>
      </c>
      <c r="AE138" s="69">
        <v>1995</v>
      </c>
      <c r="AF138" s="37" t="s">
        <v>173</v>
      </c>
      <c r="AG138" s="42">
        <v>0.14712340799297299</v>
      </c>
      <c r="AI138" s="29">
        <v>57</v>
      </c>
      <c r="AJ138" s="29" t="s">
        <v>31</v>
      </c>
      <c r="AK138" s="29">
        <v>1117.4977354134001</v>
      </c>
      <c r="AL138" s="29">
        <v>2142243.1587874801</v>
      </c>
      <c r="AM138" s="29">
        <v>1895</v>
      </c>
      <c r="AN138" s="29" t="s">
        <v>172</v>
      </c>
      <c r="AO138" s="37">
        <v>0.80878888720818798</v>
      </c>
    </row>
    <row r="139" spans="7:50">
      <c r="AB139" s="37" t="s">
        <v>31</v>
      </c>
      <c r="AC139" s="37">
        <v>111.913803540171</v>
      </c>
      <c r="AD139" s="39">
        <v>3922131.15886884</v>
      </c>
      <c r="AE139" s="69">
        <v>1976</v>
      </c>
      <c r="AF139" s="37" t="s">
        <v>172</v>
      </c>
      <c r="AG139" s="42">
        <v>7.7469611367916497E-2</v>
      </c>
      <c r="AI139" s="29">
        <v>58</v>
      </c>
      <c r="AJ139" s="29" t="s">
        <v>31</v>
      </c>
      <c r="AK139" s="29">
        <v>1568.97230222651</v>
      </c>
      <c r="AL139" s="29">
        <v>6296285.8488349998</v>
      </c>
      <c r="AM139" s="29">
        <v>2000</v>
      </c>
      <c r="AN139" s="29" t="s">
        <v>173</v>
      </c>
      <c r="AO139" s="37">
        <v>0.77755235755471896</v>
      </c>
    </row>
    <row r="140" spans="7:50">
      <c r="AB140" s="37" t="s">
        <v>31</v>
      </c>
      <c r="AC140" s="37">
        <v>1117.4977354134001</v>
      </c>
      <c r="AD140" s="39">
        <v>4062104.2682277001</v>
      </c>
      <c r="AE140" s="69">
        <v>1994</v>
      </c>
      <c r="AF140" s="37" t="s">
        <v>173</v>
      </c>
      <c r="AG140" s="42">
        <v>0.11004126547455299</v>
      </c>
      <c r="AI140" s="29">
        <v>59</v>
      </c>
      <c r="AJ140" s="29" t="s">
        <v>31</v>
      </c>
      <c r="AK140" s="29">
        <v>22.786347018073499</v>
      </c>
      <c r="AL140" s="29">
        <v>9336591.7589205299</v>
      </c>
      <c r="AM140" s="29">
        <v>1991</v>
      </c>
      <c r="AN140" s="29" t="s">
        <v>173</v>
      </c>
      <c r="AO140" s="37">
        <v>0.77625163083617599</v>
      </c>
    </row>
    <row r="141" spans="7:50">
      <c r="AB141" s="37" t="s">
        <v>31</v>
      </c>
      <c r="AC141" s="37">
        <v>111.913803540171</v>
      </c>
      <c r="AD141" s="39">
        <v>7554181.7389615597</v>
      </c>
      <c r="AE141" s="69">
        <v>1990</v>
      </c>
      <c r="AF141" s="37" t="s">
        <v>173</v>
      </c>
      <c r="AG141" s="42">
        <v>0.100191181657848</v>
      </c>
      <c r="AI141" s="29">
        <v>60</v>
      </c>
      <c r="AJ141" s="29" t="s">
        <v>31</v>
      </c>
      <c r="AK141" s="29">
        <v>22.786347018073499</v>
      </c>
      <c r="AL141" s="29">
        <v>8869813.4402552899</v>
      </c>
      <c r="AM141" s="29">
        <v>1979</v>
      </c>
      <c r="AN141" s="29" t="s">
        <v>172</v>
      </c>
      <c r="AO141" s="37">
        <v>0.70897065931247405</v>
      </c>
    </row>
    <row r="142" spans="7:50">
      <c r="AB142" s="37" t="s">
        <v>31</v>
      </c>
      <c r="AC142" s="37">
        <v>111.913803540171</v>
      </c>
      <c r="AD142" s="39">
        <v>7612936.48582015</v>
      </c>
      <c r="AE142" s="69">
        <v>1979</v>
      </c>
      <c r="AF142" s="37" t="s">
        <v>172</v>
      </c>
      <c r="AG142" s="42">
        <v>1.4430379746835399E-2</v>
      </c>
      <c r="AI142" s="29">
        <v>61</v>
      </c>
      <c r="AJ142" s="29" t="s">
        <v>31</v>
      </c>
      <c r="AK142" s="29">
        <v>158.30188448215799</v>
      </c>
      <c r="AL142" s="29">
        <v>8149381.0131415101</v>
      </c>
      <c r="AM142" s="29">
        <v>1913</v>
      </c>
      <c r="AN142" s="29" t="s">
        <v>172</v>
      </c>
      <c r="AO142" s="37">
        <v>0.69984586782230995</v>
      </c>
    </row>
    <row r="143" spans="7:50">
      <c r="AB143" s="37" t="s">
        <v>31</v>
      </c>
      <c r="AC143" s="37">
        <v>22.786347018073499</v>
      </c>
      <c r="AD143" s="39">
        <v>5012996.3439761698</v>
      </c>
      <c r="AE143" s="69">
        <v>1973</v>
      </c>
      <c r="AF143" s="37" t="s">
        <v>172</v>
      </c>
      <c r="AG143" s="42">
        <v>0.125095723167398</v>
      </c>
      <c r="AI143" s="29">
        <v>62</v>
      </c>
      <c r="AJ143" s="29" t="s">
        <v>31</v>
      </c>
      <c r="AK143" s="29">
        <v>1117.4977354134001</v>
      </c>
      <c r="AL143" s="29">
        <v>5224301.9130576402</v>
      </c>
      <c r="AM143" s="29">
        <v>1990</v>
      </c>
      <c r="AN143" s="29" t="s">
        <v>173</v>
      </c>
      <c r="AO143" s="37">
        <v>0.69775401069518705</v>
      </c>
    </row>
    <row r="144" spans="7:50">
      <c r="AB144" s="37" t="s">
        <v>31</v>
      </c>
      <c r="AC144" s="37">
        <v>111.913803540171</v>
      </c>
      <c r="AD144" s="39">
        <v>4719069.3538784003</v>
      </c>
      <c r="AE144" s="69">
        <v>1947</v>
      </c>
      <c r="AF144" s="37" t="s">
        <v>172</v>
      </c>
      <c r="AG144" s="42">
        <v>0</v>
      </c>
      <c r="AI144" s="29">
        <v>63</v>
      </c>
      <c r="AJ144" s="29" t="s">
        <v>31</v>
      </c>
      <c r="AK144" s="29">
        <v>22.786347018073499</v>
      </c>
      <c r="AL144" s="29">
        <v>8199712.54714779</v>
      </c>
      <c r="AM144" s="29">
        <v>1981</v>
      </c>
      <c r="AN144" s="29" t="s">
        <v>173</v>
      </c>
      <c r="AO144" s="37">
        <v>0.67529779058597506</v>
      </c>
    </row>
    <row r="145" spans="1:42">
      <c r="AB145" s="37" t="s">
        <v>31</v>
      </c>
      <c r="AC145" s="37">
        <v>1117.4977354134001</v>
      </c>
      <c r="AD145" s="39">
        <v>9386980.97747254</v>
      </c>
      <c r="AE145" s="69">
        <v>1928</v>
      </c>
      <c r="AF145" s="37" t="s">
        <v>172</v>
      </c>
      <c r="AG145" s="42">
        <v>7.14285714285714E-3</v>
      </c>
      <c r="AI145" s="29">
        <v>64</v>
      </c>
      <c r="AJ145" s="29" t="s">
        <v>31</v>
      </c>
      <c r="AK145" s="29">
        <v>111.913803540171</v>
      </c>
      <c r="AL145" s="29">
        <v>7612936.48582015</v>
      </c>
      <c r="AM145" s="29">
        <v>1979</v>
      </c>
      <c r="AN145" s="29" t="s">
        <v>172</v>
      </c>
      <c r="AO145" s="37">
        <v>0.66838154121632398</v>
      </c>
    </row>
    <row r="146" spans="1:42">
      <c r="AB146" s="37" t="s">
        <v>31</v>
      </c>
      <c r="AC146" s="37">
        <v>111.913803540171</v>
      </c>
      <c r="AD146" s="39">
        <v>2351197.0985754598</v>
      </c>
      <c r="AE146" s="69">
        <v>1980</v>
      </c>
      <c r="AF146" s="37" t="s">
        <v>172</v>
      </c>
      <c r="AG146" s="42">
        <v>8.0890502709723006E-2</v>
      </c>
      <c r="AI146" s="29">
        <v>65</v>
      </c>
      <c r="AJ146" s="29" t="s">
        <v>31</v>
      </c>
      <c r="AK146" s="29">
        <v>158.30188448215799</v>
      </c>
      <c r="AL146" s="29">
        <v>6012305.5726323696</v>
      </c>
      <c r="AM146" s="29">
        <v>1909</v>
      </c>
      <c r="AN146" s="29" t="s">
        <v>172</v>
      </c>
      <c r="AO146" s="37">
        <v>0.66390189477680295</v>
      </c>
    </row>
    <row r="147" spans="1:42">
      <c r="AB147" s="37" t="s">
        <v>31</v>
      </c>
      <c r="AC147" s="37">
        <v>26.394908180552601</v>
      </c>
      <c r="AD147" s="39">
        <v>3139938.27715853</v>
      </c>
      <c r="AE147" s="69">
        <v>1929</v>
      </c>
      <c r="AF147" s="37" t="s">
        <v>172</v>
      </c>
      <c r="AG147" s="42">
        <v>1.6299347149064301E-2</v>
      </c>
      <c r="AI147" s="29">
        <v>66</v>
      </c>
      <c r="AJ147" s="29" t="s">
        <v>31</v>
      </c>
      <c r="AK147" s="29">
        <v>1117.4977354134001</v>
      </c>
      <c r="AL147" s="29">
        <v>2229407.98214973</v>
      </c>
      <c r="AM147" s="29">
        <v>1959</v>
      </c>
      <c r="AN147" s="29" t="s">
        <v>172</v>
      </c>
      <c r="AO147" s="37">
        <v>0.655723787072651</v>
      </c>
    </row>
    <row r="148" spans="1:42">
      <c r="AB148" s="37" t="s">
        <v>31</v>
      </c>
      <c r="AC148" s="37">
        <v>1117.4977354134001</v>
      </c>
      <c r="AD148" s="39">
        <v>17879963.7666144</v>
      </c>
      <c r="AE148" s="69">
        <v>2003</v>
      </c>
      <c r="AF148" s="37" t="s">
        <v>173</v>
      </c>
      <c r="AG148" s="42">
        <v>0.28296274894067802</v>
      </c>
      <c r="AI148" s="29">
        <v>67</v>
      </c>
      <c r="AJ148" s="29" t="s">
        <v>31</v>
      </c>
      <c r="AK148" s="29">
        <v>22.786347018073499</v>
      </c>
      <c r="AL148" s="29">
        <v>6712675.5407483103</v>
      </c>
      <c r="AM148" s="29">
        <v>1959</v>
      </c>
      <c r="AN148" s="29" t="s">
        <v>172</v>
      </c>
      <c r="AO148" s="37">
        <v>0.56815371024734995</v>
      </c>
    </row>
    <row r="149" spans="1:42">
      <c r="AB149" s="37" t="s">
        <v>31</v>
      </c>
      <c r="AC149" s="37">
        <v>22.786347018073499</v>
      </c>
      <c r="AD149" s="39">
        <v>17946526.911434699</v>
      </c>
      <c r="AE149" s="69">
        <v>1993</v>
      </c>
      <c r="AF149" s="37" t="s">
        <v>173</v>
      </c>
      <c r="AG149" s="42">
        <v>6.5515490096495696E-3</v>
      </c>
      <c r="AI149" s="29">
        <v>68</v>
      </c>
      <c r="AJ149" s="29" t="s">
        <v>31</v>
      </c>
      <c r="AK149" s="29">
        <v>158.30188448215799</v>
      </c>
      <c r="AL149" s="29">
        <v>13515814.8970867</v>
      </c>
      <c r="AM149" s="29">
        <v>1996</v>
      </c>
      <c r="AN149" s="29" t="s">
        <v>173</v>
      </c>
      <c r="AO149" s="37">
        <v>0.56714758751182603</v>
      </c>
    </row>
    <row r="150" spans="1:42">
      <c r="AB150" s="37" t="s">
        <v>31</v>
      </c>
      <c r="AC150" s="37">
        <v>111.913803540171</v>
      </c>
      <c r="AD150" s="39">
        <v>2566071.6013725898</v>
      </c>
      <c r="AE150" s="69" t="s">
        <v>174</v>
      </c>
      <c r="AF150" s="37" t="s">
        <v>172</v>
      </c>
      <c r="AG150" s="42">
        <v>0.14873076069018501</v>
      </c>
      <c r="AI150" s="29">
        <v>69</v>
      </c>
      <c r="AJ150" s="29" t="s">
        <v>31</v>
      </c>
      <c r="AK150" s="29">
        <v>26.394908180552601</v>
      </c>
      <c r="AL150" s="29">
        <v>10827059.3611218</v>
      </c>
      <c r="AM150" s="29">
        <v>1993</v>
      </c>
      <c r="AN150" s="29" t="s">
        <v>173</v>
      </c>
      <c r="AO150" s="37">
        <v>0.53224938874613803</v>
      </c>
    </row>
    <row r="151" spans="1:42">
      <c r="AB151" s="37" t="s">
        <v>31</v>
      </c>
      <c r="AC151" s="37">
        <v>22.786347018073499</v>
      </c>
      <c r="AD151" s="39">
        <v>8869813.4402552899</v>
      </c>
      <c r="AE151" s="69">
        <v>1979</v>
      </c>
      <c r="AF151" s="37" t="s">
        <v>172</v>
      </c>
      <c r="AG151" s="42">
        <v>5.1585058829574102E-3</v>
      </c>
      <c r="AI151" s="29">
        <v>70</v>
      </c>
      <c r="AJ151" s="29" t="s">
        <v>31</v>
      </c>
      <c r="AK151" s="29">
        <v>111.913803540171</v>
      </c>
      <c r="AL151" s="29">
        <v>2965715.7938145399</v>
      </c>
      <c r="AM151" s="29">
        <v>1914</v>
      </c>
      <c r="AN151" s="29" t="s">
        <v>172</v>
      </c>
      <c r="AO151" s="37">
        <v>0.45817351900972603</v>
      </c>
    </row>
    <row r="153" spans="1:42">
      <c r="AN153" s="35" t="s">
        <v>101</v>
      </c>
      <c r="AO153" s="42">
        <f>SUMPRODUCT(AO82:AO151,AL82:AL151/SUM(AL82:AL151))</f>
        <v>1.1465495749059875</v>
      </c>
    </row>
    <row r="154" spans="1:42">
      <c r="AN154" s="35" t="s">
        <v>175</v>
      </c>
      <c r="AO154" s="42">
        <f>MEDIAN(AO82:AO151)</f>
        <v>1.1941707046568451</v>
      </c>
      <c r="AP154" s="29" t="str">
        <f>AO80</f>
        <v>Pre-2004</v>
      </c>
    </row>
    <row r="156" spans="1:42">
      <c r="A156" s="35" t="s">
        <v>115</v>
      </c>
    </row>
    <row r="157" spans="1:42">
      <c r="A157" s="36" t="s">
        <v>105</v>
      </c>
      <c r="B157" s="36" t="s">
        <v>106</v>
      </c>
      <c r="C157" s="36" t="s">
        <v>107</v>
      </c>
      <c r="D157" s="36" t="s">
        <v>108</v>
      </c>
      <c r="E157" s="36" t="s">
        <v>109</v>
      </c>
      <c r="G157" s="36" t="s">
        <v>105</v>
      </c>
      <c r="H157" s="36" t="s">
        <v>106</v>
      </c>
      <c r="I157" s="36" t="s">
        <v>107</v>
      </c>
      <c r="J157" s="36" t="s">
        <v>108</v>
      </c>
      <c r="K157" s="36" t="s">
        <v>109</v>
      </c>
      <c r="M157" s="36" t="s">
        <v>105</v>
      </c>
      <c r="N157" s="36" t="s">
        <v>106</v>
      </c>
      <c r="O157" s="36" t="s">
        <v>107</v>
      </c>
      <c r="P157" s="36" t="s">
        <v>108</v>
      </c>
      <c r="Q157" s="36" t="s">
        <v>109</v>
      </c>
      <c r="S157" s="36" t="s">
        <v>105</v>
      </c>
      <c r="T157" s="36" t="s">
        <v>106</v>
      </c>
      <c r="U157" s="36" t="s">
        <v>107</v>
      </c>
      <c r="V157" s="36" t="s">
        <v>108</v>
      </c>
      <c r="W157" s="36" t="s">
        <v>109</v>
      </c>
    </row>
    <row r="158" spans="1:42">
      <c r="A158" s="37" t="s">
        <v>72</v>
      </c>
      <c r="B158" s="37" t="s">
        <v>110</v>
      </c>
      <c r="C158" s="37">
        <v>334.46517981600198</v>
      </c>
      <c r="D158" s="39">
        <v>1444889.5768051301</v>
      </c>
      <c r="E158" s="41">
        <v>0.48204062942859599</v>
      </c>
      <c r="G158" s="37" t="s">
        <v>72</v>
      </c>
      <c r="H158" s="37" t="s">
        <v>114</v>
      </c>
      <c r="I158" s="37">
        <v>1200.9657725055299</v>
      </c>
      <c r="J158" s="39">
        <v>8166567.2530375803</v>
      </c>
      <c r="K158" s="38">
        <v>0.55946715215016296</v>
      </c>
      <c r="M158" s="37" t="s">
        <v>72</v>
      </c>
      <c r="N158" s="37" t="s">
        <v>111</v>
      </c>
      <c r="O158" s="37">
        <v>118.579100437875</v>
      </c>
      <c r="P158" s="39">
        <v>2673721.5566731901</v>
      </c>
      <c r="Q158" s="41">
        <v>0.413229980807024</v>
      </c>
      <c r="S158" s="37" t="s">
        <v>72</v>
      </c>
      <c r="T158" s="37" t="s">
        <v>113</v>
      </c>
      <c r="U158" s="37">
        <v>11.7918010607328</v>
      </c>
      <c r="V158" s="39">
        <v>1413388.85874156</v>
      </c>
      <c r="W158" s="41">
        <v>0.527222525582275</v>
      </c>
    </row>
    <row r="159" spans="1:42">
      <c r="A159" s="37" t="s">
        <v>72</v>
      </c>
      <c r="B159" s="37" t="s">
        <v>110</v>
      </c>
      <c r="C159" s="37">
        <v>334.46517981600198</v>
      </c>
      <c r="D159" s="39">
        <v>1036842.0574296101</v>
      </c>
      <c r="E159" s="41">
        <v>0.641290322580645</v>
      </c>
      <c r="G159" s="37" t="s">
        <v>72</v>
      </c>
      <c r="H159" s="37" t="s">
        <v>114</v>
      </c>
      <c r="I159" s="37">
        <v>334.46517981600198</v>
      </c>
      <c r="J159" s="39">
        <v>4031643.2775020902</v>
      </c>
      <c r="K159" s="38">
        <v>0.57039314115764495</v>
      </c>
      <c r="M159" s="37" t="s">
        <v>72</v>
      </c>
      <c r="N159" s="37" t="s">
        <v>111</v>
      </c>
      <c r="O159" s="37">
        <v>173.84591518197001</v>
      </c>
      <c r="P159" s="39">
        <v>3737687.1764123598</v>
      </c>
      <c r="Q159" s="41">
        <v>0.45201655306718602</v>
      </c>
      <c r="S159" s="37" t="s">
        <v>72</v>
      </c>
      <c r="T159" s="37" t="s">
        <v>113</v>
      </c>
      <c r="U159" s="37">
        <v>21.175192802226601</v>
      </c>
      <c r="V159" s="39">
        <v>2559127.9261130998</v>
      </c>
      <c r="W159" s="41">
        <v>0.56757371929259903</v>
      </c>
    </row>
    <row r="160" spans="1:42">
      <c r="A160" s="37" t="s">
        <v>72</v>
      </c>
      <c r="B160" s="37" t="s">
        <v>110</v>
      </c>
      <c r="C160" s="37">
        <v>907.66525580783605</v>
      </c>
      <c r="D160" s="39">
        <v>4529249.6264811</v>
      </c>
      <c r="E160" s="41">
        <v>0.80381124497991996</v>
      </c>
      <c r="G160" s="37" t="s">
        <v>72</v>
      </c>
      <c r="H160" s="37" t="s">
        <v>114</v>
      </c>
      <c r="I160" s="37">
        <v>334.46517981600198</v>
      </c>
      <c r="J160" s="39">
        <v>9343284.7981600203</v>
      </c>
      <c r="K160" s="38">
        <v>0.67283207787250299</v>
      </c>
      <c r="M160" s="37" t="s">
        <v>72</v>
      </c>
      <c r="N160" s="37" t="s">
        <v>112</v>
      </c>
      <c r="O160" s="37">
        <v>118.579100437875</v>
      </c>
      <c r="P160" s="39">
        <v>6403271.4236452198</v>
      </c>
      <c r="Q160" s="41">
        <v>0.46146677561639199</v>
      </c>
      <c r="S160" s="37" t="s">
        <v>72</v>
      </c>
      <c r="T160" s="37" t="s">
        <v>113</v>
      </c>
      <c r="U160" s="37">
        <v>21.175192802226601</v>
      </c>
      <c r="V160" s="39">
        <v>3711672.4951454899</v>
      </c>
      <c r="W160" s="41">
        <v>0.59540569804197496</v>
      </c>
    </row>
    <row r="161" spans="1:23">
      <c r="A161" s="37" t="s">
        <v>72</v>
      </c>
      <c r="B161" s="37" t="s">
        <v>110</v>
      </c>
      <c r="C161" s="37">
        <v>334.46517981600198</v>
      </c>
      <c r="D161" s="39">
        <v>1254244.4243100099</v>
      </c>
      <c r="E161" s="41">
        <v>0.83709402985074599</v>
      </c>
      <c r="G161" s="37" t="s">
        <v>72</v>
      </c>
      <c r="H161" s="37" t="s">
        <v>114</v>
      </c>
      <c r="I161" s="37">
        <v>1200.9657725055299</v>
      </c>
      <c r="J161" s="39">
        <v>8872735.1272708308</v>
      </c>
      <c r="K161" s="38">
        <v>0.72327894966388795</v>
      </c>
      <c r="M161" s="37" t="s">
        <v>72</v>
      </c>
      <c r="N161" s="37" t="s">
        <v>111</v>
      </c>
      <c r="O161" s="37">
        <v>177.28455058373399</v>
      </c>
      <c r="P161" s="39">
        <v>5181140.9908096101</v>
      </c>
      <c r="Q161" s="41">
        <v>0.48012019370460102</v>
      </c>
      <c r="S161" s="37" t="s">
        <v>72</v>
      </c>
      <c r="T161" s="37" t="s">
        <v>113</v>
      </c>
      <c r="U161" s="37">
        <v>29.685533528845401</v>
      </c>
      <c r="V161" s="39">
        <v>4274716.8281537397</v>
      </c>
      <c r="W161" s="41">
        <v>0.60123516666666699</v>
      </c>
    </row>
    <row r="162" spans="1:23">
      <c r="A162" s="37" t="s">
        <v>72</v>
      </c>
      <c r="B162" s="37" t="s">
        <v>110</v>
      </c>
      <c r="C162" s="37">
        <v>1200.9657725055299</v>
      </c>
      <c r="D162" s="39">
        <v>2541243.57462169</v>
      </c>
      <c r="E162" s="41">
        <v>0.87608774703557302</v>
      </c>
      <c r="G162" s="37" t="s">
        <v>72</v>
      </c>
      <c r="H162" s="37" t="s">
        <v>114</v>
      </c>
      <c r="I162" s="37">
        <v>334.46517981600198</v>
      </c>
      <c r="J162" s="39">
        <v>2508488.8486200199</v>
      </c>
      <c r="K162" s="38">
        <v>0.90986191369605995</v>
      </c>
      <c r="M162" s="37" t="s">
        <v>72</v>
      </c>
      <c r="N162" s="37" t="s">
        <v>111</v>
      </c>
      <c r="O162" s="37">
        <v>177.28455058373399</v>
      </c>
      <c r="P162" s="39">
        <v>5063246.76467143</v>
      </c>
      <c r="Q162" s="41">
        <v>0.55915201265835501</v>
      </c>
      <c r="S162" s="37" t="s">
        <v>72</v>
      </c>
      <c r="T162" s="37" t="s">
        <v>113</v>
      </c>
      <c r="U162" s="37">
        <v>11.7918010607328</v>
      </c>
      <c r="V162" s="39">
        <v>2228650.4004784999</v>
      </c>
      <c r="W162" s="41">
        <v>0.70115549496644303</v>
      </c>
    </row>
    <row r="163" spans="1:23">
      <c r="A163" s="37" t="s">
        <v>72</v>
      </c>
      <c r="B163" s="37" t="s">
        <v>110</v>
      </c>
      <c r="C163" s="37">
        <v>1200.9657725055299</v>
      </c>
      <c r="D163" s="39">
        <v>1395522.22765142</v>
      </c>
      <c r="E163" s="41">
        <v>0.95354684709438098</v>
      </c>
      <c r="G163" s="37" t="s">
        <v>72</v>
      </c>
      <c r="H163" s="37" t="s">
        <v>114</v>
      </c>
      <c r="I163" s="37">
        <v>907.66525580783605</v>
      </c>
      <c r="J163" s="39">
        <v>8317844.4042230099</v>
      </c>
      <c r="K163" s="38">
        <v>0.92530004020676904</v>
      </c>
      <c r="M163" s="37" t="s">
        <v>72</v>
      </c>
      <c r="N163" s="37" t="s">
        <v>111</v>
      </c>
      <c r="O163" s="37">
        <v>118.579100437875</v>
      </c>
      <c r="P163" s="39">
        <v>2703603.48998354</v>
      </c>
      <c r="Q163" s="41">
        <v>0.58205880754881001</v>
      </c>
      <c r="S163" s="37" t="s">
        <v>72</v>
      </c>
      <c r="T163" s="37" t="s">
        <v>113</v>
      </c>
      <c r="U163" s="37">
        <v>11.7918010607328</v>
      </c>
      <c r="V163" s="39">
        <v>3195071.0400129799</v>
      </c>
      <c r="W163" s="41">
        <v>0.72619804942410104</v>
      </c>
    </row>
    <row r="164" spans="1:23">
      <c r="A164" s="37" t="s">
        <v>72</v>
      </c>
      <c r="B164" s="37" t="s">
        <v>110</v>
      </c>
      <c r="C164" s="37">
        <v>907.66525580783605</v>
      </c>
      <c r="D164" s="39">
        <v>1525785.29501297</v>
      </c>
      <c r="E164" s="41">
        <v>1.1570493753718001</v>
      </c>
      <c r="G164" s="37" t="s">
        <v>72</v>
      </c>
      <c r="H164" s="37" t="s">
        <v>114</v>
      </c>
      <c r="I164" s="37">
        <v>334.46517981600198</v>
      </c>
      <c r="J164" s="39">
        <v>4947074.4746584902</v>
      </c>
      <c r="K164" s="38">
        <v>0.93991584519781701</v>
      </c>
      <c r="M164" s="37" t="s">
        <v>72</v>
      </c>
      <c r="N164" s="37" t="s">
        <v>111</v>
      </c>
      <c r="O164" s="37">
        <v>177.28455058373399</v>
      </c>
      <c r="P164" s="39">
        <v>7162650.4126840001</v>
      </c>
      <c r="Q164" s="41">
        <v>0.60219229132184104</v>
      </c>
      <c r="S164" s="37" t="s">
        <v>72</v>
      </c>
      <c r="T164" s="37" t="s">
        <v>113</v>
      </c>
      <c r="U164" s="37">
        <v>21.175192802226601</v>
      </c>
      <c r="V164" s="39">
        <v>3430381.23396071</v>
      </c>
      <c r="W164" s="41">
        <v>0.77251570353990195</v>
      </c>
    </row>
    <row r="165" spans="1:23">
      <c r="A165" s="37" t="s">
        <v>72</v>
      </c>
      <c r="B165" s="37" t="s">
        <v>110</v>
      </c>
      <c r="C165" s="37">
        <v>334.46517981600198</v>
      </c>
      <c r="D165" s="39">
        <v>1003395.53944801</v>
      </c>
      <c r="E165" s="42">
        <v>1.16766666666667</v>
      </c>
      <c r="G165" s="37" t="s">
        <v>72</v>
      </c>
      <c r="H165" s="37" t="s">
        <v>114</v>
      </c>
      <c r="I165" s="37">
        <v>334.46517981600198</v>
      </c>
      <c r="J165" s="39">
        <v>1679684.1330359599</v>
      </c>
      <c r="K165" s="37">
        <v>0.94744144913926598</v>
      </c>
      <c r="M165" s="37" t="s">
        <v>72</v>
      </c>
      <c r="N165" s="37" t="s">
        <v>111</v>
      </c>
      <c r="O165" s="37">
        <v>118.579100437875</v>
      </c>
      <c r="P165" s="39">
        <v>2372174.9042596798</v>
      </c>
      <c r="Q165" s="41">
        <v>0.62626585365853704</v>
      </c>
      <c r="S165" s="37" t="s">
        <v>72</v>
      </c>
      <c r="T165" s="37" t="s">
        <v>113</v>
      </c>
      <c r="U165" s="37">
        <v>21.175192802226601</v>
      </c>
      <c r="V165" s="39">
        <v>2903796.5393549399</v>
      </c>
      <c r="W165" s="41">
        <v>0.77793357113008799</v>
      </c>
    </row>
    <row r="166" spans="1:23">
      <c r="A166" s="37" t="s">
        <v>72</v>
      </c>
      <c r="B166" s="37" t="s">
        <v>110</v>
      </c>
      <c r="C166" s="37">
        <v>907.66525580783605</v>
      </c>
      <c r="D166" s="39">
        <v>3888437.95588077</v>
      </c>
      <c r="E166" s="42">
        <v>1.19285714285714</v>
      </c>
      <c r="G166" s="37" t="s">
        <v>72</v>
      </c>
      <c r="H166" s="37" t="s">
        <v>114</v>
      </c>
      <c r="I166" s="37">
        <v>1200.9657725055299</v>
      </c>
      <c r="J166" s="39">
        <v>21221065.200172599</v>
      </c>
      <c r="K166" s="37">
        <v>0.96487486027524805</v>
      </c>
      <c r="M166" s="37" t="s">
        <v>72</v>
      </c>
      <c r="N166" s="37" t="s">
        <v>111</v>
      </c>
      <c r="O166" s="37">
        <v>118.579100437875</v>
      </c>
      <c r="P166" s="39">
        <v>3023767.0611657999</v>
      </c>
      <c r="Q166" s="41">
        <v>0.68127985507186894</v>
      </c>
      <c r="S166" s="37" t="s">
        <v>72</v>
      </c>
      <c r="T166" s="37" t="s">
        <v>113</v>
      </c>
      <c r="U166" s="37">
        <v>21.175192802226601</v>
      </c>
      <c r="V166" s="39">
        <v>4149448.4311387199</v>
      </c>
      <c r="W166" s="41">
        <v>0.79860519426858401</v>
      </c>
    </row>
    <row r="167" spans="1:23">
      <c r="A167" s="37" t="s">
        <v>72</v>
      </c>
      <c r="B167" s="37" t="s">
        <v>110</v>
      </c>
      <c r="C167" s="37">
        <v>907.66525580783605</v>
      </c>
      <c r="D167" s="39">
        <v>3267594.9209082099</v>
      </c>
      <c r="E167" s="42">
        <v>1.19396451612903</v>
      </c>
      <c r="G167" s="37" t="s">
        <v>72</v>
      </c>
      <c r="H167" s="37" t="s">
        <v>114</v>
      </c>
      <c r="I167" s="37">
        <v>334.46517981600198</v>
      </c>
      <c r="J167" s="39">
        <v>3026909.8773348201</v>
      </c>
      <c r="K167" s="37">
        <v>1.08893585620915</v>
      </c>
      <c r="M167" s="37" t="s">
        <v>72</v>
      </c>
      <c r="N167" s="37" t="s">
        <v>111</v>
      </c>
      <c r="O167" s="37">
        <v>177.28455058373399</v>
      </c>
      <c r="P167" s="39">
        <v>6924202.6921488801</v>
      </c>
      <c r="Q167" s="41">
        <v>0.691809406764472</v>
      </c>
      <c r="S167" s="37" t="s">
        <v>72</v>
      </c>
      <c r="T167" s="37" t="s">
        <v>113</v>
      </c>
      <c r="U167" s="37">
        <v>29.685533528845401</v>
      </c>
      <c r="V167" s="39">
        <v>4596923.6090758201</v>
      </c>
      <c r="W167" s="37">
        <v>0.80756837357645905</v>
      </c>
    </row>
    <row r="168" spans="1:23">
      <c r="A168" s="37" t="s">
        <v>72</v>
      </c>
      <c r="B168" s="37" t="s">
        <v>110</v>
      </c>
      <c r="C168" s="37">
        <v>334.46517981600198</v>
      </c>
      <c r="D168" s="39">
        <v>1371307.23724561</v>
      </c>
      <c r="E168" s="42">
        <v>1.20137268359643</v>
      </c>
      <c r="G168" s="37" t="s">
        <v>72</v>
      </c>
      <c r="H168" s="37" t="s">
        <v>114</v>
      </c>
      <c r="I168" s="37">
        <v>334.46517981600198</v>
      </c>
      <c r="J168" s="39">
        <v>5806984.4519654298</v>
      </c>
      <c r="K168" s="37">
        <v>1.17346618489732</v>
      </c>
      <c r="M168" s="37" t="s">
        <v>72</v>
      </c>
      <c r="N168" s="37" t="s">
        <v>111</v>
      </c>
      <c r="O168" s="37">
        <v>118.579100437875</v>
      </c>
      <c r="P168" s="39">
        <v>4707590.2873836197</v>
      </c>
      <c r="Q168" s="37">
        <v>0.73502558041957999</v>
      </c>
      <c r="S168" s="37" t="s">
        <v>72</v>
      </c>
      <c r="T168" s="37" t="s">
        <v>113</v>
      </c>
      <c r="U168" s="37">
        <v>21.175192802226601</v>
      </c>
      <c r="V168" s="39">
        <v>3860237.6478459099</v>
      </c>
      <c r="W168" s="37">
        <v>0.80931681760885699</v>
      </c>
    </row>
    <row r="169" spans="1:23">
      <c r="A169" s="37" t="s">
        <v>72</v>
      </c>
      <c r="B169" s="37" t="s">
        <v>110</v>
      </c>
      <c r="C169" s="37">
        <v>1200.9657725055299</v>
      </c>
      <c r="D169" s="39">
        <v>1957574.20918401</v>
      </c>
      <c r="E169" s="42">
        <v>1.21502510822511</v>
      </c>
      <c r="G169" s="37" t="s">
        <v>72</v>
      </c>
      <c r="H169" s="37" t="s">
        <v>114</v>
      </c>
      <c r="I169" s="37">
        <v>907.66525580783605</v>
      </c>
      <c r="J169" s="39">
        <v>4992158.9069430996</v>
      </c>
      <c r="K169" s="37">
        <v>1.1759999999999999</v>
      </c>
      <c r="M169" s="37" t="s">
        <v>72</v>
      </c>
      <c r="N169" s="37" t="s">
        <v>111</v>
      </c>
      <c r="O169" s="37">
        <v>173.84591518197001</v>
      </c>
      <c r="P169" s="39">
        <v>6627875.5163126197</v>
      </c>
      <c r="Q169" s="37">
        <v>0.78399060434992396</v>
      </c>
      <c r="S169" s="37" t="s">
        <v>72</v>
      </c>
      <c r="T169" s="37" t="s">
        <v>113</v>
      </c>
      <c r="U169" s="37">
        <v>21.175192802226601</v>
      </c>
      <c r="V169" s="39">
        <v>3176278.9203339899</v>
      </c>
      <c r="W169" s="37">
        <v>0.81390819654485702</v>
      </c>
    </row>
    <row r="170" spans="1:23">
      <c r="A170" s="37" t="s">
        <v>72</v>
      </c>
      <c r="B170" s="37" t="s">
        <v>110</v>
      </c>
      <c r="C170" s="37">
        <v>1200.9657725055299</v>
      </c>
      <c r="D170" s="39">
        <v>3843090.4720176798</v>
      </c>
      <c r="E170" s="42">
        <v>1.30325236363636</v>
      </c>
      <c r="G170" s="37" t="s">
        <v>72</v>
      </c>
      <c r="H170" s="37" t="s">
        <v>114</v>
      </c>
      <c r="I170" s="37">
        <v>907.66525580783605</v>
      </c>
      <c r="J170" s="39">
        <v>6550620.1511651501</v>
      </c>
      <c r="K170" s="46">
        <v>1.32267099297168</v>
      </c>
      <c r="M170" s="37" t="s">
        <v>72</v>
      </c>
      <c r="N170" s="37" t="s">
        <v>111</v>
      </c>
      <c r="O170" s="37">
        <v>173.84591518197001</v>
      </c>
      <c r="P170" s="39">
        <v>4969385.4854766298</v>
      </c>
      <c r="Q170" s="37">
        <v>0.79318571163001195</v>
      </c>
      <c r="S170" s="37" t="s">
        <v>72</v>
      </c>
      <c r="T170" s="37" t="s">
        <v>113</v>
      </c>
      <c r="U170" s="37">
        <v>21.175192802226601</v>
      </c>
      <c r="V170" s="39">
        <v>4334096.1123741399</v>
      </c>
      <c r="W170" s="37">
        <v>0.85892433728282602</v>
      </c>
    </row>
    <row r="171" spans="1:23">
      <c r="A171" s="37" t="s">
        <v>72</v>
      </c>
      <c r="B171" s="37" t="s">
        <v>110</v>
      </c>
      <c r="C171" s="37">
        <v>1200.9657725055299</v>
      </c>
      <c r="D171" s="39">
        <v>1295842.0685334599</v>
      </c>
      <c r="E171" s="42">
        <v>1.3899903213317799</v>
      </c>
      <c r="G171" s="37" t="s">
        <v>72</v>
      </c>
      <c r="H171" s="37" t="s">
        <v>114</v>
      </c>
      <c r="I171" s="37">
        <v>334.46517981600198</v>
      </c>
      <c r="J171" s="39">
        <v>4776162.7677725097</v>
      </c>
      <c r="K171" s="37">
        <v>1.32623044558031</v>
      </c>
      <c r="M171" s="37" t="s">
        <v>72</v>
      </c>
      <c r="N171" s="37" t="s">
        <v>111</v>
      </c>
      <c r="O171" s="37">
        <v>177.28455058373399</v>
      </c>
      <c r="P171" s="39">
        <v>7595224.71610831</v>
      </c>
      <c r="Q171" s="37">
        <v>0.81105189526628596</v>
      </c>
      <c r="S171" s="37" t="s">
        <v>72</v>
      </c>
      <c r="T171" s="37" t="s">
        <v>113</v>
      </c>
      <c r="U171" s="37">
        <v>29.685533528845401</v>
      </c>
      <c r="V171" s="39">
        <v>5747445.8320532804</v>
      </c>
      <c r="W171" s="37">
        <v>0.87510642125499905</v>
      </c>
    </row>
    <row r="172" spans="1:23">
      <c r="A172" s="37" t="s">
        <v>72</v>
      </c>
      <c r="B172" s="37" t="s">
        <v>110</v>
      </c>
      <c r="C172" s="37">
        <v>907.66525580783605</v>
      </c>
      <c r="D172" s="39">
        <v>1814422.8463598599</v>
      </c>
      <c r="E172" s="42">
        <v>1.4530000000000001</v>
      </c>
      <c r="G172" s="37" t="s">
        <v>72</v>
      </c>
      <c r="H172" s="37" t="s">
        <v>114</v>
      </c>
      <c r="I172" s="37">
        <v>1200.9657725055299</v>
      </c>
      <c r="J172" s="39">
        <v>6459994.8903072197</v>
      </c>
      <c r="K172" s="37">
        <v>1.3439014932772899</v>
      </c>
      <c r="M172" s="37" t="s">
        <v>72</v>
      </c>
      <c r="N172" s="37" t="s">
        <v>111</v>
      </c>
      <c r="O172" s="37">
        <v>173.84591518197001</v>
      </c>
      <c r="P172" s="39">
        <v>7605758.7892112099</v>
      </c>
      <c r="Q172" s="37">
        <v>0.811656589147287</v>
      </c>
      <c r="S172" s="37" t="s">
        <v>72</v>
      </c>
      <c r="T172" s="37" t="s">
        <v>113</v>
      </c>
      <c r="U172" s="37">
        <v>29.685533528845401</v>
      </c>
      <c r="V172" s="39">
        <v>4775571.14985241</v>
      </c>
      <c r="W172" s="37">
        <v>0.88308052714368401</v>
      </c>
    </row>
    <row r="173" spans="1:23">
      <c r="A173" s="37" t="s">
        <v>72</v>
      </c>
      <c r="B173" s="37" t="s">
        <v>110</v>
      </c>
      <c r="C173" s="37">
        <v>1200.9657725055299</v>
      </c>
      <c r="D173" s="39">
        <v>2142522.9381498601</v>
      </c>
      <c r="E173" s="42">
        <v>1.4945842784183601</v>
      </c>
      <c r="G173" s="37" t="s">
        <v>72</v>
      </c>
      <c r="H173" s="37" t="s">
        <v>114</v>
      </c>
      <c r="I173" s="37">
        <v>907.66525580783605</v>
      </c>
      <c r="J173" s="39">
        <v>13415292.4808398</v>
      </c>
      <c r="K173" s="37">
        <v>1.3482590476190499</v>
      </c>
      <c r="M173" s="37" t="s">
        <v>72</v>
      </c>
      <c r="N173" s="37" t="s">
        <v>111</v>
      </c>
      <c r="O173" s="37">
        <v>173.84591518197001</v>
      </c>
      <c r="P173" s="39">
        <v>4280434.1236104798</v>
      </c>
      <c r="Q173" s="37">
        <v>0.93945933787864999</v>
      </c>
      <c r="S173" s="37" t="s">
        <v>72</v>
      </c>
      <c r="T173" s="37" t="s">
        <v>113</v>
      </c>
      <c r="U173" s="37">
        <v>21.175192802226601</v>
      </c>
      <c r="V173" s="39">
        <v>4362089.7172586797</v>
      </c>
      <c r="W173" s="37">
        <v>1.02738548559161</v>
      </c>
    </row>
    <row r="174" spans="1:23">
      <c r="A174" s="37" t="s">
        <v>72</v>
      </c>
      <c r="B174" s="37" t="s">
        <v>110</v>
      </c>
      <c r="C174" s="37">
        <v>907.66525580783605</v>
      </c>
      <c r="D174" s="39">
        <v>3695105.2563936999</v>
      </c>
      <c r="E174" s="42">
        <v>1.5216893289979301</v>
      </c>
      <c r="G174" s="37" t="s">
        <v>72</v>
      </c>
      <c r="H174" s="37" t="s">
        <v>114</v>
      </c>
      <c r="I174" s="37">
        <v>907.66525580783605</v>
      </c>
      <c r="J174" s="39">
        <v>9076652.5580783598</v>
      </c>
      <c r="K174" s="37">
        <v>1.3809778947368401</v>
      </c>
      <c r="M174" s="37" t="s">
        <v>72</v>
      </c>
      <c r="N174" s="37" t="s">
        <v>111</v>
      </c>
      <c r="O174" s="37">
        <v>177.28455058373399</v>
      </c>
      <c r="P174" s="39">
        <v>5283256.8919458399</v>
      </c>
      <c r="Q174" s="37">
        <v>0.95063758389261699</v>
      </c>
      <c r="S174" s="37" t="s">
        <v>72</v>
      </c>
      <c r="T174" s="37" t="s">
        <v>113</v>
      </c>
      <c r="U174" s="37">
        <v>21.175192802226601</v>
      </c>
      <c r="V174" s="39">
        <v>3593536.0945018702</v>
      </c>
      <c r="W174" s="37">
        <v>1.14458095848167</v>
      </c>
    </row>
    <row r="175" spans="1:23">
      <c r="A175" s="37" t="s">
        <v>72</v>
      </c>
      <c r="B175" s="37" t="s">
        <v>110</v>
      </c>
      <c r="C175" s="37">
        <v>334.46517981600198</v>
      </c>
      <c r="D175" s="39">
        <v>1259930.33236688</v>
      </c>
      <c r="E175" s="42">
        <v>1.52291348914972</v>
      </c>
      <c r="G175" s="37" t="s">
        <v>72</v>
      </c>
      <c r="H175" s="37" t="s">
        <v>114</v>
      </c>
      <c r="I175" s="37">
        <v>1200.9657725055299</v>
      </c>
      <c r="J175" s="39">
        <v>21870787.6830981</v>
      </c>
      <c r="K175" s="37">
        <v>1.48110083256963</v>
      </c>
      <c r="M175" s="37" t="s">
        <v>72</v>
      </c>
      <c r="N175" s="37" t="s">
        <v>112</v>
      </c>
      <c r="O175" s="37">
        <v>173.84591518197001</v>
      </c>
      <c r="P175" s="39">
        <v>10430754.9109182</v>
      </c>
      <c r="Q175" s="37">
        <v>0.98126787959772099</v>
      </c>
      <c r="S175" s="37" t="s">
        <v>72</v>
      </c>
      <c r="T175" s="37" t="s">
        <v>113</v>
      </c>
      <c r="U175" s="37">
        <v>29.685533528845401</v>
      </c>
      <c r="V175" s="39">
        <v>4749685.3646152597</v>
      </c>
      <c r="W175" s="37">
        <v>1.1626996532781</v>
      </c>
    </row>
    <row r="176" spans="1:23">
      <c r="A176" s="37" t="s">
        <v>72</v>
      </c>
      <c r="B176" s="37" t="s">
        <v>110</v>
      </c>
      <c r="C176" s="37">
        <v>907.66525580783605</v>
      </c>
      <c r="D176" s="39">
        <v>522815.18734531401</v>
      </c>
      <c r="E176" s="42">
        <v>1.5598759097525501</v>
      </c>
      <c r="G176" s="37" t="s">
        <v>72</v>
      </c>
      <c r="H176" s="37" t="s">
        <v>114</v>
      </c>
      <c r="I176" s="37">
        <v>334.46517981600198</v>
      </c>
      <c r="J176" s="39">
        <v>4640704.3699470302</v>
      </c>
      <c r="K176" s="37">
        <v>1.5280131998889701</v>
      </c>
      <c r="M176" s="37" t="s">
        <v>72</v>
      </c>
      <c r="N176" s="37" t="s">
        <v>111</v>
      </c>
      <c r="O176" s="37">
        <v>177.28455058373399</v>
      </c>
      <c r="P176" s="39">
        <v>3722975.5622584</v>
      </c>
      <c r="Q176" s="46">
        <v>1.00771428571429</v>
      </c>
      <c r="S176" s="37" t="s">
        <v>72</v>
      </c>
      <c r="T176" s="37" t="s">
        <v>113</v>
      </c>
      <c r="U176" s="37">
        <v>29.685533528845401</v>
      </c>
      <c r="V176" s="39">
        <v>4782339.4514969904</v>
      </c>
      <c r="W176" s="46">
        <v>1.20159987473561</v>
      </c>
    </row>
    <row r="177" spans="1:23">
      <c r="A177" s="37" t="s">
        <v>72</v>
      </c>
      <c r="B177" s="37" t="s">
        <v>110</v>
      </c>
      <c r="C177" s="37">
        <v>1200.9657725055299</v>
      </c>
      <c r="D177" s="39">
        <v>2057254.36830197</v>
      </c>
      <c r="E177" s="42">
        <v>1.6064402583423001</v>
      </c>
      <c r="G177" s="37" t="s">
        <v>72</v>
      </c>
      <c r="H177" s="37" t="s">
        <v>114</v>
      </c>
      <c r="I177" s="37">
        <v>334.46517981600198</v>
      </c>
      <c r="J177" s="39">
        <v>5599616.0404795101</v>
      </c>
      <c r="K177" s="47">
        <v>1.54964249997276</v>
      </c>
      <c r="M177" s="37" t="s">
        <v>72</v>
      </c>
      <c r="N177" s="37" t="s">
        <v>112</v>
      </c>
      <c r="O177" s="37">
        <v>118.579100437875</v>
      </c>
      <c r="P177" s="39">
        <v>6690470.0049057603</v>
      </c>
      <c r="Q177" s="37">
        <v>1.0395144395784</v>
      </c>
      <c r="S177" s="37" t="s">
        <v>72</v>
      </c>
      <c r="T177" s="37" t="s">
        <v>113</v>
      </c>
      <c r="U177" s="37">
        <v>29.685533528845401</v>
      </c>
      <c r="V177" s="39">
        <v>4066918.0934518198</v>
      </c>
      <c r="W177" s="37">
        <v>1.2153789506300301</v>
      </c>
    </row>
    <row r="178" spans="1:23">
      <c r="A178" s="37" t="s">
        <v>72</v>
      </c>
      <c r="B178" s="37" t="s">
        <v>110</v>
      </c>
      <c r="C178" s="37">
        <v>907.66525580783605</v>
      </c>
      <c r="D178" s="39">
        <v>1199933.46817796</v>
      </c>
      <c r="E178" s="42">
        <v>1.6745111373046799</v>
      </c>
      <c r="G178" s="37" t="s">
        <v>72</v>
      </c>
      <c r="H178" s="37" t="s">
        <v>114</v>
      </c>
      <c r="I178" s="37">
        <v>334.46517981600198</v>
      </c>
      <c r="J178" s="39">
        <v>3324583.88737106</v>
      </c>
      <c r="K178" s="47">
        <v>1.6668444471909001</v>
      </c>
      <c r="M178" s="37" t="s">
        <v>72</v>
      </c>
      <c r="N178" s="37" t="s">
        <v>111</v>
      </c>
      <c r="O178" s="37">
        <v>118.579100437875</v>
      </c>
      <c r="P178" s="39">
        <v>4743164.0175149804</v>
      </c>
      <c r="Q178" s="37">
        <v>1.0850135869565201</v>
      </c>
      <c r="S178" s="37" t="s">
        <v>72</v>
      </c>
      <c r="T178" s="37" t="s">
        <v>113</v>
      </c>
      <c r="U178" s="37">
        <v>11.7918010607328</v>
      </c>
      <c r="V178" s="39">
        <v>1188507.4207123199</v>
      </c>
      <c r="W178" s="37">
        <v>1.22064089124163</v>
      </c>
    </row>
    <row r="179" spans="1:23">
      <c r="A179" s="37" t="s">
        <v>72</v>
      </c>
      <c r="B179" s="37" t="s">
        <v>110</v>
      </c>
      <c r="C179" s="37">
        <v>1200.9657725055299</v>
      </c>
      <c r="D179" s="39">
        <v>3786645.0807099198</v>
      </c>
      <c r="E179" s="42">
        <v>1.75827373998098</v>
      </c>
      <c r="G179" s="37" t="s">
        <v>72</v>
      </c>
      <c r="H179" s="37" t="s">
        <v>114</v>
      </c>
      <c r="I179" s="37">
        <v>334.46517981600198</v>
      </c>
      <c r="J179" s="39">
        <v>4956773.96487315</v>
      </c>
      <c r="K179" s="47">
        <v>1.6858984766957199</v>
      </c>
      <c r="M179" s="37" t="s">
        <v>72</v>
      </c>
      <c r="N179" s="37" t="s">
        <v>111</v>
      </c>
      <c r="O179" s="37">
        <v>173.84591518197001</v>
      </c>
      <c r="P179" s="39">
        <v>4172301.96436729</v>
      </c>
      <c r="Q179" s="37">
        <v>1.1803781512605001</v>
      </c>
      <c r="S179" s="37" t="s">
        <v>72</v>
      </c>
      <c r="T179" s="37" t="s">
        <v>113</v>
      </c>
      <c r="U179" s="37">
        <v>11.7918010607328</v>
      </c>
      <c r="V179" s="39">
        <v>1236370.3412178301</v>
      </c>
      <c r="W179" s="37">
        <v>1.2440106853144299</v>
      </c>
    </row>
    <row r="180" spans="1:23">
      <c r="A180" s="37" t="s">
        <v>72</v>
      </c>
      <c r="B180" s="37" t="s">
        <v>110</v>
      </c>
      <c r="C180" s="37">
        <v>334.46517981600198</v>
      </c>
      <c r="D180" s="39">
        <v>294998.28859771398</v>
      </c>
      <c r="E180" s="42">
        <v>1.7805241757703401</v>
      </c>
      <c r="G180" s="37" t="s">
        <v>72</v>
      </c>
      <c r="H180" s="37" t="s">
        <v>114</v>
      </c>
      <c r="I180" s="37">
        <v>334.46517981600198</v>
      </c>
      <c r="J180" s="39">
        <v>4657093.1637580097</v>
      </c>
      <c r="K180" s="47">
        <v>1.71625738077239</v>
      </c>
      <c r="M180" s="37" t="s">
        <v>72</v>
      </c>
      <c r="N180" s="37" t="s">
        <v>111</v>
      </c>
      <c r="O180" s="37">
        <v>118.579100437875</v>
      </c>
      <c r="P180" s="39">
        <v>2780679.9052681602</v>
      </c>
      <c r="Q180" s="37">
        <v>1.2978077630784199</v>
      </c>
      <c r="S180" s="48" t="s">
        <v>72</v>
      </c>
      <c r="T180" s="37" t="s">
        <v>113</v>
      </c>
      <c r="U180" s="37">
        <v>29.685533528845401</v>
      </c>
      <c r="V180" s="39">
        <v>4028326.8998643202</v>
      </c>
      <c r="W180" s="37">
        <v>1.2643667286489699</v>
      </c>
    </row>
    <row r="181" spans="1:23">
      <c r="A181" s="37" t="s">
        <v>72</v>
      </c>
      <c r="B181" s="37" t="s">
        <v>110</v>
      </c>
      <c r="C181" s="37">
        <v>334.46517981600198</v>
      </c>
      <c r="D181" s="39">
        <v>799371.779760245</v>
      </c>
      <c r="E181" s="42">
        <v>1.7924841269841301</v>
      </c>
      <c r="G181" s="37" t="s">
        <v>72</v>
      </c>
      <c r="H181" s="37" t="s">
        <v>114</v>
      </c>
      <c r="I181" s="37">
        <v>334.46517981600198</v>
      </c>
      <c r="J181" s="39">
        <v>4337009.9866741002</v>
      </c>
      <c r="K181" s="47">
        <v>1.82738528946166</v>
      </c>
      <c r="M181" s="37" t="s">
        <v>72</v>
      </c>
      <c r="N181" s="37" t="s">
        <v>111</v>
      </c>
      <c r="O181" s="37">
        <v>177.28455058373399</v>
      </c>
      <c r="P181" s="39">
        <v>7343126.0851782402</v>
      </c>
      <c r="Q181" s="37">
        <v>1.33185745468183</v>
      </c>
      <c r="S181" s="37" t="s">
        <v>72</v>
      </c>
      <c r="T181" s="37" t="s">
        <v>113</v>
      </c>
      <c r="U181" s="37">
        <v>29.685533528845401</v>
      </c>
      <c r="V181" s="39">
        <v>3105552.09012016</v>
      </c>
      <c r="W181" s="37">
        <v>1.3296340848224499</v>
      </c>
    </row>
    <row r="182" spans="1:23">
      <c r="A182" s="37" t="s">
        <v>72</v>
      </c>
      <c r="B182" s="37" t="s">
        <v>110</v>
      </c>
      <c r="C182" s="37">
        <v>1200.9657725055299</v>
      </c>
      <c r="D182" s="39">
        <v>3449173.6986358701</v>
      </c>
      <c r="E182" s="44">
        <v>1.8190383212702701</v>
      </c>
      <c r="G182" s="37" t="s">
        <v>72</v>
      </c>
      <c r="H182" s="37" t="s">
        <v>114</v>
      </c>
      <c r="I182" s="37">
        <v>334.46517981600198</v>
      </c>
      <c r="J182" s="39">
        <v>4480161.0836353498</v>
      </c>
      <c r="K182" s="47">
        <v>1.8508039845431901</v>
      </c>
      <c r="M182" s="37" t="s">
        <v>72</v>
      </c>
      <c r="N182" s="37" t="s">
        <v>111</v>
      </c>
      <c r="O182" s="37">
        <v>118.579100437875</v>
      </c>
      <c r="P182" s="39">
        <v>3509941.3729610899</v>
      </c>
      <c r="Q182" s="37">
        <v>1.33737280660182</v>
      </c>
      <c r="S182" s="37" t="s">
        <v>72</v>
      </c>
      <c r="T182" s="37" t="s">
        <v>113</v>
      </c>
      <c r="U182" s="37">
        <v>11.7918010607328</v>
      </c>
      <c r="V182" s="39">
        <v>3773376.3394344999</v>
      </c>
      <c r="W182" s="37">
        <v>1.3853119905618401</v>
      </c>
    </row>
    <row r="183" spans="1:23">
      <c r="A183" s="37" t="s">
        <v>72</v>
      </c>
      <c r="B183" s="37" t="s">
        <v>110</v>
      </c>
      <c r="C183" s="37">
        <v>907.66525580783605</v>
      </c>
      <c r="D183" s="39">
        <v>1179964.8325501899</v>
      </c>
      <c r="E183" s="44">
        <v>1.9629232994816701</v>
      </c>
      <c r="G183" s="37" t="s">
        <v>72</v>
      </c>
      <c r="H183" s="37" t="s">
        <v>114</v>
      </c>
      <c r="I183" s="37">
        <v>907.66525580783605</v>
      </c>
      <c r="J183" s="39">
        <v>9436995.6646340694</v>
      </c>
      <c r="K183" s="47">
        <v>1.9304135855910001</v>
      </c>
      <c r="M183" s="37" t="s">
        <v>72</v>
      </c>
      <c r="N183" s="37" t="s">
        <v>111</v>
      </c>
      <c r="O183" s="37">
        <v>118.579100437875</v>
      </c>
      <c r="P183" s="39">
        <v>3139500.2631931701</v>
      </c>
      <c r="Q183" s="37">
        <v>1.34019877591146</v>
      </c>
      <c r="S183" s="37" t="s">
        <v>72</v>
      </c>
      <c r="T183" s="37" t="s">
        <v>113</v>
      </c>
      <c r="U183" s="37">
        <v>21.175192802226601</v>
      </c>
      <c r="V183" s="39">
        <v>4117833.8682849999</v>
      </c>
      <c r="W183" s="37">
        <v>1.42104282038626</v>
      </c>
    </row>
    <row r="184" spans="1:23">
      <c r="A184" s="37" t="s">
        <v>72</v>
      </c>
      <c r="B184" s="37" t="s">
        <v>110</v>
      </c>
      <c r="C184" s="37">
        <v>907.66525580783605</v>
      </c>
      <c r="D184" s="39">
        <v>2501525.4450063999</v>
      </c>
      <c r="E184" s="44">
        <v>2.1253791393702102</v>
      </c>
      <c r="M184" s="37" t="s">
        <v>72</v>
      </c>
      <c r="N184" s="37" t="s">
        <v>111</v>
      </c>
      <c r="O184" s="37">
        <v>177.28455058373399</v>
      </c>
      <c r="P184" s="39">
        <v>5120864.2436111402</v>
      </c>
      <c r="Q184" s="37">
        <v>1.36792310577673</v>
      </c>
      <c r="S184" s="37" t="s">
        <v>72</v>
      </c>
      <c r="T184" s="37" t="s">
        <v>113</v>
      </c>
      <c r="U184" s="37">
        <v>21.175192802226601</v>
      </c>
      <c r="V184" s="39">
        <v>2256428.5450052698</v>
      </c>
      <c r="W184" s="37">
        <v>1.43055354953483</v>
      </c>
    </row>
    <row r="185" spans="1:23">
      <c r="A185" s="37" t="s">
        <v>72</v>
      </c>
      <c r="B185" s="37" t="s">
        <v>110</v>
      </c>
      <c r="C185" s="37">
        <v>334.46517981600198</v>
      </c>
      <c r="D185" s="39">
        <v>968276.69556732604</v>
      </c>
      <c r="E185" s="44">
        <v>2.2100136418051699</v>
      </c>
      <c r="J185" s="35" t="s">
        <v>116</v>
      </c>
      <c r="K185" s="37">
        <f>SUMPRODUCT(K158:K183,J158:J183/SUM(J158:J183))</f>
        <v>1.2388327171274431</v>
      </c>
      <c r="M185" s="37" t="s">
        <v>72</v>
      </c>
      <c r="N185" s="37" t="s">
        <v>111</v>
      </c>
      <c r="O185" s="37">
        <v>177.28455058373399</v>
      </c>
      <c r="P185" s="39">
        <v>3746554.4074860401</v>
      </c>
      <c r="Q185" s="37">
        <v>1.4016221473424499</v>
      </c>
      <c r="S185" s="37" t="s">
        <v>72</v>
      </c>
      <c r="T185" s="37" t="s">
        <v>113</v>
      </c>
      <c r="U185" s="37">
        <v>21.175192802226601</v>
      </c>
      <c r="V185" s="39">
        <v>2161373.1045160699</v>
      </c>
      <c r="W185" s="37">
        <v>1.58213525434806</v>
      </c>
    </row>
    <row r="186" spans="1:23">
      <c r="A186" s="37" t="s">
        <v>72</v>
      </c>
      <c r="B186" s="37" t="s">
        <v>110</v>
      </c>
      <c r="C186" s="37">
        <v>334.46517981600198</v>
      </c>
      <c r="D186" s="39">
        <v>432797.94268190698</v>
      </c>
      <c r="E186" s="44">
        <v>2.2332066370827701</v>
      </c>
      <c r="M186" s="37" t="s">
        <v>72</v>
      </c>
      <c r="N186" s="37" t="s">
        <v>111</v>
      </c>
      <c r="O186" s="37">
        <v>173.84591518197001</v>
      </c>
      <c r="P186" s="39">
        <v>4137532.7813308998</v>
      </c>
      <c r="Q186" s="47">
        <v>1.4301350758886799</v>
      </c>
      <c r="S186" s="37" t="s">
        <v>72</v>
      </c>
      <c r="T186" s="37" t="s">
        <v>113</v>
      </c>
      <c r="U186" s="37">
        <v>11.7918010607328</v>
      </c>
      <c r="V186" s="39">
        <v>6596592.9329972602</v>
      </c>
      <c r="W186" s="47">
        <v>1.5905637780425399</v>
      </c>
    </row>
    <row r="187" spans="1:23">
      <c r="A187" s="37" t="s">
        <v>72</v>
      </c>
      <c r="B187" s="37" t="s">
        <v>110</v>
      </c>
      <c r="C187" s="37">
        <v>1200.9657725055299</v>
      </c>
      <c r="D187" s="39">
        <v>1391919.3303338999</v>
      </c>
      <c r="E187" s="44">
        <v>2.4422413793103401</v>
      </c>
      <c r="M187" s="37" t="s">
        <v>72</v>
      </c>
      <c r="N187" s="37" t="s">
        <v>112</v>
      </c>
      <c r="O187" s="37">
        <v>118.579100437875</v>
      </c>
      <c r="P187" s="39">
        <v>8026263.5713384096</v>
      </c>
      <c r="Q187" s="47">
        <v>1.4377802102775601</v>
      </c>
      <c r="S187" s="37" t="s">
        <v>72</v>
      </c>
      <c r="T187" s="37" t="s">
        <v>113</v>
      </c>
      <c r="U187" s="37">
        <v>11.7918010607328</v>
      </c>
      <c r="V187" s="39">
        <v>1637126.4920679</v>
      </c>
      <c r="W187" s="47">
        <v>1.61232449413767</v>
      </c>
    </row>
    <row r="188" spans="1:23">
      <c r="A188" s="37" t="s">
        <v>72</v>
      </c>
      <c r="B188" s="37" t="s">
        <v>110</v>
      </c>
      <c r="C188" s="37">
        <v>1200.9657725055299</v>
      </c>
      <c r="D188" s="39">
        <v>1372703.8779738201</v>
      </c>
      <c r="E188" s="44">
        <v>3.3835232835446201</v>
      </c>
      <c r="M188" s="37" t="s">
        <v>72</v>
      </c>
      <c r="N188" s="37" t="s">
        <v>111</v>
      </c>
      <c r="O188" s="37">
        <v>173.84591518197001</v>
      </c>
      <c r="P188" s="39">
        <v>4180994.26012639</v>
      </c>
      <c r="Q188" s="47">
        <v>1.4673606496209299</v>
      </c>
      <c r="S188" s="37" t="s">
        <v>72</v>
      </c>
      <c r="T188" s="37" t="s">
        <v>113</v>
      </c>
      <c r="U188" s="37">
        <v>29.685533528845401</v>
      </c>
      <c r="V188" s="39">
        <v>3208679.6335993698</v>
      </c>
      <c r="W188" s="47">
        <v>1.6277504254139199</v>
      </c>
    </row>
    <row r="189" spans="1:23">
      <c r="M189" s="37" t="s">
        <v>72</v>
      </c>
      <c r="N189" s="37" t="s">
        <v>111</v>
      </c>
      <c r="O189" s="37">
        <v>177.28455058373399</v>
      </c>
      <c r="P189" s="39">
        <v>5744019.43891297</v>
      </c>
      <c r="Q189" s="47">
        <v>1.47300959676258</v>
      </c>
      <c r="S189" s="37" t="s">
        <v>72</v>
      </c>
      <c r="T189" s="37" t="s">
        <v>113</v>
      </c>
      <c r="U189" s="37">
        <v>21.175192802226601</v>
      </c>
      <c r="V189" s="39">
        <v>3398004.3641661098</v>
      </c>
      <c r="W189" s="47">
        <v>1.6717303623299999</v>
      </c>
    </row>
    <row r="190" spans="1:23">
      <c r="M190" s="37" t="s">
        <v>72</v>
      </c>
      <c r="N190" s="37" t="s">
        <v>111</v>
      </c>
      <c r="O190" s="37">
        <v>177.28455058373399</v>
      </c>
      <c r="P190" s="39">
        <v>3554732.5237544398</v>
      </c>
      <c r="Q190" s="47">
        <v>1.5562522304912001</v>
      </c>
      <c r="S190" s="37" t="s">
        <v>72</v>
      </c>
      <c r="T190" s="37" t="s">
        <v>113</v>
      </c>
      <c r="U190" s="37">
        <v>29.685533528845401</v>
      </c>
      <c r="V190" s="39">
        <v>11284154.0615853</v>
      </c>
      <c r="W190" s="47">
        <v>1.68677097735096</v>
      </c>
    </row>
    <row r="191" spans="1:23">
      <c r="E191" s="35" t="s">
        <v>16</v>
      </c>
      <c r="M191" s="37" t="s">
        <v>72</v>
      </c>
      <c r="N191" s="37" t="s">
        <v>111</v>
      </c>
      <c r="O191" s="37">
        <v>173.84591518197001</v>
      </c>
      <c r="P191" s="39">
        <v>5309775.7874029204</v>
      </c>
      <c r="Q191" s="47">
        <v>1.56734247028897</v>
      </c>
      <c r="S191" s="37" t="s">
        <v>72</v>
      </c>
      <c r="T191" s="37" t="s">
        <v>113</v>
      </c>
      <c r="U191" s="37">
        <v>11.7918010607328</v>
      </c>
      <c r="V191" s="39">
        <v>1928336.81106376</v>
      </c>
      <c r="W191" s="47">
        <v>1.7386586999081299</v>
      </c>
    </row>
    <row r="192" spans="1:23">
      <c r="A192" s="36" t="s">
        <v>105</v>
      </c>
      <c r="B192" s="36" t="s">
        <v>106</v>
      </c>
      <c r="C192" s="36" t="s">
        <v>107</v>
      </c>
      <c r="D192" s="36" t="s">
        <v>108</v>
      </c>
      <c r="E192" s="36" t="s">
        <v>109</v>
      </c>
      <c r="G192" s="29">
        <v>0.1</v>
      </c>
      <c r="H192" s="29">
        <f t="array" ref="H192:H211">FREQUENCY(E193:E235,G192:G211)</f>
        <v>0</v>
      </c>
      <c r="M192" s="37" t="s">
        <v>72</v>
      </c>
      <c r="N192" s="37" t="s">
        <v>111</v>
      </c>
      <c r="O192" s="37">
        <v>173.84591518197001</v>
      </c>
      <c r="P192" s="39">
        <v>3959688.4100997401</v>
      </c>
      <c r="Q192" s="47">
        <v>1.6030531356345099</v>
      </c>
      <c r="S192" s="37" t="s">
        <v>72</v>
      </c>
      <c r="T192" s="37" t="s">
        <v>113</v>
      </c>
      <c r="U192" s="37">
        <v>11.7918010607328</v>
      </c>
      <c r="V192" s="39">
        <v>1214555.50925548</v>
      </c>
      <c r="W192" s="47">
        <v>1.9231588260869601</v>
      </c>
    </row>
    <row r="193" spans="1:23">
      <c r="A193" s="37" t="s">
        <v>16</v>
      </c>
      <c r="B193" s="37" t="s">
        <v>114</v>
      </c>
      <c r="C193" s="37">
        <v>852.574034593531</v>
      </c>
      <c r="D193" s="39">
        <v>5968018.2421547202</v>
      </c>
      <c r="E193" s="38">
        <v>0.16285714285714301</v>
      </c>
      <c r="G193" s="29">
        <v>0.2</v>
      </c>
      <c r="H193" s="29">
        <v>1</v>
      </c>
      <c r="M193" s="37" t="s">
        <v>72</v>
      </c>
      <c r="N193" s="37" t="s">
        <v>111</v>
      </c>
      <c r="O193" s="37">
        <v>177.28455058373399</v>
      </c>
      <c r="P193" s="39">
        <v>6204959.2704306701</v>
      </c>
      <c r="Q193" s="47">
        <v>1.6275995000000001</v>
      </c>
      <c r="S193" s="37" t="s">
        <v>72</v>
      </c>
      <c r="T193" s="37" t="s">
        <v>113</v>
      </c>
      <c r="U193" s="37">
        <v>11.7918010607328</v>
      </c>
      <c r="V193" s="39">
        <v>2301346.8540179199</v>
      </c>
      <c r="W193" s="47">
        <v>2.08510378697834</v>
      </c>
    </row>
    <row r="194" spans="1:23">
      <c r="A194" s="37" t="s">
        <v>16</v>
      </c>
      <c r="B194" s="37" t="s">
        <v>111</v>
      </c>
      <c r="C194" s="37">
        <v>194.76274371400601</v>
      </c>
      <c r="D194" s="39">
        <v>8374797.9797022799</v>
      </c>
      <c r="E194" s="38">
        <v>0.21246628975265</v>
      </c>
      <c r="G194" s="29">
        <v>0.3</v>
      </c>
      <c r="H194" s="29">
        <v>8</v>
      </c>
      <c r="M194" s="37" t="s">
        <v>72</v>
      </c>
      <c r="N194" s="37" t="s">
        <v>111</v>
      </c>
      <c r="O194" s="37">
        <v>173.84591518197001</v>
      </c>
      <c r="P194" s="39">
        <v>4519993.7947312295</v>
      </c>
      <c r="Q194" s="47">
        <v>1.67604166666667</v>
      </c>
      <c r="S194" s="37" t="s">
        <v>72</v>
      </c>
      <c r="T194" s="37" t="s">
        <v>113</v>
      </c>
      <c r="U194" s="37">
        <v>29.685533528845401</v>
      </c>
      <c r="V194" s="39">
        <v>4605383.9861315396</v>
      </c>
      <c r="W194" s="47">
        <v>2.1051445444299199</v>
      </c>
    </row>
    <row r="195" spans="1:23">
      <c r="A195" s="37" t="s">
        <v>16</v>
      </c>
      <c r="B195" s="37" t="s">
        <v>112</v>
      </c>
      <c r="C195" s="37">
        <v>722.11606116330597</v>
      </c>
      <c r="D195" s="39">
        <v>40438499.425145097</v>
      </c>
      <c r="E195" s="38">
        <v>0.21361384615384599</v>
      </c>
      <c r="G195" s="29">
        <v>0.4</v>
      </c>
      <c r="H195" s="29">
        <v>2</v>
      </c>
      <c r="M195" s="37" t="s">
        <v>72</v>
      </c>
      <c r="N195" s="37" t="s">
        <v>111</v>
      </c>
      <c r="O195" s="37">
        <v>118.579100437875</v>
      </c>
      <c r="P195" s="39">
        <v>3901608.1417073798</v>
      </c>
      <c r="Q195" s="47">
        <v>2.6758024703988301</v>
      </c>
    </row>
    <row r="196" spans="1:23">
      <c r="A196" s="37" t="s">
        <v>16</v>
      </c>
      <c r="B196" s="37" t="s">
        <v>111</v>
      </c>
      <c r="C196" s="37">
        <v>852.574034593531</v>
      </c>
      <c r="D196" s="39">
        <v>18893040.606592599</v>
      </c>
      <c r="E196" s="38">
        <v>0.217113506493506</v>
      </c>
      <c r="G196" s="29">
        <v>0.5</v>
      </c>
      <c r="H196" s="29">
        <v>3</v>
      </c>
      <c r="W196" s="37">
        <f>SUMPRODUCT(W158:W194,V158:V194/SUM(V158:V194))</f>
        <v>1.1904887164069688</v>
      </c>
    </row>
    <row r="197" spans="1:23">
      <c r="A197" s="37" t="s">
        <v>16</v>
      </c>
      <c r="B197" s="37" t="s">
        <v>111</v>
      </c>
      <c r="C197" s="37">
        <v>194.76274371400601</v>
      </c>
      <c r="D197" s="39">
        <v>7035804.1166684804</v>
      </c>
      <c r="E197" s="38">
        <v>0.224</v>
      </c>
      <c r="G197" s="29">
        <v>0.6</v>
      </c>
      <c r="H197" s="29">
        <v>5</v>
      </c>
      <c r="Q197" s="42">
        <f>SUMPRODUCT(Q158:Q195,P158:P195/SUM(P159:P195))</f>
        <v>1.0881030527613114</v>
      </c>
    </row>
    <row r="198" spans="1:23">
      <c r="A198" s="37" t="s">
        <v>16</v>
      </c>
      <c r="B198" s="37" t="s">
        <v>112</v>
      </c>
      <c r="C198" s="37">
        <v>194.76274371400601</v>
      </c>
      <c r="D198" s="39">
        <v>11685764.622840401</v>
      </c>
      <c r="E198" s="38">
        <v>0.245754896331738</v>
      </c>
      <c r="G198" s="29">
        <v>0.7</v>
      </c>
      <c r="H198" s="29">
        <v>4</v>
      </c>
    </row>
    <row r="199" spans="1:23">
      <c r="A199" s="37" t="s">
        <v>16</v>
      </c>
      <c r="B199" s="37" t="s">
        <v>111</v>
      </c>
      <c r="C199" s="37">
        <v>194.76274371400601</v>
      </c>
      <c r="D199" s="39">
        <v>4869068.5928501599</v>
      </c>
      <c r="E199" s="38">
        <v>0.26984000000000002</v>
      </c>
      <c r="G199" s="29">
        <v>0.8</v>
      </c>
      <c r="H199" s="29">
        <v>3</v>
      </c>
    </row>
    <row r="200" spans="1:23">
      <c r="A200" s="37" t="s">
        <v>16</v>
      </c>
      <c r="B200" s="37" t="s">
        <v>112</v>
      </c>
      <c r="C200" s="37">
        <v>722.11606116330597</v>
      </c>
      <c r="D200" s="39">
        <v>61452076.804997303</v>
      </c>
      <c r="E200" s="38">
        <v>0.28703395522388098</v>
      </c>
      <c r="G200" s="29">
        <v>0.9</v>
      </c>
      <c r="H200" s="29">
        <v>1</v>
      </c>
    </row>
    <row r="201" spans="1:23">
      <c r="A201" s="37" t="s">
        <v>16</v>
      </c>
      <c r="B201" s="37" t="s">
        <v>111</v>
      </c>
      <c r="C201" s="37">
        <v>852.574034593531</v>
      </c>
      <c r="D201" s="39">
        <v>18899008.624834798</v>
      </c>
      <c r="E201" s="38">
        <v>0.28879741594446201</v>
      </c>
      <c r="G201" s="37">
        <v>1</v>
      </c>
      <c r="H201" s="29">
        <v>4</v>
      </c>
    </row>
    <row r="202" spans="1:23">
      <c r="A202" s="37" t="s">
        <v>16</v>
      </c>
      <c r="B202" s="37" t="s">
        <v>110</v>
      </c>
      <c r="C202" s="37">
        <v>194.76274371400601</v>
      </c>
      <c r="D202" s="39">
        <v>856956.07234162802</v>
      </c>
      <c r="E202" s="38">
        <v>0.35282394366197201</v>
      </c>
      <c r="G202" s="29">
        <v>1.1000000000000001</v>
      </c>
      <c r="H202" s="29">
        <v>7</v>
      </c>
    </row>
    <row r="203" spans="1:23">
      <c r="A203" s="37" t="s">
        <v>16</v>
      </c>
      <c r="B203" s="37" t="s">
        <v>111</v>
      </c>
      <c r="C203" s="37">
        <v>194.76274371400601</v>
      </c>
      <c r="D203" s="39">
        <v>4284780.36170814</v>
      </c>
      <c r="E203" s="38">
        <v>0.359410909090909</v>
      </c>
      <c r="G203" s="29">
        <v>1.2</v>
      </c>
      <c r="H203" s="29">
        <v>1</v>
      </c>
    </row>
    <row r="204" spans="1:23">
      <c r="A204" s="37" t="s">
        <v>16</v>
      </c>
      <c r="B204" s="37" t="s">
        <v>111</v>
      </c>
      <c r="C204" s="37">
        <v>722.11606116330597</v>
      </c>
      <c r="D204" s="39">
        <v>22566126.911353301</v>
      </c>
      <c r="E204" s="37">
        <v>0.40701162615103698</v>
      </c>
      <c r="G204" s="29">
        <v>1.3</v>
      </c>
      <c r="H204" s="29">
        <v>4</v>
      </c>
    </row>
    <row r="205" spans="1:23">
      <c r="A205" s="37" t="s">
        <v>16</v>
      </c>
      <c r="B205" s="37" t="s">
        <v>111</v>
      </c>
      <c r="C205" s="37">
        <v>194.76274371400601</v>
      </c>
      <c r="D205" s="39">
        <v>5422389.5477416497</v>
      </c>
      <c r="E205" s="37">
        <v>0.44233055885850198</v>
      </c>
      <c r="G205" s="29">
        <v>1.4</v>
      </c>
      <c r="H205" s="29">
        <v>0</v>
      </c>
    </row>
    <row r="206" spans="1:23">
      <c r="A206" s="37" t="s">
        <v>16</v>
      </c>
      <c r="B206" s="37" t="s">
        <v>111</v>
      </c>
      <c r="C206" s="37">
        <v>194.76274371400601</v>
      </c>
      <c r="D206" s="39">
        <v>6316740.0668763705</v>
      </c>
      <c r="E206" s="37">
        <v>0.47248299549307399</v>
      </c>
      <c r="G206" s="29">
        <v>1.5</v>
      </c>
      <c r="H206" s="29">
        <v>0</v>
      </c>
    </row>
    <row r="207" spans="1:23">
      <c r="A207" s="37" t="s">
        <v>16</v>
      </c>
      <c r="B207" s="37" t="s">
        <v>114</v>
      </c>
      <c r="C207" s="37">
        <v>194.76274371400601</v>
      </c>
      <c r="D207" s="39">
        <v>2775369.0979245901</v>
      </c>
      <c r="E207" s="37">
        <v>0.53804074074074104</v>
      </c>
      <c r="G207" s="29">
        <v>1.6</v>
      </c>
      <c r="H207" s="29">
        <v>0</v>
      </c>
    </row>
    <row r="208" spans="1:23">
      <c r="A208" s="37" t="s">
        <v>16</v>
      </c>
      <c r="B208" s="37" t="s">
        <v>110</v>
      </c>
      <c r="C208" s="37">
        <v>194.76274371400601</v>
      </c>
      <c r="D208" s="39">
        <v>583509.18016716302</v>
      </c>
      <c r="E208" s="37">
        <v>0.54502006847319295</v>
      </c>
      <c r="G208" s="29">
        <v>1.7</v>
      </c>
      <c r="H208" s="29">
        <v>0</v>
      </c>
    </row>
    <row r="209" spans="1:8">
      <c r="A209" s="37" t="s">
        <v>16</v>
      </c>
      <c r="B209" s="37" t="s">
        <v>114</v>
      </c>
      <c r="C209" s="37">
        <v>852.574034593531</v>
      </c>
      <c r="D209" s="39">
        <v>7922117.9294430902</v>
      </c>
      <c r="E209" s="37">
        <v>0.57525203588423601</v>
      </c>
      <c r="G209" s="29">
        <v>1.8</v>
      </c>
      <c r="H209" s="29">
        <v>0</v>
      </c>
    </row>
    <row r="210" spans="1:8">
      <c r="A210" s="37" t="s">
        <v>16</v>
      </c>
      <c r="B210" s="37" t="s">
        <v>111</v>
      </c>
      <c r="C210" s="37">
        <v>194.76274371400601</v>
      </c>
      <c r="D210" s="39">
        <v>7291722.3619086901</v>
      </c>
      <c r="E210" s="37">
        <v>0.57838250961259297</v>
      </c>
      <c r="G210" s="29">
        <v>1.9</v>
      </c>
      <c r="H210" s="29">
        <v>0</v>
      </c>
    </row>
    <row r="211" spans="1:8">
      <c r="A211" s="37" t="s">
        <v>16</v>
      </c>
      <c r="B211" s="37" t="s">
        <v>111</v>
      </c>
      <c r="C211" s="37">
        <v>722.11606116330597</v>
      </c>
      <c r="D211" s="39">
        <v>21155112.127840199</v>
      </c>
      <c r="E211" s="37">
        <v>0.58729457926684903</v>
      </c>
      <c r="G211" s="29">
        <v>2</v>
      </c>
      <c r="H211" s="29">
        <v>0</v>
      </c>
    </row>
    <row r="212" spans="1:8">
      <c r="A212" s="37" t="s">
        <v>16</v>
      </c>
      <c r="B212" s="37" t="s">
        <v>110</v>
      </c>
      <c r="C212" s="37">
        <v>852.574034593531</v>
      </c>
      <c r="D212" s="39">
        <v>3589336.6856387602</v>
      </c>
      <c r="E212" s="37">
        <v>0.60250333669224998</v>
      </c>
    </row>
    <row r="213" spans="1:8">
      <c r="A213" s="37" t="s">
        <v>16</v>
      </c>
      <c r="B213" s="37" t="s">
        <v>112</v>
      </c>
      <c r="C213" s="37">
        <v>194.76274371400601</v>
      </c>
      <c r="D213" s="39">
        <v>10460706.9648793</v>
      </c>
      <c r="E213" s="49">
        <v>0.60279303730183997</v>
      </c>
    </row>
    <row r="214" spans="1:8">
      <c r="A214" s="37" t="s">
        <v>16</v>
      </c>
      <c r="B214" s="37" t="s">
        <v>114</v>
      </c>
      <c r="C214" s="37">
        <v>722.11606116330597</v>
      </c>
      <c r="D214" s="39">
        <v>12091111.328118401</v>
      </c>
      <c r="E214" s="37">
        <v>0.68781482218731105</v>
      </c>
    </row>
    <row r="215" spans="1:8">
      <c r="A215" s="37" t="s">
        <v>16</v>
      </c>
      <c r="B215" s="37" t="s">
        <v>110</v>
      </c>
      <c r="C215" s="37">
        <v>852.574034593531</v>
      </c>
      <c r="D215" s="39">
        <v>3157081.65009984</v>
      </c>
      <c r="E215" s="37">
        <v>0.69428293923353801</v>
      </c>
    </row>
    <row r="216" spans="1:8">
      <c r="A216" s="37" t="s">
        <v>16</v>
      </c>
      <c r="B216" s="37" t="s">
        <v>112</v>
      </c>
      <c r="C216" s="37">
        <v>194.76274371400601</v>
      </c>
      <c r="D216" s="39">
        <v>13282819.121295201</v>
      </c>
      <c r="E216" s="37">
        <v>0.702515959821429</v>
      </c>
    </row>
    <row r="217" spans="1:8">
      <c r="A217" s="37" t="s">
        <v>16</v>
      </c>
      <c r="B217" s="37" t="s">
        <v>110</v>
      </c>
      <c r="C217" s="37">
        <v>852.574034593531</v>
      </c>
      <c r="D217" s="39">
        <v>4016476.2769701201</v>
      </c>
      <c r="E217" s="37">
        <v>0.74193486057062996</v>
      </c>
    </row>
    <row r="218" spans="1:8">
      <c r="A218" s="37" t="s">
        <v>16</v>
      </c>
      <c r="B218" s="37" t="s">
        <v>114</v>
      </c>
      <c r="C218" s="37">
        <v>194.76274371400601</v>
      </c>
      <c r="D218" s="39">
        <v>3447690.0892253402</v>
      </c>
      <c r="E218" s="37">
        <v>0.78751455472282705</v>
      </c>
    </row>
    <row r="219" spans="1:8">
      <c r="A219" s="37" t="s">
        <v>16</v>
      </c>
      <c r="B219" s="37" t="s">
        <v>114</v>
      </c>
      <c r="C219" s="37">
        <v>722.11606116330597</v>
      </c>
      <c r="D219" s="39">
        <v>6499044.5504697496</v>
      </c>
      <c r="E219" s="37">
        <v>0.80600571428571399</v>
      </c>
    </row>
    <row r="220" spans="1:8">
      <c r="A220" s="37" t="s">
        <v>16</v>
      </c>
      <c r="B220" s="37" t="s">
        <v>113</v>
      </c>
      <c r="C220" s="37">
        <v>194.76274371400601</v>
      </c>
      <c r="D220" s="39">
        <v>28824886.069673002</v>
      </c>
      <c r="E220" s="37">
        <v>0.92740244020266305</v>
      </c>
    </row>
    <row r="221" spans="1:8">
      <c r="A221" s="37" t="s">
        <v>16</v>
      </c>
      <c r="B221" s="37" t="s">
        <v>114</v>
      </c>
      <c r="C221" s="37">
        <v>852.574034593531</v>
      </c>
      <c r="D221" s="39">
        <v>12260014.617455</v>
      </c>
      <c r="E221" s="37">
        <v>0.95789744953605005</v>
      </c>
    </row>
    <row r="222" spans="1:8">
      <c r="A222" s="37" t="s">
        <v>16</v>
      </c>
      <c r="B222" s="37" t="s">
        <v>111</v>
      </c>
      <c r="C222" s="37">
        <v>722.11606116330597</v>
      </c>
      <c r="D222" s="39">
        <v>17192139.184176002</v>
      </c>
      <c r="E222" s="37">
        <v>0.96925092095529597</v>
      </c>
    </row>
    <row r="223" spans="1:8">
      <c r="A223" s="37" t="s">
        <v>16</v>
      </c>
      <c r="B223" s="37" t="s">
        <v>114</v>
      </c>
      <c r="C223" s="37">
        <v>722.11606116330597</v>
      </c>
      <c r="D223" s="39">
        <v>10506788.689926101</v>
      </c>
      <c r="E223" s="37">
        <v>0.98910921433061005</v>
      </c>
    </row>
    <row r="224" spans="1:8">
      <c r="A224" s="37" t="s">
        <v>16</v>
      </c>
      <c r="B224" s="37" t="s">
        <v>110</v>
      </c>
      <c r="C224" s="37">
        <v>194.76274371400601</v>
      </c>
      <c r="D224" s="39">
        <v>878379.97415016894</v>
      </c>
      <c r="E224" s="37">
        <v>1.0062544791108301</v>
      </c>
    </row>
    <row r="225" spans="1:11">
      <c r="A225" s="37" t="s">
        <v>16</v>
      </c>
      <c r="B225" s="37" t="s">
        <v>114</v>
      </c>
      <c r="C225" s="37">
        <v>722.11606116330597</v>
      </c>
      <c r="D225" s="39">
        <v>6499044.5504697496</v>
      </c>
      <c r="E225" s="37">
        <v>1.0113497660687001</v>
      </c>
    </row>
    <row r="226" spans="1:11">
      <c r="A226" s="37" t="s">
        <v>16</v>
      </c>
      <c r="B226" s="37" t="s">
        <v>114</v>
      </c>
      <c r="C226" s="37">
        <v>194.76274371400601</v>
      </c>
      <c r="D226" s="39">
        <v>1947627.4371400599</v>
      </c>
      <c r="E226" s="37">
        <v>1.0121846604787501</v>
      </c>
    </row>
    <row r="227" spans="1:11">
      <c r="A227" s="37" t="s">
        <v>16</v>
      </c>
      <c r="B227" s="37" t="s">
        <v>114</v>
      </c>
      <c r="C227" s="37">
        <v>722.11606116330597</v>
      </c>
      <c r="D227" s="39">
        <v>13359147.131521201</v>
      </c>
      <c r="E227" s="37">
        <v>1.03210810810811</v>
      </c>
    </row>
    <row r="228" spans="1:11">
      <c r="A228" s="37" t="s">
        <v>16</v>
      </c>
      <c r="B228" s="37" t="s">
        <v>110</v>
      </c>
      <c r="C228" s="37">
        <v>852.574034593531</v>
      </c>
      <c r="D228" s="39">
        <v>2498041.9213590501</v>
      </c>
      <c r="E228" s="37">
        <v>1.07041641641642</v>
      </c>
    </row>
    <row r="229" spans="1:11">
      <c r="A229" s="37" t="s">
        <v>16</v>
      </c>
      <c r="B229" s="37" t="s">
        <v>114</v>
      </c>
      <c r="C229" s="37">
        <v>194.76274371400601</v>
      </c>
      <c r="D229" s="39">
        <v>1512137.9421955501</v>
      </c>
      <c r="E229" s="37">
        <v>1.07883470397328</v>
      </c>
    </row>
    <row r="230" spans="1:11">
      <c r="A230" s="37" t="s">
        <v>16</v>
      </c>
      <c r="B230" s="37" t="s">
        <v>114</v>
      </c>
      <c r="C230" s="37">
        <v>852.574034593531</v>
      </c>
      <c r="D230" s="39">
        <v>5241625.1646810304</v>
      </c>
      <c r="E230" s="37">
        <v>1.09076115169221</v>
      </c>
    </row>
    <row r="231" spans="1:11">
      <c r="A231" s="37" t="s">
        <v>16</v>
      </c>
      <c r="B231" s="37" t="s">
        <v>114</v>
      </c>
      <c r="C231" s="37">
        <v>194.76274371400601</v>
      </c>
      <c r="D231" s="39">
        <v>2444272.4336107802</v>
      </c>
      <c r="E231" s="37">
        <v>1.1200000000000001</v>
      </c>
    </row>
    <row r="232" spans="1:11">
      <c r="A232" s="37" t="s">
        <v>16</v>
      </c>
      <c r="B232" s="37" t="s">
        <v>111</v>
      </c>
      <c r="C232" s="37">
        <v>722.11606116330597</v>
      </c>
      <c r="D232" s="39">
        <v>14570857.8821532</v>
      </c>
      <c r="E232" s="37">
        <v>1.2248762321122</v>
      </c>
    </row>
    <row r="233" spans="1:11">
      <c r="A233" s="37" t="s">
        <v>16</v>
      </c>
      <c r="B233" s="37" t="s">
        <v>114</v>
      </c>
      <c r="C233" s="37">
        <v>722.11606116330597</v>
      </c>
      <c r="D233" s="39">
        <v>4177441.4138297201</v>
      </c>
      <c r="E233" s="37">
        <v>1.24328744939271</v>
      </c>
    </row>
    <row r="234" spans="1:11">
      <c r="A234" s="37" t="s">
        <v>16</v>
      </c>
      <c r="B234" s="37" t="s">
        <v>114</v>
      </c>
      <c r="C234" s="37">
        <v>852.574034593531</v>
      </c>
      <c r="D234" s="39">
        <v>5933915.2807709798</v>
      </c>
      <c r="E234" s="37">
        <v>1.25</v>
      </c>
    </row>
    <row r="235" spans="1:11">
      <c r="A235" s="37" t="s">
        <v>16</v>
      </c>
      <c r="B235" s="37" t="s">
        <v>114</v>
      </c>
      <c r="C235" s="37">
        <v>194.76274371400601</v>
      </c>
      <c r="D235" s="39">
        <v>1042564.96710108</v>
      </c>
      <c r="E235" s="37">
        <v>1.2942524495668299</v>
      </c>
    </row>
    <row r="238" spans="1:11">
      <c r="A238" s="36" t="s">
        <v>105</v>
      </c>
      <c r="B238" s="36" t="s">
        <v>106</v>
      </c>
      <c r="C238" s="36" t="s">
        <v>107</v>
      </c>
      <c r="D238" s="36" t="s">
        <v>108</v>
      </c>
      <c r="E238" s="36" t="s">
        <v>109</v>
      </c>
      <c r="G238" s="36" t="s">
        <v>105</v>
      </c>
      <c r="H238" s="36" t="s">
        <v>106</v>
      </c>
      <c r="I238" s="36" t="s">
        <v>107</v>
      </c>
      <c r="J238" s="36" t="s">
        <v>108</v>
      </c>
      <c r="K238" s="36" t="s">
        <v>109</v>
      </c>
    </row>
    <row r="239" spans="1:11">
      <c r="A239" s="37" t="s">
        <v>28</v>
      </c>
      <c r="B239" s="37" t="s">
        <v>110</v>
      </c>
      <c r="C239" s="37">
        <v>86.201499118165799</v>
      </c>
      <c r="D239" s="39">
        <v>344805.99647266301</v>
      </c>
      <c r="E239" s="38">
        <v>0.26681261392635802</v>
      </c>
      <c r="G239" s="37" t="s">
        <v>28</v>
      </c>
      <c r="H239" s="37" t="s">
        <v>114</v>
      </c>
      <c r="I239" s="37">
        <v>97.814348978341002</v>
      </c>
      <c r="J239" s="39">
        <v>949190.44248582097</v>
      </c>
      <c r="K239" s="38">
        <v>0.51309308905018503</v>
      </c>
    </row>
    <row r="240" spans="1:11">
      <c r="A240" s="37" t="s">
        <v>28</v>
      </c>
      <c r="B240" s="37" t="s">
        <v>110</v>
      </c>
      <c r="C240" s="37">
        <v>86.201499118165799</v>
      </c>
      <c r="D240" s="39">
        <v>227571.95767195799</v>
      </c>
      <c r="E240" s="38">
        <v>0.41716066445182698</v>
      </c>
      <c r="G240" s="37" t="s">
        <v>28</v>
      </c>
      <c r="H240" s="37" t="s">
        <v>114</v>
      </c>
      <c r="I240" s="37">
        <v>59.7383607246963</v>
      </c>
      <c r="J240" s="39">
        <v>1075290.49304453</v>
      </c>
      <c r="K240" s="38">
        <v>0.62139357409713603</v>
      </c>
    </row>
    <row r="241" spans="1:11">
      <c r="A241" s="37" t="s">
        <v>28</v>
      </c>
      <c r="B241" s="37" t="s">
        <v>110</v>
      </c>
      <c r="C241" s="37">
        <v>105.006108768516</v>
      </c>
      <c r="D241" s="39">
        <v>164649.57854903201</v>
      </c>
      <c r="E241" s="38">
        <v>0.41798190281463399</v>
      </c>
      <c r="G241" s="37" t="s">
        <v>28</v>
      </c>
      <c r="H241" s="37" t="s">
        <v>112</v>
      </c>
      <c r="I241" s="37">
        <v>59.7383607246963</v>
      </c>
      <c r="J241" s="39">
        <v>3060933.8651727098</v>
      </c>
      <c r="K241" s="38">
        <v>0.65372488163606801</v>
      </c>
    </row>
    <row r="242" spans="1:11">
      <c r="A242" s="37" t="s">
        <v>28</v>
      </c>
      <c r="B242" s="37" t="s">
        <v>110</v>
      </c>
      <c r="C242" s="37">
        <v>105.006108768516</v>
      </c>
      <c r="D242" s="39">
        <v>352820.52546221198</v>
      </c>
      <c r="E242" s="38">
        <v>0.50128671328671304</v>
      </c>
      <c r="G242" s="37" t="s">
        <v>28</v>
      </c>
      <c r="H242" s="37" t="s">
        <v>111</v>
      </c>
      <c r="I242" s="37">
        <v>92.654547578317505</v>
      </c>
      <c r="J242" s="39">
        <v>2053595.3925258301</v>
      </c>
      <c r="K242" s="38">
        <v>0.69191120689655194</v>
      </c>
    </row>
    <row r="243" spans="1:11">
      <c r="A243" s="37" t="s">
        <v>28</v>
      </c>
      <c r="B243" s="37" t="s">
        <v>110</v>
      </c>
      <c r="C243" s="37">
        <v>105.006108768516</v>
      </c>
      <c r="D243" s="39">
        <v>262515.27192128898</v>
      </c>
      <c r="E243" s="38">
        <v>0.50319999999999998</v>
      </c>
      <c r="G243" s="37" t="s">
        <v>28</v>
      </c>
      <c r="H243" s="37" t="s">
        <v>114</v>
      </c>
      <c r="I243" s="37">
        <v>59.7383607246963</v>
      </c>
      <c r="J243" s="39">
        <v>370377.83649311698</v>
      </c>
      <c r="K243" s="38">
        <v>0.69297945295118402</v>
      </c>
    </row>
    <row r="244" spans="1:11">
      <c r="A244" s="37" t="s">
        <v>28</v>
      </c>
      <c r="B244" s="37" t="s">
        <v>110</v>
      </c>
      <c r="C244" s="37">
        <v>105.006108768516</v>
      </c>
      <c r="D244" s="39">
        <v>257264.966482863</v>
      </c>
      <c r="E244" s="38">
        <v>0.63775085470085502</v>
      </c>
      <c r="G244" s="37" t="s">
        <v>28</v>
      </c>
      <c r="H244" s="37" t="s">
        <v>114</v>
      </c>
      <c r="I244" s="37">
        <v>59.7383607246963</v>
      </c>
      <c r="J244" s="39">
        <v>519305.569779785</v>
      </c>
      <c r="K244" s="38">
        <v>0.74352386485941702</v>
      </c>
    </row>
    <row r="245" spans="1:11">
      <c r="A245" s="37" t="s">
        <v>28</v>
      </c>
      <c r="B245" s="37" t="s">
        <v>110</v>
      </c>
      <c r="C245" s="37">
        <v>115.532823110919</v>
      </c>
      <c r="D245" s="39">
        <v>415918.16319931002</v>
      </c>
      <c r="E245" s="38">
        <v>0.65620214395099496</v>
      </c>
      <c r="G245" s="37" t="s">
        <v>28</v>
      </c>
      <c r="H245" s="37" t="s">
        <v>114</v>
      </c>
      <c r="I245" s="37">
        <v>59.7383607246963</v>
      </c>
      <c r="J245" s="39">
        <v>349529.14860019798</v>
      </c>
      <c r="K245" s="38">
        <v>0.755768244744488</v>
      </c>
    </row>
    <row r="246" spans="1:11">
      <c r="A246" s="37" t="s">
        <v>28</v>
      </c>
      <c r="B246" s="37" t="s">
        <v>110</v>
      </c>
      <c r="C246" s="37">
        <v>86.201499118165799</v>
      </c>
      <c r="D246" s="39">
        <v>425663.00264550297</v>
      </c>
      <c r="E246" s="38">
        <v>0.66172099680104002</v>
      </c>
      <c r="G246" s="37" t="s">
        <v>28</v>
      </c>
      <c r="H246" s="37" t="s">
        <v>114</v>
      </c>
      <c r="I246" s="37">
        <v>59.7383607246963</v>
      </c>
      <c r="J246" s="39">
        <v>716860.32869635499</v>
      </c>
      <c r="K246" s="38">
        <v>0.86321734693877505</v>
      </c>
    </row>
    <row r="247" spans="1:11">
      <c r="A247" s="37" t="s">
        <v>28</v>
      </c>
      <c r="B247" s="37" t="s">
        <v>110</v>
      </c>
      <c r="C247" s="37">
        <v>105.006108768516</v>
      </c>
      <c r="D247" s="39">
        <v>242354.09903773401</v>
      </c>
      <c r="E247" s="38">
        <v>0.67134971581940694</v>
      </c>
      <c r="G247" s="37" t="s">
        <v>28</v>
      </c>
      <c r="H247" s="37" t="s">
        <v>114</v>
      </c>
      <c r="I247" s="37">
        <v>97.814348978341002</v>
      </c>
      <c r="J247" s="39">
        <v>1185509.9096174899</v>
      </c>
      <c r="K247" s="38">
        <v>0.87920736265588095</v>
      </c>
    </row>
    <row r="248" spans="1:11">
      <c r="A248" s="37" t="s">
        <v>28</v>
      </c>
      <c r="B248" s="37" t="s">
        <v>110</v>
      </c>
      <c r="C248" s="37">
        <v>115.532823110919</v>
      </c>
      <c r="D248" s="39">
        <v>215353.18227875399</v>
      </c>
      <c r="E248" s="37">
        <v>0.68625199093943701</v>
      </c>
      <c r="G248" s="37" t="s">
        <v>28</v>
      </c>
      <c r="H248" s="37" t="s">
        <v>114</v>
      </c>
      <c r="I248" s="37">
        <v>97.814348978341002</v>
      </c>
      <c r="J248" s="39">
        <v>495723.12062223197</v>
      </c>
      <c r="K248" s="38">
        <v>0.91900205401857105</v>
      </c>
    </row>
    <row r="249" spans="1:11">
      <c r="A249" s="37" t="s">
        <v>28</v>
      </c>
      <c r="B249" s="37" t="s">
        <v>110</v>
      </c>
      <c r="C249" s="37">
        <v>105.006108768516</v>
      </c>
      <c r="D249" s="39">
        <v>403223.45767109998</v>
      </c>
      <c r="E249" s="37">
        <v>0.777484485301702</v>
      </c>
      <c r="G249" s="37" t="s">
        <v>28</v>
      </c>
      <c r="H249" s="37" t="s">
        <v>112</v>
      </c>
      <c r="I249" s="37">
        <v>59.7383607246963</v>
      </c>
      <c r="J249" s="39">
        <v>3368287.7311012698</v>
      </c>
      <c r="K249" s="37">
        <v>0.94178802435623798</v>
      </c>
    </row>
    <row r="250" spans="1:11">
      <c r="A250" s="37" t="s">
        <v>28</v>
      </c>
      <c r="B250" s="37" t="s">
        <v>110</v>
      </c>
      <c r="C250" s="37">
        <v>86.201499118165799</v>
      </c>
      <c r="D250" s="39">
        <v>258604.497354497</v>
      </c>
      <c r="E250" s="37">
        <v>0.78991174225072502</v>
      </c>
      <c r="G250" s="37" t="s">
        <v>28</v>
      </c>
      <c r="H250" s="37" t="s">
        <v>114</v>
      </c>
      <c r="I250" s="37">
        <v>59.7383607246963</v>
      </c>
      <c r="J250" s="39">
        <v>716860.32869635499</v>
      </c>
      <c r="K250" s="37">
        <v>0.95982196748665405</v>
      </c>
    </row>
    <row r="251" spans="1:11">
      <c r="A251" s="37" t="s">
        <v>28</v>
      </c>
      <c r="B251" s="37" t="s">
        <v>110</v>
      </c>
      <c r="C251" s="37">
        <v>105.006108768516</v>
      </c>
      <c r="D251" s="39">
        <v>252014.661044437</v>
      </c>
      <c r="E251" s="37">
        <v>0.79026249999999998</v>
      </c>
      <c r="G251" s="37" t="s">
        <v>28</v>
      </c>
      <c r="H251" s="37" t="s">
        <v>114</v>
      </c>
      <c r="I251" s="37">
        <v>97.814348978341002</v>
      </c>
      <c r="J251" s="39">
        <v>503450.45419152098</v>
      </c>
      <c r="K251" s="37">
        <v>0.97834793145519106</v>
      </c>
    </row>
    <row r="252" spans="1:11">
      <c r="A252" s="37" t="s">
        <v>28</v>
      </c>
      <c r="B252" s="37" t="s">
        <v>110</v>
      </c>
      <c r="C252" s="37">
        <v>115.532823110919</v>
      </c>
      <c r="D252" s="39">
        <v>247240.24145736801</v>
      </c>
      <c r="E252" s="37">
        <v>0.81606125356125303</v>
      </c>
      <c r="G252" s="37" t="s">
        <v>28</v>
      </c>
      <c r="H252" s="37" t="s">
        <v>114</v>
      </c>
      <c r="I252" s="37">
        <v>92.654547578317505</v>
      </c>
      <c r="J252" s="39">
        <v>873547.07456837804</v>
      </c>
      <c r="K252" s="37">
        <v>1.0181519817956901</v>
      </c>
    </row>
    <row r="253" spans="1:11">
      <c r="A253" s="37" t="s">
        <v>28</v>
      </c>
      <c r="B253" s="37" t="s">
        <v>110</v>
      </c>
      <c r="C253" s="37">
        <v>86.201499118165799</v>
      </c>
      <c r="D253" s="39">
        <v>297395.17195767199</v>
      </c>
      <c r="E253" s="37">
        <v>0.9515918810749</v>
      </c>
      <c r="G253" s="37" t="s">
        <v>28</v>
      </c>
      <c r="H253" s="37" t="s">
        <v>111</v>
      </c>
      <c r="I253" s="37">
        <v>92.654547578317505</v>
      </c>
      <c r="J253" s="39">
        <v>3520872.8079760699</v>
      </c>
      <c r="K253" s="37">
        <v>1.04610526315789</v>
      </c>
    </row>
    <row r="254" spans="1:11">
      <c r="A254" s="37" t="s">
        <v>28</v>
      </c>
      <c r="B254" s="37" t="s">
        <v>110</v>
      </c>
      <c r="C254" s="37">
        <v>86.201499118165799</v>
      </c>
      <c r="D254" s="39">
        <v>416008.43474426802</v>
      </c>
      <c r="E254" s="37">
        <v>0.98876420379270902</v>
      </c>
      <c r="G254" s="37" t="s">
        <v>28</v>
      </c>
      <c r="H254" s="37" t="s">
        <v>114</v>
      </c>
      <c r="I254" s="37">
        <v>59.7383607246963</v>
      </c>
      <c r="J254" s="39">
        <v>896075.41087044403</v>
      </c>
      <c r="K254" s="37">
        <v>1.07050621118012</v>
      </c>
    </row>
    <row r="255" spans="1:11">
      <c r="A255" s="37" t="s">
        <v>28</v>
      </c>
      <c r="B255" s="37" t="s">
        <v>110</v>
      </c>
      <c r="C255" s="37">
        <v>105.006108768516</v>
      </c>
      <c r="D255" s="39">
        <v>216942.620715753</v>
      </c>
      <c r="E255" s="37">
        <v>0.99666134764733105</v>
      </c>
      <c r="G255" s="37" t="s">
        <v>28</v>
      </c>
      <c r="H255" s="37" t="s">
        <v>111</v>
      </c>
      <c r="I255" s="37">
        <v>97.814348978341002</v>
      </c>
      <c r="J255" s="39">
        <v>3625391.0305332299</v>
      </c>
      <c r="K255" s="37">
        <v>1.07345985773288</v>
      </c>
    </row>
    <row r="256" spans="1:11">
      <c r="A256" s="37" t="s">
        <v>28</v>
      </c>
      <c r="B256" s="37" t="s">
        <v>110</v>
      </c>
      <c r="C256" s="37">
        <v>86.201499118165799</v>
      </c>
      <c r="D256" s="39">
        <v>322393.60670194001</v>
      </c>
      <c r="E256" s="46">
        <v>1.00429136500754</v>
      </c>
      <c r="G256" s="37" t="s">
        <v>28</v>
      </c>
      <c r="H256" s="37" t="s">
        <v>111</v>
      </c>
      <c r="I256" s="37">
        <v>97.814348978341002</v>
      </c>
      <c r="J256" s="39">
        <v>4614489.7274022102</v>
      </c>
      <c r="K256" s="46">
        <v>1.07675892478867</v>
      </c>
    </row>
    <row r="257" spans="1:11">
      <c r="A257" s="37" t="s">
        <v>28</v>
      </c>
      <c r="B257" s="37" t="s">
        <v>110</v>
      </c>
      <c r="C257" s="37">
        <v>105.006108768516</v>
      </c>
      <c r="D257" s="39">
        <v>397448.12168883102</v>
      </c>
      <c r="E257" s="37">
        <v>1.0109690402476801</v>
      </c>
      <c r="G257" s="37" t="s">
        <v>28</v>
      </c>
      <c r="H257" s="37" t="s">
        <v>114</v>
      </c>
      <c r="I257" s="37">
        <v>92.654547578317505</v>
      </c>
      <c r="J257" s="39">
        <v>1621454.58262056</v>
      </c>
      <c r="K257" s="37">
        <v>1.0861848940533201</v>
      </c>
    </row>
    <row r="258" spans="1:11">
      <c r="A258" s="37" t="s">
        <v>28</v>
      </c>
      <c r="B258" s="37" t="s">
        <v>110</v>
      </c>
      <c r="C258" s="37">
        <v>115.532823110919</v>
      </c>
      <c r="D258" s="39">
        <v>233722.90115339</v>
      </c>
      <c r="E258" s="37">
        <v>1.0554855683209301</v>
      </c>
      <c r="G258" s="37" t="s">
        <v>28</v>
      </c>
      <c r="H258" s="37" t="s">
        <v>111</v>
      </c>
      <c r="I258" s="37">
        <v>92.654547578317505</v>
      </c>
      <c r="J258" s="39">
        <v>4368661.91831767</v>
      </c>
      <c r="K258" s="37">
        <v>1.0965429480381801</v>
      </c>
    </row>
    <row r="259" spans="1:11">
      <c r="A259" s="37" t="s">
        <v>28</v>
      </c>
      <c r="B259" s="37" t="s">
        <v>110</v>
      </c>
      <c r="C259" s="37">
        <v>115.532823110919</v>
      </c>
      <c r="D259" s="39">
        <v>329384.07868923101</v>
      </c>
      <c r="E259" s="37">
        <v>1.05554764104613</v>
      </c>
      <c r="G259" s="37" t="s">
        <v>28</v>
      </c>
      <c r="H259" s="37" t="s">
        <v>114</v>
      </c>
      <c r="I259" s="37">
        <v>59.7383607246963</v>
      </c>
      <c r="J259" s="39">
        <v>940222.05944599502</v>
      </c>
      <c r="K259" s="37">
        <v>1.1335662643717299</v>
      </c>
    </row>
    <row r="260" spans="1:11">
      <c r="A260" s="37" t="s">
        <v>28</v>
      </c>
      <c r="B260" s="37" t="s">
        <v>110</v>
      </c>
      <c r="C260" s="37">
        <v>115.532823110919</v>
      </c>
      <c r="D260" s="39">
        <v>277394.308289318</v>
      </c>
      <c r="E260" s="37">
        <v>1.15573529411765</v>
      </c>
      <c r="G260" s="37" t="s">
        <v>28</v>
      </c>
      <c r="H260" s="37" t="s">
        <v>114</v>
      </c>
      <c r="I260" s="37">
        <v>97.814348978341002</v>
      </c>
      <c r="J260" s="39">
        <v>1158121.8919035599</v>
      </c>
      <c r="K260" s="37">
        <v>1.14883914268028</v>
      </c>
    </row>
    <row r="261" spans="1:11">
      <c r="A261" s="37" t="s">
        <v>28</v>
      </c>
      <c r="B261" s="37" t="s">
        <v>110</v>
      </c>
      <c r="C261" s="37">
        <v>105.006108768516</v>
      </c>
      <c r="D261" s="39">
        <v>249494.514433993</v>
      </c>
      <c r="E261" s="37">
        <v>1.16531317392561</v>
      </c>
      <c r="G261" s="37" t="s">
        <v>28</v>
      </c>
      <c r="H261" s="37" t="s">
        <v>114</v>
      </c>
      <c r="I261" s="37">
        <v>97.814348978341002</v>
      </c>
      <c r="J261" s="39">
        <v>581995.37642112898</v>
      </c>
      <c r="K261" s="37">
        <v>1.1503088661169301</v>
      </c>
    </row>
    <row r="262" spans="1:11">
      <c r="A262" s="37" t="s">
        <v>28</v>
      </c>
      <c r="B262" s="37" t="s">
        <v>110</v>
      </c>
      <c r="C262" s="37">
        <v>86.201499118165799</v>
      </c>
      <c r="D262" s="39">
        <v>383424.26807760098</v>
      </c>
      <c r="E262" s="37">
        <v>1.2336337270031701</v>
      </c>
      <c r="G262" s="37" t="s">
        <v>28</v>
      </c>
      <c r="H262" s="37" t="s">
        <v>114</v>
      </c>
      <c r="I262" s="37">
        <v>92.654547578317505</v>
      </c>
      <c r="J262" s="39">
        <v>926545.47578317497</v>
      </c>
      <c r="K262" s="37">
        <v>1.15116</v>
      </c>
    </row>
    <row r="263" spans="1:11">
      <c r="A263" s="37" t="s">
        <v>28</v>
      </c>
      <c r="B263" s="37" t="s">
        <v>110</v>
      </c>
      <c r="C263" s="37">
        <v>105.006108768516</v>
      </c>
      <c r="D263" s="39">
        <v>257579.98480916899</v>
      </c>
      <c r="E263" s="37">
        <v>1.39029070597723</v>
      </c>
      <c r="G263" s="37" t="s">
        <v>28</v>
      </c>
      <c r="H263" s="37" t="s">
        <v>114</v>
      </c>
      <c r="I263" s="37">
        <v>59.7383607246963</v>
      </c>
      <c r="J263" s="39">
        <v>661602.345026011</v>
      </c>
      <c r="K263" s="37">
        <v>1.1695021573870901</v>
      </c>
    </row>
    <row r="264" spans="1:11">
      <c r="A264" s="37" t="s">
        <v>28</v>
      </c>
      <c r="B264" s="37" t="s">
        <v>110</v>
      </c>
      <c r="C264" s="37">
        <v>115.532823110919</v>
      </c>
      <c r="D264" s="39">
        <v>479923.34720275999</v>
      </c>
      <c r="E264" s="37">
        <v>1.39092872570194</v>
      </c>
      <c r="G264" s="37" t="s">
        <v>28</v>
      </c>
      <c r="H264" s="37" t="s">
        <v>114</v>
      </c>
      <c r="I264" s="37">
        <v>92.654547578317505</v>
      </c>
      <c r="J264" s="39">
        <v>1642023.8921829399</v>
      </c>
      <c r="K264" s="37">
        <v>1.17526350706017</v>
      </c>
    </row>
    <row r="265" spans="1:11">
      <c r="A265" s="37" t="s">
        <v>28</v>
      </c>
      <c r="B265" s="37" t="s">
        <v>110</v>
      </c>
      <c r="C265" s="37">
        <v>86.201499118165799</v>
      </c>
      <c r="D265" s="39">
        <v>284464.947089947</v>
      </c>
      <c r="E265" s="37">
        <v>1.42868666666667</v>
      </c>
      <c r="G265" s="37" t="s">
        <v>28</v>
      </c>
      <c r="H265" s="37" t="s">
        <v>112</v>
      </c>
      <c r="I265" s="37">
        <v>97.814348978341002</v>
      </c>
      <c r="J265" s="39">
        <v>6320078.5305375503</v>
      </c>
      <c r="K265" s="37">
        <v>1.2425452834265001</v>
      </c>
    </row>
    <row r="266" spans="1:11">
      <c r="A266" s="37" t="s">
        <v>28</v>
      </c>
      <c r="B266" s="37" t="s">
        <v>110</v>
      </c>
      <c r="C266" s="37">
        <v>115.532823110919</v>
      </c>
      <c r="D266" s="39">
        <v>259948.85199956899</v>
      </c>
      <c r="E266" s="37">
        <v>1.4857121584394299</v>
      </c>
      <c r="G266" s="37" t="s">
        <v>28</v>
      </c>
      <c r="H266" s="37" t="s">
        <v>111</v>
      </c>
      <c r="I266" s="37">
        <v>59.7383607246963</v>
      </c>
      <c r="J266" s="39">
        <v>2943786.9397915802</v>
      </c>
      <c r="K266" s="37">
        <v>1.28103466327334</v>
      </c>
    </row>
    <row r="267" spans="1:11">
      <c r="A267" s="37" t="s">
        <v>28</v>
      </c>
      <c r="B267" s="37" t="s">
        <v>110</v>
      </c>
      <c r="C267" s="37">
        <v>115.532823110919</v>
      </c>
      <c r="D267" s="39">
        <v>352952.774603859</v>
      </c>
      <c r="E267" s="37">
        <v>1.5035208140549401</v>
      </c>
      <c r="G267" s="37" t="s">
        <v>28</v>
      </c>
      <c r="H267" s="37" t="s">
        <v>114</v>
      </c>
      <c r="I267" s="37">
        <v>92.654547578317505</v>
      </c>
      <c r="J267" s="39">
        <v>487084.95661921502</v>
      </c>
      <c r="K267" s="37">
        <v>1.3061186623516701</v>
      </c>
    </row>
    <row r="268" spans="1:11">
      <c r="A268" s="37" t="s">
        <v>28</v>
      </c>
      <c r="B268" s="37" t="s">
        <v>110</v>
      </c>
      <c r="C268" s="37">
        <v>105.006108768516</v>
      </c>
      <c r="D268" s="39">
        <v>449426.14552924602</v>
      </c>
      <c r="E268" s="37">
        <v>1.5769115596885599</v>
      </c>
      <c r="G268" s="37" t="s">
        <v>28</v>
      </c>
      <c r="H268" s="37" t="s">
        <v>114</v>
      </c>
      <c r="I268" s="37">
        <v>92.654547578317505</v>
      </c>
      <c r="J268" s="39">
        <v>703803.94340490003</v>
      </c>
      <c r="K268" s="37">
        <v>1.3453281066920699</v>
      </c>
    </row>
    <row r="269" spans="1:11">
      <c r="A269" s="37" t="s">
        <v>28</v>
      </c>
      <c r="B269" s="37" t="s">
        <v>110</v>
      </c>
      <c r="C269" s="37">
        <v>86.201499118165799</v>
      </c>
      <c r="D269" s="39">
        <v>218089.79276895901</v>
      </c>
      <c r="E269" s="37">
        <v>1.63685712045418</v>
      </c>
      <c r="G269" s="37" t="s">
        <v>28</v>
      </c>
      <c r="H269" s="37" t="s">
        <v>114</v>
      </c>
      <c r="I269" s="37">
        <v>92.654547578317505</v>
      </c>
      <c r="J269" s="39">
        <v>1454676.3969795899</v>
      </c>
      <c r="K269" s="37">
        <v>1.34636942675159</v>
      </c>
    </row>
    <row r="270" spans="1:11">
      <c r="A270" s="37" t="s">
        <v>28</v>
      </c>
      <c r="B270" s="37" t="s">
        <v>110</v>
      </c>
      <c r="C270" s="37">
        <v>105.006108768516</v>
      </c>
      <c r="D270" s="39">
        <v>141758.246837496</v>
      </c>
      <c r="E270" s="37">
        <v>1.6479595959596001</v>
      </c>
      <c r="G270" s="37" t="s">
        <v>28</v>
      </c>
      <c r="H270" s="37" t="s">
        <v>111</v>
      </c>
      <c r="I270" s="37">
        <v>59.7383607246963</v>
      </c>
      <c r="J270" s="39">
        <v>1961449.33603468</v>
      </c>
      <c r="K270" s="37">
        <v>1.4003881252386401</v>
      </c>
    </row>
    <row r="271" spans="1:11">
      <c r="A271" s="37" t="s">
        <v>28</v>
      </c>
      <c r="B271" s="37" t="s">
        <v>110</v>
      </c>
      <c r="C271" s="37">
        <v>115.532823110919</v>
      </c>
      <c r="D271" s="39">
        <v>412452.17850598303</v>
      </c>
      <c r="E271" s="37">
        <v>1.7096388247538301</v>
      </c>
      <c r="G271" s="37" t="s">
        <v>28</v>
      </c>
      <c r="H271" s="37" t="s">
        <v>112</v>
      </c>
      <c r="I271" s="37">
        <v>92.654547578317505</v>
      </c>
      <c r="J271" s="39">
        <v>5825839.9880818697</v>
      </c>
      <c r="K271" s="37">
        <v>1.5708702647300801</v>
      </c>
    </row>
    <row r="272" spans="1:11">
      <c r="A272" s="37" t="s">
        <v>28</v>
      </c>
      <c r="B272" s="37" t="s">
        <v>110</v>
      </c>
      <c r="C272" s="37">
        <v>115.532823110919</v>
      </c>
      <c r="D272" s="39">
        <v>323491.90471057501</v>
      </c>
      <c r="E272" s="37">
        <v>1.7778571428571399</v>
      </c>
      <c r="G272" s="37" t="s">
        <v>28</v>
      </c>
      <c r="H272" s="37" t="s">
        <v>111</v>
      </c>
      <c r="I272" s="37">
        <v>97.814348978341002</v>
      </c>
      <c r="J272" s="39">
        <v>3227873.51628525</v>
      </c>
      <c r="K272" s="37">
        <v>1.59235461538462</v>
      </c>
    </row>
    <row r="273" spans="1:11">
      <c r="A273" s="37" t="s">
        <v>28</v>
      </c>
      <c r="B273" s="37" t="s">
        <v>110</v>
      </c>
      <c r="C273" s="37">
        <v>115.532823110919</v>
      </c>
      <c r="D273" s="39">
        <v>161745.95235528701</v>
      </c>
      <c r="E273" s="37">
        <v>1.8285714285714301</v>
      </c>
      <c r="G273" s="37" t="s">
        <v>28</v>
      </c>
      <c r="H273" s="37" t="s">
        <v>114</v>
      </c>
      <c r="I273" s="37">
        <v>59.7383607246963</v>
      </c>
      <c r="J273" s="39">
        <v>597383.60724696296</v>
      </c>
      <c r="K273" s="37">
        <v>1.9359999999999999</v>
      </c>
    </row>
    <row r="274" spans="1:11">
      <c r="A274" s="37" t="s">
        <v>28</v>
      </c>
      <c r="B274" s="37" t="s">
        <v>110</v>
      </c>
      <c r="C274" s="37">
        <v>105.006108768516</v>
      </c>
      <c r="D274" s="39">
        <v>237313.80581684501</v>
      </c>
      <c r="E274" s="37">
        <v>1.84522021125505</v>
      </c>
      <c r="G274" s="37" t="s">
        <v>28</v>
      </c>
      <c r="H274" s="37" t="s">
        <v>114</v>
      </c>
      <c r="I274" s="37">
        <v>92.654547578317505</v>
      </c>
      <c r="J274" s="39">
        <v>1111854.57093981</v>
      </c>
      <c r="K274" s="37">
        <v>1.9584134716011801</v>
      </c>
    </row>
    <row r="275" spans="1:11">
      <c r="A275" s="37" t="s">
        <v>28</v>
      </c>
      <c r="B275" s="37" t="s">
        <v>110</v>
      </c>
      <c r="C275" s="37">
        <v>86.201499118165799</v>
      </c>
      <c r="D275" s="39">
        <v>340668.32451499102</v>
      </c>
      <c r="E275" s="37">
        <v>1.8828441295546601</v>
      </c>
    </row>
    <row r="276" spans="1:11">
      <c r="A276" s="37" t="s">
        <v>28</v>
      </c>
      <c r="B276" s="37" t="s">
        <v>110</v>
      </c>
      <c r="C276" s="37">
        <v>115.532823110919</v>
      </c>
      <c r="D276" s="39">
        <v>577664.115554597</v>
      </c>
      <c r="E276" s="37">
        <v>2.0480809716599202</v>
      </c>
    </row>
  </sheetData>
  <sortState ref="AJ79:AO148">
    <sortCondition descending="1" ref="AO79:AO148"/>
  </sortState>
  <mergeCells count="6">
    <mergeCell ref="A5:L5"/>
    <mergeCell ref="A6:A7"/>
    <mergeCell ref="B6:L6"/>
    <mergeCell ref="A39:L39"/>
    <mergeCell ref="A40:A41"/>
    <mergeCell ref="B40:L40"/>
  </mergeCells>
  <pageMargins left="0.75" right="0.75" top="1" bottom="1" header="0.5" footer="0.5"/>
  <pageSetup orientation="landscape" horizontalDpi="300" verticalDpi="300"/>
  <headerFooter>
    <oddHeader>LPD_IND DISTRIBUTIONS_x000D_BY BUILIDING TYPE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8"/>
  <dimension ref="B2:V25"/>
  <sheetViews>
    <sheetView workbookViewId="0">
      <selection activeCell="Y25" sqref="Y25"/>
    </sheetView>
  </sheetViews>
  <sheetFormatPr defaultRowHeight="12.75"/>
  <cols>
    <col min="2" max="2" width="27.28515625" customWidth="1"/>
    <col min="3" max="22" width="7.140625" customWidth="1"/>
  </cols>
  <sheetData>
    <row r="2" spans="2:22">
      <c r="B2" s="83" t="s">
        <v>320</v>
      </c>
    </row>
    <row r="3" spans="2:22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</row>
    <row r="4" spans="2:22">
      <c r="B4" s="162" t="s">
        <v>298</v>
      </c>
      <c r="C4" s="162" t="s">
        <v>299</v>
      </c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4"/>
    </row>
    <row r="5" spans="2:22" ht="89.25">
      <c r="B5" s="165" t="s">
        <v>300</v>
      </c>
      <c r="C5" s="165" t="s">
        <v>301</v>
      </c>
      <c r="D5" s="166" t="s">
        <v>302</v>
      </c>
      <c r="E5" s="166" t="s">
        <v>303</v>
      </c>
      <c r="F5" s="166" t="s">
        <v>304</v>
      </c>
      <c r="G5" s="166" t="s">
        <v>305</v>
      </c>
      <c r="H5" s="166" t="s">
        <v>306</v>
      </c>
      <c r="I5" s="166" t="s">
        <v>307</v>
      </c>
      <c r="J5" s="166" t="s">
        <v>308</v>
      </c>
      <c r="K5" s="166" t="s">
        <v>309</v>
      </c>
      <c r="L5" s="166" t="s">
        <v>310</v>
      </c>
      <c r="M5" s="166" t="s">
        <v>311</v>
      </c>
      <c r="N5" s="166" t="s">
        <v>312</v>
      </c>
      <c r="O5" s="166" t="s">
        <v>313</v>
      </c>
      <c r="P5" s="166" t="s">
        <v>314</v>
      </c>
      <c r="Q5" s="166" t="s">
        <v>315</v>
      </c>
      <c r="R5" s="166" t="s">
        <v>316</v>
      </c>
      <c r="S5" s="166" t="s">
        <v>317</v>
      </c>
      <c r="T5" s="166" t="s">
        <v>318</v>
      </c>
      <c r="U5" s="166" t="s">
        <v>319</v>
      </c>
      <c r="V5" s="167" t="s">
        <v>62</v>
      </c>
    </row>
    <row r="6" spans="2:22">
      <c r="B6" s="162" t="s">
        <v>240</v>
      </c>
      <c r="C6" s="168"/>
      <c r="D6" s="169">
        <v>-31.239384333292644</v>
      </c>
      <c r="E6" s="169"/>
      <c r="F6" s="169">
        <v>65.046212514241532</v>
      </c>
      <c r="G6" s="169"/>
      <c r="H6" s="169">
        <v>17.874688466389973</v>
      </c>
      <c r="I6" s="169"/>
      <c r="J6" s="169"/>
      <c r="K6" s="169"/>
      <c r="L6" s="169">
        <v>-34.054550170898438</v>
      </c>
      <c r="M6" s="169"/>
      <c r="N6" s="169"/>
      <c r="O6" s="169"/>
      <c r="P6" s="169">
        <v>22.369717915852863</v>
      </c>
      <c r="Q6" s="169"/>
      <c r="R6" s="169">
        <v>37.553272883097328</v>
      </c>
      <c r="S6" s="169"/>
      <c r="T6" s="169"/>
      <c r="U6" s="169"/>
      <c r="V6" s="170">
        <v>12.924992879231771</v>
      </c>
    </row>
    <row r="7" spans="2:22">
      <c r="B7" s="171" t="s">
        <v>10</v>
      </c>
      <c r="C7" s="172"/>
      <c r="D7" s="173">
        <v>-24.611212730407715</v>
      </c>
      <c r="E7" s="173"/>
      <c r="F7" s="173"/>
      <c r="G7" s="173"/>
      <c r="H7" s="173">
        <v>12.651346524556478</v>
      </c>
      <c r="I7" s="173"/>
      <c r="J7" s="173">
        <v>7.2121435801188154</v>
      </c>
      <c r="K7" s="173">
        <v>-17.777183532714844</v>
      </c>
      <c r="L7" s="173"/>
      <c r="M7" s="173"/>
      <c r="N7" s="173"/>
      <c r="O7" s="173"/>
      <c r="P7" s="173">
        <v>16.149515787760418</v>
      </c>
      <c r="Q7" s="173"/>
      <c r="R7" s="173">
        <v>28.609230677286785</v>
      </c>
      <c r="S7" s="173"/>
      <c r="T7" s="173"/>
      <c r="U7" s="173"/>
      <c r="V7" s="174">
        <v>4.0853083398607044</v>
      </c>
    </row>
    <row r="8" spans="2:22">
      <c r="B8" s="171" t="s">
        <v>20</v>
      </c>
      <c r="C8" s="172"/>
      <c r="D8" s="173">
        <v>-28.339738845825195</v>
      </c>
      <c r="E8" s="173"/>
      <c r="F8" s="173">
        <v>67.2028210957845</v>
      </c>
      <c r="G8" s="173"/>
      <c r="H8" s="173">
        <v>14.506818453470865</v>
      </c>
      <c r="I8" s="173"/>
      <c r="J8" s="173">
        <v>6.0998214085896807</v>
      </c>
      <c r="K8" s="173"/>
      <c r="L8" s="173"/>
      <c r="M8" s="173"/>
      <c r="N8" s="173"/>
      <c r="O8" s="173"/>
      <c r="P8" s="173"/>
      <c r="Q8" s="173">
        <v>54.827562967936196</v>
      </c>
      <c r="R8" s="173"/>
      <c r="S8" s="173"/>
      <c r="T8" s="173"/>
      <c r="U8" s="173">
        <v>25.26097297668457</v>
      </c>
      <c r="V8" s="174">
        <v>23.25970967610677</v>
      </c>
    </row>
    <row r="9" spans="2:22">
      <c r="B9" s="171" t="s">
        <v>239</v>
      </c>
      <c r="C9" s="172"/>
      <c r="D9" s="173"/>
      <c r="E9" s="173"/>
      <c r="F9" s="173"/>
      <c r="G9" s="173">
        <v>174.18987019856772</v>
      </c>
      <c r="H9" s="173">
        <v>22.529298782348633</v>
      </c>
      <c r="I9" s="173"/>
      <c r="J9" s="173"/>
      <c r="K9" s="173"/>
      <c r="L9" s="173"/>
      <c r="M9" s="173"/>
      <c r="N9" s="173">
        <v>-78.56203969319661</v>
      </c>
      <c r="O9" s="173">
        <v>-23.597693125406902</v>
      </c>
      <c r="P9" s="173"/>
      <c r="Q9" s="173"/>
      <c r="R9" s="173">
        <v>22.737501780192058</v>
      </c>
      <c r="S9" s="173">
        <v>-17.357813199361164</v>
      </c>
      <c r="T9" s="173"/>
      <c r="U9" s="173"/>
      <c r="V9" s="174">
        <v>16.656520790523953</v>
      </c>
    </row>
    <row r="10" spans="2:22">
      <c r="B10" s="171" t="s">
        <v>12</v>
      </c>
      <c r="C10" s="172">
        <v>356.00213623046875</v>
      </c>
      <c r="D10" s="173">
        <v>-49.780262629191078</v>
      </c>
      <c r="E10" s="173"/>
      <c r="F10" s="173"/>
      <c r="G10" s="173"/>
      <c r="H10" s="173">
        <v>30.978182474772137</v>
      </c>
      <c r="I10" s="173">
        <v>96.343226114908859</v>
      </c>
      <c r="J10" s="173"/>
      <c r="K10" s="173"/>
      <c r="L10" s="173">
        <v>-54.860499699910484</v>
      </c>
      <c r="M10" s="173"/>
      <c r="N10" s="173"/>
      <c r="O10" s="173"/>
      <c r="P10" s="173"/>
      <c r="Q10" s="173"/>
      <c r="R10" s="173">
        <v>20.470943768819172</v>
      </c>
      <c r="S10" s="173"/>
      <c r="T10" s="173"/>
      <c r="U10" s="173"/>
      <c r="V10" s="174">
        <v>66.525621043311219</v>
      </c>
    </row>
    <row r="11" spans="2:22">
      <c r="B11" s="171" t="s">
        <v>18</v>
      </c>
      <c r="C11" s="172"/>
      <c r="D11" s="173">
        <v>-33.847693761189781</v>
      </c>
      <c r="E11" s="173">
        <v>-22.90172004699707</v>
      </c>
      <c r="F11" s="173"/>
      <c r="G11" s="173"/>
      <c r="H11" s="173"/>
      <c r="I11" s="173"/>
      <c r="J11" s="173">
        <v>6.6021420160929365</v>
      </c>
      <c r="K11" s="173"/>
      <c r="L11" s="173">
        <v>-33.627348581949867</v>
      </c>
      <c r="M11" s="173"/>
      <c r="N11" s="173"/>
      <c r="O11" s="173"/>
      <c r="P11" s="173">
        <v>21.328150431315105</v>
      </c>
      <c r="Q11" s="173">
        <v>59.520525614420571</v>
      </c>
      <c r="R11" s="173"/>
      <c r="S11" s="173"/>
      <c r="T11" s="173"/>
      <c r="U11" s="173"/>
      <c r="V11" s="174">
        <v>-0.48765738805135089</v>
      </c>
    </row>
    <row r="12" spans="2:22">
      <c r="B12" s="171" t="s">
        <v>23</v>
      </c>
      <c r="C12" s="172"/>
      <c r="D12" s="173">
        <v>-26.227979024251301</v>
      </c>
      <c r="E12" s="173">
        <v>-19.151584625244141</v>
      </c>
      <c r="F12" s="173"/>
      <c r="G12" s="173"/>
      <c r="H12" s="173"/>
      <c r="I12" s="173">
        <v>61.596588134765625</v>
      </c>
      <c r="J12" s="173"/>
      <c r="K12" s="173"/>
      <c r="L12" s="173"/>
      <c r="M12" s="173">
        <v>0</v>
      </c>
      <c r="N12" s="173"/>
      <c r="O12" s="173"/>
      <c r="P12" s="173">
        <v>14.097482999165853</v>
      </c>
      <c r="Q12" s="173"/>
      <c r="R12" s="173">
        <v>21.102649688720703</v>
      </c>
      <c r="S12" s="173"/>
      <c r="T12" s="173"/>
      <c r="U12" s="173"/>
      <c r="V12" s="174">
        <v>8.569526195526123</v>
      </c>
    </row>
    <row r="13" spans="2:22">
      <c r="B13" s="171" t="s">
        <v>13</v>
      </c>
      <c r="C13" s="172">
        <v>237.24301656087241</v>
      </c>
      <c r="D13" s="173">
        <v>-31.206177393595379</v>
      </c>
      <c r="E13" s="173">
        <v>-21.93658955891927</v>
      </c>
      <c r="F13" s="173"/>
      <c r="G13" s="173"/>
      <c r="H13" s="173"/>
      <c r="I13" s="173"/>
      <c r="J13" s="173"/>
      <c r="K13" s="173"/>
      <c r="L13" s="173"/>
      <c r="M13" s="173">
        <v>9999</v>
      </c>
      <c r="N13" s="173">
        <v>-71.146231333414718</v>
      </c>
      <c r="O13" s="173"/>
      <c r="P13" s="173">
        <v>16.789731979370117</v>
      </c>
      <c r="Q13" s="173"/>
      <c r="R13" s="173"/>
      <c r="S13" s="173"/>
      <c r="T13" s="173"/>
      <c r="U13" s="173"/>
      <c r="V13" s="174">
        <v>1688.1239583757188</v>
      </c>
    </row>
    <row r="14" spans="2:22">
      <c r="B14" s="171" t="s">
        <v>22</v>
      </c>
      <c r="C14" s="172"/>
      <c r="D14" s="173">
        <v>-31.55992825826009</v>
      </c>
      <c r="E14" s="173">
        <v>-17.815430959065754</v>
      </c>
      <c r="F14" s="173"/>
      <c r="G14" s="173"/>
      <c r="H14" s="173">
        <v>14.177260080973307</v>
      </c>
      <c r="I14" s="173"/>
      <c r="J14" s="173"/>
      <c r="K14" s="173"/>
      <c r="L14" s="173"/>
      <c r="M14" s="173">
        <v>0</v>
      </c>
      <c r="N14" s="173"/>
      <c r="O14" s="173"/>
      <c r="P14" s="173">
        <v>4.4230310122172041</v>
      </c>
      <c r="Q14" s="173"/>
      <c r="R14" s="173">
        <v>15.862963358561197</v>
      </c>
      <c r="S14" s="173"/>
      <c r="T14" s="173"/>
      <c r="U14" s="173"/>
      <c r="V14" s="174">
        <v>-2.4853507942623563</v>
      </c>
    </row>
    <row r="15" spans="2:22">
      <c r="B15" s="171" t="s">
        <v>241</v>
      </c>
      <c r="C15" s="172"/>
      <c r="D15" s="173">
        <v>-30.326321919759113</v>
      </c>
      <c r="E15" s="173"/>
      <c r="F15" s="173">
        <v>53.877758026123047</v>
      </c>
      <c r="G15" s="173"/>
      <c r="H15" s="173"/>
      <c r="I15" s="173"/>
      <c r="J15" s="173"/>
      <c r="K15" s="173"/>
      <c r="L15" s="173">
        <v>-30.666554133097332</v>
      </c>
      <c r="M15" s="173">
        <v>0</v>
      </c>
      <c r="N15" s="173"/>
      <c r="O15" s="173"/>
      <c r="P15" s="173">
        <v>9.648990948994955</v>
      </c>
      <c r="Q15" s="173">
        <v>30.34706751505534</v>
      </c>
      <c r="R15" s="173"/>
      <c r="S15" s="173"/>
      <c r="T15" s="173"/>
      <c r="U15" s="173"/>
      <c r="V15" s="174">
        <v>5.4801567395528155</v>
      </c>
    </row>
    <row r="16" spans="2:22">
      <c r="B16" s="171" t="s">
        <v>9</v>
      </c>
      <c r="C16" s="172"/>
      <c r="D16" s="173">
        <v>-34.127756754557289</v>
      </c>
      <c r="E16" s="173"/>
      <c r="F16" s="173">
        <v>59.392462412516274</v>
      </c>
      <c r="G16" s="173"/>
      <c r="H16" s="173"/>
      <c r="I16" s="173"/>
      <c r="J16" s="173">
        <v>5.6100365320841474</v>
      </c>
      <c r="K16" s="173">
        <v>-15.948079109191895</v>
      </c>
      <c r="L16" s="173"/>
      <c r="M16" s="173"/>
      <c r="N16" s="173"/>
      <c r="O16" s="173"/>
      <c r="P16" s="173">
        <v>4.782905101776123</v>
      </c>
      <c r="Q16" s="173">
        <v>37.167598724365234</v>
      </c>
      <c r="R16" s="173"/>
      <c r="S16" s="173"/>
      <c r="T16" s="173"/>
      <c r="U16" s="173"/>
      <c r="V16" s="174">
        <v>9.4795278178320999</v>
      </c>
    </row>
    <row r="17" spans="2:22">
      <c r="B17" s="171" t="s">
        <v>242</v>
      </c>
      <c r="C17" s="172"/>
      <c r="D17" s="173">
        <v>-32.57123851776123</v>
      </c>
      <c r="E17" s="173"/>
      <c r="F17" s="173"/>
      <c r="G17" s="173"/>
      <c r="H17" s="173">
        <v>17.766287485758465</v>
      </c>
      <c r="I17" s="173">
        <v>79.01693471272786</v>
      </c>
      <c r="J17" s="173"/>
      <c r="K17" s="173"/>
      <c r="L17" s="173">
        <v>-31.271403312683105</v>
      </c>
      <c r="M17" s="173"/>
      <c r="N17" s="173"/>
      <c r="O17" s="173"/>
      <c r="P17" s="173">
        <v>4.6504233678181963</v>
      </c>
      <c r="Q17" s="173">
        <v>36.138094584147133</v>
      </c>
      <c r="R17" s="173"/>
      <c r="S17" s="173"/>
      <c r="T17" s="173"/>
      <c r="U17" s="173"/>
      <c r="V17" s="174">
        <v>12.215969986385769</v>
      </c>
    </row>
    <row r="18" spans="2:22">
      <c r="B18" s="171" t="s">
        <v>14</v>
      </c>
      <c r="C18" s="172">
        <v>273.82706705729169</v>
      </c>
      <c r="D18" s="173">
        <v>-41.241406122843422</v>
      </c>
      <c r="E18" s="173">
        <v>-24.111753463745117</v>
      </c>
      <c r="F18" s="173"/>
      <c r="G18" s="173"/>
      <c r="H18" s="173"/>
      <c r="I18" s="173"/>
      <c r="J18" s="173"/>
      <c r="K18" s="173"/>
      <c r="L18" s="173"/>
      <c r="M18" s="173">
        <v>9999</v>
      </c>
      <c r="N18" s="173">
        <v>-109.80248260498047</v>
      </c>
      <c r="O18" s="173"/>
      <c r="P18" s="173">
        <v>26.171754837036133</v>
      </c>
      <c r="Q18" s="173"/>
      <c r="R18" s="173"/>
      <c r="S18" s="173"/>
      <c r="T18" s="173"/>
      <c r="U18" s="173"/>
      <c r="V18" s="174">
        <v>1687.3071966171265</v>
      </c>
    </row>
    <row r="19" spans="2:22">
      <c r="B19" s="171" t="s">
        <v>19</v>
      </c>
      <c r="C19" s="172"/>
      <c r="D19" s="173">
        <v>-34.172047297159828</v>
      </c>
      <c r="E19" s="173"/>
      <c r="F19" s="173">
        <v>70.056997934977218</v>
      </c>
      <c r="G19" s="173"/>
      <c r="H19" s="173">
        <v>19.236437161763508</v>
      </c>
      <c r="I19" s="173"/>
      <c r="J19" s="173"/>
      <c r="K19" s="173"/>
      <c r="L19" s="173">
        <v>-37.251497268676758</v>
      </c>
      <c r="M19" s="173"/>
      <c r="N19" s="173"/>
      <c r="O19" s="173"/>
      <c r="P19" s="173">
        <v>24.469724655151367</v>
      </c>
      <c r="Q19" s="173">
        <v>77.638407389322921</v>
      </c>
      <c r="R19" s="173"/>
      <c r="S19" s="173"/>
      <c r="T19" s="173"/>
      <c r="U19" s="173"/>
      <c r="V19" s="174">
        <v>19.996337095896404</v>
      </c>
    </row>
    <row r="20" spans="2:22">
      <c r="B20" s="171" t="s">
        <v>21</v>
      </c>
      <c r="C20" s="172"/>
      <c r="D20" s="173"/>
      <c r="E20" s="173">
        <v>-20.046163558959961</v>
      </c>
      <c r="F20" s="173"/>
      <c r="G20" s="173"/>
      <c r="H20" s="173">
        <v>15.952446619669596</v>
      </c>
      <c r="I20" s="173"/>
      <c r="J20" s="173"/>
      <c r="K20" s="173"/>
      <c r="L20" s="173"/>
      <c r="M20" s="173">
        <v>0</v>
      </c>
      <c r="N20" s="173"/>
      <c r="O20" s="173">
        <v>-12.445077578226725</v>
      </c>
      <c r="P20" s="173"/>
      <c r="Q20" s="173"/>
      <c r="R20" s="173">
        <v>17.849220593770344</v>
      </c>
      <c r="S20" s="173">
        <v>-7.8514213562011719</v>
      </c>
      <c r="T20" s="173"/>
      <c r="U20" s="173"/>
      <c r="V20" s="174">
        <v>-1.0901658799913194</v>
      </c>
    </row>
    <row r="21" spans="2:22">
      <c r="B21" s="171" t="s">
        <v>15</v>
      </c>
      <c r="C21" s="172"/>
      <c r="D21" s="173">
        <v>-37.046258290608726</v>
      </c>
      <c r="E21" s="173"/>
      <c r="F21" s="173"/>
      <c r="G21" s="173"/>
      <c r="H21" s="173"/>
      <c r="I21" s="173">
        <v>103.44926452636719</v>
      </c>
      <c r="J21" s="173"/>
      <c r="K21" s="173"/>
      <c r="L21" s="173">
        <v>-28.76462682088216</v>
      </c>
      <c r="M21" s="173"/>
      <c r="N21" s="173">
        <v>-65.040256500244141</v>
      </c>
      <c r="O21" s="173"/>
      <c r="P21" s="173">
        <v>15.324718475341797</v>
      </c>
      <c r="Q21" s="173">
        <v>47.456311543782554</v>
      </c>
      <c r="R21" s="173"/>
      <c r="S21" s="173"/>
      <c r="T21" s="173"/>
      <c r="U21" s="173"/>
      <c r="V21" s="174">
        <v>5.8965254889594183</v>
      </c>
    </row>
    <row r="22" spans="2:22">
      <c r="B22" s="171" t="s">
        <v>17</v>
      </c>
      <c r="C22" s="172"/>
      <c r="D22" s="173">
        <v>-37.039471944173179</v>
      </c>
      <c r="E22" s="173">
        <v>-18.637756983439129</v>
      </c>
      <c r="F22" s="173"/>
      <c r="G22" s="173"/>
      <c r="H22" s="173"/>
      <c r="I22" s="173"/>
      <c r="J22" s="173">
        <v>5.6661798159281416</v>
      </c>
      <c r="K22" s="173"/>
      <c r="L22" s="173">
        <v>-35.506367365519203</v>
      </c>
      <c r="M22" s="173"/>
      <c r="N22" s="173"/>
      <c r="O22" s="173"/>
      <c r="P22" s="173">
        <v>17.434789021809895</v>
      </c>
      <c r="Q22" s="173">
        <v>58.636870066324867</v>
      </c>
      <c r="R22" s="173"/>
      <c r="S22" s="173"/>
      <c r="T22" s="173"/>
      <c r="U22" s="173"/>
      <c r="V22" s="174">
        <v>-1.5742928981781006</v>
      </c>
    </row>
    <row r="23" spans="2:22">
      <c r="B23" s="171" t="s">
        <v>16</v>
      </c>
      <c r="C23" s="172"/>
      <c r="D23" s="173">
        <v>-39.980643590291344</v>
      </c>
      <c r="E23" s="173">
        <v>-23.788409550984699</v>
      </c>
      <c r="F23" s="173"/>
      <c r="G23" s="173"/>
      <c r="H23" s="173"/>
      <c r="I23" s="173"/>
      <c r="J23" s="173">
        <v>5.4410897890726728</v>
      </c>
      <c r="K23" s="173"/>
      <c r="L23" s="173">
        <v>-38.645739873250328</v>
      </c>
      <c r="M23" s="173"/>
      <c r="N23" s="173"/>
      <c r="O23" s="173"/>
      <c r="P23" s="173"/>
      <c r="Q23" s="173">
        <v>40.796660105387367</v>
      </c>
      <c r="R23" s="173"/>
      <c r="S23" s="173"/>
      <c r="T23" s="173">
        <v>-11.354459762573242</v>
      </c>
      <c r="U23" s="173"/>
      <c r="V23" s="174">
        <v>-11.255250480439928</v>
      </c>
    </row>
    <row r="24" spans="2:22">
      <c r="B24" s="175" t="s">
        <v>62</v>
      </c>
      <c r="C24" s="176">
        <v>289.02407328287762</v>
      </c>
      <c r="D24" s="177">
        <v>-34.123178958892822</v>
      </c>
      <c r="E24" s="177">
        <v>-21.048676093419392</v>
      </c>
      <c r="F24" s="177">
        <v>63.115250396728513</v>
      </c>
      <c r="G24" s="177">
        <v>174.18987019856772</v>
      </c>
      <c r="H24" s="177">
        <v>18.408085116633661</v>
      </c>
      <c r="I24" s="177">
        <v>85.101503372192383</v>
      </c>
      <c r="J24" s="177">
        <v>6.1052355236477318</v>
      </c>
      <c r="K24" s="177">
        <v>-16.993281636919296</v>
      </c>
      <c r="L24" s="177">
        <v>-36.256706091073845</v>
      </c>
      <c r="M24" s="177">
        <v>3333</v>
      </c>
      <c r="N24" s="177">
        <v>-81.137752532958984</v>
      </c>
      <c r="O24" s="177">
        <v>-18.021385351816814</v>
      </c>
      <c r="P24" s="177">
        <v>15.203148964123848</v>
      </c>
      <c r="Q24" s="177">
        <v>49.169899834526909</v>
      </c>
      <c r="R24" s="177">
        <v>23.455111821492512</v>
      </c>
      <c r="S24" s="177">
        <v>-12.604617277781168</v>
      </c>
      <c r="T24" s="177">
        <v>-11.354459762573242</v>
      </c>
      <c r="U24" s="177">
        <v>25.26097297668457</v>
      </c>
      <c r="V24" s="178">
        <v>196.86825742250608</v>
      </c>
    </row>
    <row r="25" spans="2:22"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3"/>
  <dimension ref="A1:BF1622"/>
  <sheetViews>
    <sheetView workbookViewId="0">
      <selection activeCell="AN20" sqref="AN20"/>
    </sheetView>
  </sheetViews>
  <sheetFormatPr defaultRowHeight="12.75"/>
  <cols>
    <col min="1" max="1" width="18.5703125" customWidth="1"/>
    <col min="2" max="2" width="32.28515625" customWidth="1"/>
    <col min="3" max="3" width="8.7109375" customWidth="1"/>
    <col min="5" max="5" width="10.5703125" customWidth="1"/>
    <col min="7" max="7" width="7.42578125" customWidth="1"/>
    <col min="10" max="10" width="7.28515625" customWidth="1"/>
    <col min="11" max="11" width="6.85546875" customWidth="1"/>
    <col min="13" max="13" width="10.7109375" customWidth="1"/>
    <col min="14" max="14" width="9.7109375" customWidth="1"/>
    <col min="15" max="15" width="8.7109375" customWidth="1"/>
    <col min="16" max="16" width="9.7109375" customWidth="1"/>
    <col min="19" max="20" width="10.28515625" customWidth="1"/>
  </cols>
  <sheetData>
    <row r="1" spans="1:5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58">
      <c r="A2" s="127"/>
      <c r="B2" s="127"/>
      <c r="C2" s="127"/>
      <c r="D2" s="543" t="s">
        <v>31</v>
      </c>
      <c r="E2" s="543"/>
      <c r="F2" s="543"/>
      <c r="G2" s="543" t="s">
        <v>30</v>
      </c>
      <c r="H2" s="543"/>
      <c r="I2" s="543"/>
      <c r="J2" s="543"/>
      <c r="K2" s="509" t="s">
        <v>29</v>
      </c>
      <c r="L2" s="511"/>
      <c r="M2" s="128" t="s">
        <v>16</v>
      </c>
      <c r="N2" s="509" t="s">
        <v>28</v>
      </c>
      <c r="O2" s="511"/>
      <c r="P2" s="128" t="s">
        <v>14</v>
      </c>
      <c r="Q2" s="128" t="s">
        <v>13</v>
      </c>
      <c r="R2" s="543" t="s">
        <v>27</v>
      </c>
      <c r="S2" s="543"/>
      <c r="T2" s="128" t="s">
        <v>10</v>
      </c>
      <c r="U2" s="128" t="s">
        <v>9</v>
      </c>
      <c r="V2" s="127"/>
    </row>
    <row r="3" spans="1:58" ht="38.25">
      <c r="A3" s="128" t="s">
        <v>26</v>
      </c>
      <c r="B3" s="128" t="s">
        <v>25</v>
      </c>
      <c r="C3" s="129" t="s">
        <v>24</v>
      </c>
      <c r="D3" s="128" t="s">
        <v>23</v>
      </c>
      <c r="E3" s="128" t="s">
        <v>22</v>
      </c>
      <c r="F3" s="128" t="s">
        <v>21</v>
      </c>
      <c r="G3" s="128" t="s">
        <v>20</v>
      </c>
      <c r="H3" s="128" t="s">
        <v>19</v>
      </c>
      <c r="I3" s="128" t="s">
        <v>239</v>
      </c>
      <c r="J3" s="128" t="s">
        <v>240</v>
      </c>
      <c r="K3" s="128" t="s">
        <v>18</v>
      </c>
      <c r="L3" s="128" t="s">
        <v>17</v>
      </c>
      <c r="M3" s="128" t="s">
        <v>16</v>
      </c>
      <c r="N3" s="128" t="s">
        <v>15</v>
      </c>
      <c r="O3" s="128" t="s">
        <v>241</v>
      </c>
      <c r="P3" s="128" t="s">
        <v>14</v>
      </c>
      <c r="Q3" s="128" t="s">
        <v>13</v>
      </c>
      <c r="R3" s="128" t="s">
        <v>12</v>
      </c>
      <c r="S3" s="128" t="s">
        <v>242</v>
      </c>
      <c r="T3" s="130" t="s">
        <v>10</v>
      </c>
      <c r="U3" s="128" t="s">
        <v>9</v>
      </c>
      <c r="V3" s="128" t="s">
        <v>243</v>
      </c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</row>
    <row r="4" spans="1:58" ht="14.25">
      <c r="A4" s="4" t="s">
        <v>7</v>
      </c>
      <c r="B4" s="1" t="s">
        <v>6</v>
      </c>
      <c r="C4" s="1"/>
      <c r="D4" s="119">
        <v>4300</v>
      </c>
      <c r="E4" s="119">
        <v>3800</v>
      </c>
      <c r="F4" s="119">
        <v>3800</v>
      </c>
      <c r="G4" s="119">
        <v>4800</v>
      </c>
      <c r="H4" s="119">
        <v>3900</v>
      </c>
      <c r="I4" s="119">
        <v>3400</v>
      </c>
      <c r="J4" s="119">
        <v>4000</v>
      </c>
      <c r="K4" s="119">
        <v>2900</v>
      </c>
      <c r="L4" s="119">
        <v>3000</v>
      </c>
      <c r="M4" s="119">
        <v>3799.9999999999995</v>
      </c>
      <c r="N4" s="119">
        <v>5800</v>
      </c>
      <c r="O4" s="119">
        <v>5800</v>
      </c>
      <c r="P4" s="119">
        <v>5100</v>
      </c>
      <c r="Q4" s="119">
        <v>4200</v>
      </c>
      <c r="R4" s="119">
        <v>6400</v>
      </c>
      <c r="S4" s="119">
        <v>3600</v>
      </c>
      <c r="T4" s="119">
        <v>2800</v>
      </c>
      <c r="U4" s="119">
        <v>3600</v>
      </c>
      <c r="V4" s="1"/>
      <c r="Y4" s="131"/>
      <c r="Z4" s="132" t="s">
        <v>267</v>
      </c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</row>
    <row r="5" spans="1:58">
      <c r="A5" s="1"/>
      <c r="B5" s="5" t="s">
        <v>244</v>
      </c>
      <c r="C5" s="5"/>
      <c r="D5" s="120">
        <v>1.03</v>
      </c>
      <c r="E5" s="120">
        <v>1.03</v>
      </c>
      <c r="F5" s="120">
        <v>1.03</v>
      </c>
      <c r="G5" s="121">
        <v>1.47</v>
      </c>
      <c r="H5" s="121">
        <v>1.37</v>
      </c>
      <c r="I5" s="121">
        <v>1.9</v>
      </c>
      <c r="J5" s="121">
        <v>1.5</v>
      </c>
      <c r="K5" s="121">
        <v>1.07</v>
      </c>
      <c r="L5" s="121">
        <v>1.17</v>
      </c>
      <c r="M5" s="121">
        <v>0.59</v>
      </c>
      <c r="N5" s="121">
        <v>1.6</v>
      </c>
      <c r="O5" s="121">
        <v>1.6</v>
      </c>
      <c r="P5" s="122">
        <v>1.5</v>
      </c>
      <c r="Q5" s="122">
        <v>1.3</v>
      </c>
      <c r="R5" s="122">
        <v>1.27</v>
      </c>
      <c r="S5" s="122">
        <v>1.4</v>
      </c>
      <c r="T5" s="122">
        <v>1.1000000000000001</v>
      </c>
      <c r="U5" s="122">
        <v>1.1000000000000001</v>
      </c>
      <c r="V5" s="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</row>
    <row r="6" spans="1:58">
      <c r="A6" s="1"/>
      <c r="B6" s="5" t="s">
        <v>2</v>
      </c>
      <c r="C6" s="5"/>
      <c r="D6" s="120">
        <v>0.75</v>
      </c>
      <c r="E6" s="120">
        <v>0.75</v>
      </c>
      <c r="F6" s="120">
        <v>0.75</v>
      </c>
      <c r="G6" s="121">
        <v>1.1000000000000001</v>
      </c>
      <c r="H6" s="121">
        <v>1.1000000000000001</v>
      </c>
      <c r="I6" s="121">
        <v>1.5</v>
      </c>
      <c r="J6" s="121">
        <v>1.2</v>
      </c>
      <c r="K6" s="120">
        <v>0.75</v>
      </c>
      <c r="L6" s="120">
        <v>0.8</v>
      </c>
      <c r="M6" s="120">
        <v>0.4</v>
      </c>
      <c r="N6" s="121">
        <v>1.1499999999999999</v>
      </c>
      <c r="O6" s="122">
        <v>1.1000000000000001</v>
      </c>
      <c r="P6" s="120">
        <v>0.95</v>
      </c>
      <c r="Q6" s="120">
        <v>0.65</v>
      </c>
      <c r="R6" s="120">
        <v>1</v>
      </c>
      <c r="S6" s="120">
        <v>1.1000000000000001</v>
      </c>
      <c r="T6" s="120">
        <v>0.9</v>
      </c>
      <c r="U6" s="120">
        <v>0.75</v>
      </c>
      <c r="V6" s="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</row>
    <row r="7" spans="1:58">
      <c r="A7" s="1" t="s">
        <v>245</v>
      </c>
      <c r="B7" s="5" t="s">
        <v>246</v>
      </c>
      <c r="C7" s="5"/>
      <c r="D7" s="121">
        <v>1.1000000000000001</v>
      </c>
      <c r="E7" s="121">
        <v>1.1000000000000001</v>
      </c>
      <c r="F7" s="121">
        <v>1.1000000000000001</v>
      </c>
      <c r="G7" s="121">
        <v>1.6</v>
      </c>
      <c r="H7" s="121">
        <v>1.5</v>
      </c>
      <c r="I7" s="121">
        <v>2.2000000000000002</v>
      </c>
      <c r="J7" s="121">
        <v>1.6</v>
      </c>
      <c r="K7" s="120">
        <v>1.1000000000000001</v>
      </c>
      <c r="L7" s="122">
        <v>1.2</v>
      </c>
      <c r="M7" s="121">
        <v>0.85</v>
      </c>
      <c r="N7" s="121">
        <v>1.6</v>
      </c>
      <c r="O7" s="121">
        <v>1.5</v>
      </c>
      <c r="P7" s="122">
        <v>1.5</v>
      </c>
      <c r="Q7" s="122">
        <v>1.4</v>
      </c>
      <c r="R7" s="122">
        <v>1.4</v>
      </c>
      <c r="S7" s="120">
        <v>1.5</v>
      </c>
      <c r="T7" s="120">
        <v>1.2</v>
      </c>
      <c r="U7" s="120">
        <v>1.1000000000000001</v>
      </c>
      <c r="V7" s="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</row>
    <row r="8" spans="1:58">
      <c r="A8" s="4" t="s">
        <v>247</v>
      </c>
      <c r="B8" s="5" t="s">
        <v>247</v>
      </c>
      <c r="C8" s="5"/>
      <c r="D8" s="123">
        <v>0.1</v>
      </c>
      <c r="E8" s="123">
        <v>0.1</v>
      </c>
      <c r="F8" s="123">
        <v>0.03</v>
      </c>
      <c r="G8" s="123">
        <v>0.25</v>
      </c>
      <c r="H8" s="123">
        <v>0.2</v>
      </c>
      <c r="I8" s="123">
        <v>0.05</v>
      </c>
      <c r="J8" s="123">
        <v>0.05</v>
      </c>
      <c r="K8" s="123">
        <v>0.15</v>
      </c>
      <c r="L8" s="123">
        <v>0.1</v>
      </c>
      <c r="M8" s="123">
        <v>0.5</v>
      </c>
      <c r="N8" s="123">
        <v>0.1</v>
      </c>
      <c r="O8" s="123">
        <v>0.1</v>
      </c>
      <c r="P8" s="123">
        <v>0.15</v>
      </c>
      <c r="Q8" s="123">
        <v>0.2</v>
      </c>
      <c r="R8" s="123">
        <v>0.25</v>
      </c>
      <c r="S8" s="123">
        <v>0.2</v>
      </c>
      <c r="T8" s="123">
        <v>0.05</v>
      </c>
      <c r="U8" s="123">
        <v>0.15</v>
      </c>
      <c r="V8" s="2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</row>
    <row r="9" spans="1:58">
      <c r="A9" s="1"/>
      <c r="B9" s="1"/>
      <c r="C9" s="1"/>
      <c r="D9" s="3"/>
      <c r="E9" s="3"/>
      <c r="F9" s="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</row>
    <row r="10" spans="1:58">
      <c r="A10" s="1"/>
      <c r="B10" s="1"/>
      <c r="C10" s="1"/>
      <c r="D10" s="3"/>
      <c r="E10" s="3"/>
      <c r="F10" s="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</row>
    <row r="11" spans="1:58">
      <c r="A11" s="1"/>
      <c r="B11" s="1"/>
      <c r="C11" s="1"/>
      <c r="D11" s="3"/>
      <c r="E11" s="3"/>
      <c r="F11" s="3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</row>
    <row r="12" spans="1:58">
      <c r="A12" s="1"/>
      <c r="B12" s="1" t="s">
        <v>248</v>
      </c>
      <c r="C12" s="1"/>
      <c r="D12" s="3">
        <v>0.9</v>
      </c>
      <c r="E12" s="3">
        <v>0.9</v>
      </c>
      <c r="F12" s="3">
        <v>0.97</v>
      </c>
      <c r="G12" s="2">
        <v>0.75</v>
      </c>
      <c r="H12" s="2">
        <v>0.8</v>
      </c>
      <c r="I12" s="2">
        <v>0.95</v>
      </c>
      <c r="J12" s="2">
        <v>0.95</v>
      </c>
      <c r="K12" s="2">
        <v>0.85</v>
      </c>
      <c r="L12" s="2">
        <v>0.9</v>
      </c>
      <c r="M12" s="2">
        <v>0.5</v>
      </c>
      <c r="N12" s="2">
        <v>0.9</v>
      </c>
      <c r="O12" s="2">
        <v>0.9</v>
      </c>
      <c r="P12" s="2">
        <v>0.85</v>
      </c>
      <c r="Q12" s="2">
        <v>0.8</v>
      </c>
      <c r="R12" s="2">
        <v>0.75</v>
      </c>
      <c r="S12" s="2">
        <v>0.8</v>
      </c>
      <c r="T12" s="2">
        <v>0.95</v>
      </c>
      <c r="U12" s="2">
        <v>0.85</v>
      </c>
      <c r="V12" s="2">
        <v>1</v>
      </c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</row>
    <row r="13" spans="1:58">
      <c r="A13" s="1"/>
      <c r="B13" s="1" t="s">
        <v>249</v>
      </c>
      <c r="C13" s="1"/>
      <c r="D13" s="3">
        <v>1</v>
      </c>
      <c r="E13" s="3">
        <v>1</v>
      </c>
      <c r="F13" s="3">
        <v>1</v>
      </c>
      <c r="G13" s="3">
        <v>1</v>
      </c>
      <c r="H13" s="3">
        <v>1</v>
      </c>
      <c r="I13" s="3">
        <v>1</v>
      </c>
      <c r="J13" s="3">
        <v>1</v>
      </c>
      <c r="K13" s="3">
        <v>1</v>
      </c>
      <c r="L13" s="3">
        <v>1</v>
      </c>
      <c r="M13" s="3">
        <v>1</v>
      </c>
      <c r="N13" s="3">
        <v>1</v>
      </c>
      <c r="O13" s="3">
        <v>1</v>
      </c>
      <c r="P13" s="3">
        <v>1</v>
      </c>
      <c r="Q13" s="3">
        <v>1</v>
      </c>
      <c r="R13" s="3">
        <v>1</v>
      </c>
      <c r="S13" s="3">
        <v>1</v>
      </c>
      <c r="T13" s="3">
        <v>1</v>
      </c>
      <c r="U13" s="3">
        <v>1</v>
      </c>
      <c r="V13" s="2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</row>
    <row r="14" spans="1:58">
      <c r="A14" s="1"/>
      <c r="B14" s="1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</row>
    <row r="15" spans="1:58">
      <c r="A15" s="4" t="s">
        <v>1</v>
      </c>
      <c r="B15" s="7" t="s">
        <v>0</v>
      </c>
      <c r="C15" s="1"/>
      <c r="D15" s="6">
        <v>0.28000000000000003</v>
      </c>
      <c r="E15" s="6">
        <v>0.28000000000000003</v>
      </c>
      <c r="F15" s="6">
        <v>0.28000000000000003</v>
      </c>
      <c r="G15" s="6">
        <v>0.36999999999999988</v>
      </c>
      <c r="H15" s="6">
        <v>0.27</v>
      </c>
      <c r="I15" s="6">
        <v>0.39999999999999991</v>
      </c>
      <c r="J15" s="6">
        <v>0.30000000000000004</v>
      </c>
      <c r="K15" s="6">
        <v>0.32000000000000006</v>
      </c>
      <c r="L15" s="6">
        <v>0.36999999999999988</v>
      </c>
      <c r="M15" s="6">
        <v>0.18999999999999995</v>
      </c>
      <c r="N15" s="6">
        <v>0.45000000000000018</v>
      </c>
      <c r="O15" s="6">
        <v>0.5</v>
      </c>
      <c r="P15" s="6">
        <v>0.55000000000000004</v>
      </c>
      <c r="Q15" s="6">
        <v>0.65</v>
      </c>
      <c r="R15" s="6">
        <v>0.27</v>
      </c>
      <c r="S15" s="6">
        <v>0.29999999999999982</v>
      </c>
      <c r="T15" s="6">
        <v>0.20000000000000007</v>
      </c>
      <c r="U15" s="6">
        <v>0.35000000000000009</v>
      </c>
      <c r="V15" s="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</row>
    <row r="16" spans="1:58">
      <c r="A16" s="1"/>
      <c r="B16" s="7" t="s">
        <v>250</v>
      </c>
      <c r="C16" s="1"/>
      <c r="D16" s="6">
        <v>0.35000000000000009</v>
      </c>
      <c r="E16" s="6">
        <v>0.35000000000000009</v>
      </c>
      <c r="F16" s="6">
        <v>0.35000000000000009</v>
      </c>
      <c r="G16" s="6">
        <v>0.5</v>
      </c>
      <c r="H16" s="6">
        <v>0.39999999999999991</v>
      </c>
      <c r="I16" s="6">
        <v>0.70000000000000018</v>
      </c>
      <c r="J16" s="6">
        <v>0.40000000000000013</v>
      </c>
      <c r="K16" s="6">
        <v>0.35000000000000009</v>
      </c>
      <c r="L16" s="6">
        <v>0.39999999999999991</v>
      </c>
      <c r="M16" s="6">
        <v>0.44999999999999996</v>
      </c>
      <c r="N16" s="6">
        <v>0.45000000000000018</v>
      </c>
      <c r="O16" s="6">
        <v>0.39999999999999991</v>
      </c>
      <c r="P16" s="6">
        <v>0.55000000000000004</v>
      </c>
      <c r="Q16" s="6">
        <v>0.74999999999999989</v>
      </c>
      <c r="R16" s="6">
        <v>0.39999999999999991</v>
      </c>
      <c r="S16" s="6">
        <v>0.39999999999999991</v>
      </c>
      <c r="T16" s="6">
        <v>0.29999999999999993</v>
      </c>
      <c r="U16" s="6">
        <v>0.35000000000000009</v>
      </c>
      <c r="V16" s="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</row>
    <row r="17" spans="1:58">
      <c r="A17" s="1"/>
      <c r="B17" s="1"/>
      <c r="C17" s="1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</row>
    <row r="18" spans="1:58">
      <c r="A18" s="4" t="s">
        <v>251</v>
      </c>
      <c r="B18" s="1" t="s">
        <v>252</v>
      </c>
      <c r="C18" s="1"/>
      <c r="D18" s="3">
        <v>9.9999999999999995E-8</v>
      </c>
      <c r="E18" s="3">
        <v>9.9999999999999995E-8</v>
      </c>
      <c r="F18" s="3">
        <v>0.01</v>
      </c>
      <c r="G18" s="3">
        <v>0.02</v>
      </c>
      <c r="H18" s="3">
        <v>0.02</v>
      </c>
      <c r="I18" s="3">
        <v>0.02</v>
      </c>
      <c r="J18" s="3">
        <v>0.02</v>
      </c>
      <c r="K18" s="3">
        <v>9.9999999999999995E-8</v>
      </c>
      <c r="L18" s="3">
        <v>9.9999999999999995E-8</v>
      </c>
      <c r="M18" s="3">
        <v>0.02</v>
      </c>
      <c r="N18" s="3">
        <v>9.9999999999999995E-8</v>
      </c>
      <c r="O18" s="3">
        <v>0.01</v>
      </c>
      <c r="P18" s="3">
        <v>0.02</v>
      </c>
      <c r="Q18" s="3">
        <v>9.9999999999999995E-8</v>
      </c>
      <c r="R18" s="3">
        <v>9.9999999999999995E-8</v>
      </c>
      <c r="S18" s="3">
        <v>9.9999999999999995E-8</v>
      </c>
      <c r="T18" s="3">
        <v>0.02</v>
      </c>
      <c r="U18" s="3">
        <v>0.02</v>
      </c>
      <c r="V18" s="2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</row>
    <row r="19" spans="1:58">
      <c r="A19" s="4" t="s">
        <v>253</v>
      </c>
      <c r="B19" s="1" t="s">
        <v>254</v>
      </c>
      <c r="C19" s="1"/>
      <c r="D19" s="3">
        <v>0.78</v>
      </c>
      <c r="E19" s="3">
        <v>0.78</v>
      </c>
      <c r="F19" s="3">
        <v>0.77</v>
      </c>
      <c r="G19" s="3">
        <v>0.51</v>
      </c>
      <c r="H19" s="3">
        <v>0.55000000000000004</v>
      </c>
      <c r="I19" s="3">
        <v>0.55000000000000004</v>
      </c>
      <c r="J19" s="3">
        <v>0.51</v>
      </c>
      <c r="K19" s="3">
        <v>0.75</v>
      </c>
      <c r="L19" s="3">
        <v>0.57999999999999996</v>
      </c>
      <c r="M19" s="3">
        <v>0.33</v>
      </c>
      <c r="N19" s="3">
        <v>0.64</v>
      </c>
      <c r="O19" s="3">
        <v>0.74</v>
      </c>
      <c r="P19" s="3">
        <v>0.55000000000000004</v>
      </c>
      <c r="Q19" s="3">
        <v>0.25</v>
      </c>
      <c r="R19" s="3">
        <v>0.7</v>
      </c>
      <c r="S19" s="3">
        <v>0.7</v>
      </c>
      <c r="T19" s="3">
        <v>0.65</v>
      </c>
      <c r="U19" s="3">
        <v>0.65</v>
      </c>
      <c r="V19" s="2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</row>
    <row r="20" spans="1:58">
      <c r="A20" s="4" t="s">
        <v>255</v>
      </c>
      <c r="B20" s="1" t="s">
        <v>256</v>
      </c>
      <c r="C20" s="1"/>
      <c r="D20" s="3">
        <v>0.1</v>
      </c>
      <c r="E20" s="3">
        <v>0.1</v>
      </c>
      <c r="F20" s="3">
        <v>0.1</v>
      </c>
      <c r="G20" s="3">
        <v>0.04</v>
      </c>
      <c r="H20" s="3">
        <v>0.08</v>
      </c>
      <c r="I20" s="3">
        <v>0.08</v>
      </c>
      <c r="J20" s="3">
        <v>0.04</v>
      </c>
      <c r="K20" s="3">
        <v>0.1</v>
      </c>
      <c r="L20" s="3">
        <v>0.15</v>
      </c>
      <c r="M20" s="3">
        <v>9.5945312246999998E-3</v>
      </c>
      <c r="N20" s="3">
        <v>0.01</v>
      </c>
      <c r="O20" s="3">
        <v>0.01</v>
      </c>
      <c r="P20" s="3">
        <v>0.15</v>
      </c>
      <c r="Q20" s="3">
        <v>0.15</v>
      </c>
      <c r="R20" s="3">
        <v>0.16</v>
      </c>
      <c r="S20" s="3">
        <v>0.12</v>
      </c>
      <c r="T20" s="3">
        <v>0.13</v>
      </c>
      <c r="U20" s="3">
        <v>0.13</v>
      </c>
      <c r="V20" s="2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</row>
    <row r="21" spans="1:58">
      <c r="A21" s="4" t="s">
        <v>257</v>
      </c>
      <c r="B21" s="1" t="s">
        <v>258</v>
      </c>
      <c r="C21" s="1"/>
      <c r="D21" s="3">
        <v>0.1</v>
      </c>
      <c r="E21" s="3">
        <v>0.1</v>
      </c>
      <c r="F21" s="3">
        <v>0.1</v>
      </c>
      <c r="G21" s="3">
        <v>0.1</v>
      </c>
      <c r="H21" s="3">
        <v>0.3</v>
      </c>
      <c r="I21" s="3">
        <v>0.3</v>
      </c>
      <c r="J21" s="3">
        <v>0.1</v>
      </c>
      <c r="K21" s="3">
        <v>0.05</v>
      </c>
      <c r="L21" s="3">
        <v>0.15</v>
      </c>
      <c r="M21" s="3">
        <v>0.04</v>
      </c>
      <c r="N21" s="3">
        <v>0.15</v>
      </c>
      <c r="O21" s="3">
        <v>0.1</v>
      </c>
      <c r="P21" s="3">
        <v>0.27</v>
      </c>
      <c r="Q21" s="3">
        <v>0.55000000000000004</v>
      </c>
      <c r="R21" s="3">
        <v>0.12</v>
      </c>
      <c r="S21" s="3">
        <v>0.13</v>
      </c>
      <c r="T21" s="3">
        <v>0.15</v>
      </c>
      <c r="U21" s="3">
        <v>0.15</v>
      </c>
      <c r="V21" s="2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</row>
    <row r="22" spans="1:58">
      <c r="A22" s="4" t="s">
        <v>259</v>
      </c>
      <c r="B22" s="1" t="s">
        <v>260</v>
      </c>
      <c r="C22" s="1"/>
      <c r="D22" s="3">
        <v>0.01</v>
      </c>
      <c r="E22" s="3">
        <v>0.01</v>
      </c>
      <c r="F22" s="3">
        <v>0.01</v>
      </c>
      <c r="G22" s="3">
        <v>9.9999999999999995E-8</v>
      </c>
      <c r="H22" s="3">
        <v>9.9999999999999995E-8</v>
      </c>
      <c r="I22" s="3">
        <v>9.9999999999999995E-8</v>
      </c>
      <c r="J22" s="3">
        <v>9.9999999999999995E-8</v>
      </c>
      <c r="K22" s="3">
        <v>9.9999999999999995E-8</v>
      </c>
      <c r="L22" s="3">
        <v>9.9999999999999995E-8</v>
      </c>
      <c r="M22" s="3">
        <v>0.02</v>
      </c>
      <c r="N22" s="3">
        <v>9.9999999999999995E-8</v>
      </c>
      <c r="O22" s="3">
        <v>0.02</v>
      </c>
      <c r="P22" s="3">
        <v>9.9999999999999995E-8</v>
      </c>
      <c r="Q22" s="3">
        <v>9.9999999999999995E-8</v>
      </c>
      <c r="R22" s="3">
        <v>0.01</v>
      </c>
      <c r="S22" s="3">
        <v>9.9999999999999995E-8</v>
      </c>
      <c r="T22" s="3">
        <v>9.9999999999999995E-8</v>
      </c>
      <c r="U22" s="3">
        <v>9.9999999999999995E-8</v>
      </c>
      <c r="V22" s="2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</row>
    <row r="23" spans="1:58">
      <c r="A23" s="4" t="s">
        <v>261</v>
      </c>
      <c r="B23" s="1" t="s">
        <v>262</v>
      </c>
      <c r="C23" s="1"/>
      <c r="D23" s="3">
        <v>0.01</v>
      </c>
      <c r="E23" s="3">
        <v>0.01</v>
      </c>
      <c r="F23" s="3">
        <v>0.01</v>
      </c>
      <c r="G23" s="3">
        <v>0.33</v>
      </c>
      <c r="H23" s="3">
        <v>0.05</v>
      </c>
      <c r="I23" s="3">
        <v>0.05</v>
      </c>
      <c r="J23" s="3">
        <v>0.33</v>
      </c>
      <c r="K23" s="3">
        <v>0.1</v>
      </c>
      <c r="L23" s="3">
        <v>0.12</v>
      </c>
      <c r="M23" s="3">
        <v>0.57999999999999996</v>
      </c>
      <c r="N23" s="3">
        <v>0.2</v>
      </c>
      <c r="O23" s="3">
        <v>0.12</v>
      </c>
      <c r="P23" s="3">
        <v>0.01</v>
      </c>
      <c r="Q23" s="3">
        <v>0.05</v>
      </c>
      <c r="R23" s="3">
        <v>0.01</v>
      </c>
      <c r="S23" s="3">
        <v>0.05</v>
      </c>
      <c r="T23" s="3">
        <v>0.05</v>
      </c>
      <c r="U23" s="3">
        <v>0.05</v>
      </c>
      <c r="V23" s="2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</row>
    <row r="24" spans="1:58">
      <c r="A24" s="1"/>
      <c r="B24" s="1" t="s">
        <v>263</v>
      </c>
      <c r="C24" s="1"/>
      <c r="D24" s="124">
        <v>1.0000000999999998</v>
      </c>
      <c r="E24" s="124">
        <v>1.0000000999999998</v>
      </c>
      <c r="F24" s="124">
        <v>1</v>
      </c>
      <c r="G24" s="124">
        <v>1.0000001000000001</v>
      </c>
      <c r="H24" s="124">
        <v>1.0000000999999998</v>
      </c>
      <c r="I24" s="124">
        <v>1.0000000999999998</v>
      </c>
      <c r="J24" s="124">
        <v>1.0000001000000001</v>
      </c>
      <c r="K24" s="124">
        <v>1.0000001999999999</v>
      </c>
      <c r="L24" s="124">
        <v>1.0000001999999999</v>
      </c>
      <c r="M24" s="124">
        <v>0.99959453122469999</v>
      </c>
      <c r="N24" s="124">
        <v>1.0000001999999999</v>
      </c>
      <c r="O24" s="124">
        <v>1</v>
      </c>
      <c r="P24" s="124">
        <v>1.0000001000000001</v>
      </c>
      <c r="Q24" s="124">
        <v>1.0000001999999999</v>
      </c>
      <c r="R24" s="124">
        <v>1.0000000999999998</v>
      </c>
      <c r="S24" s="124">
        <v>1.0000001999999999</v>
      </c>
      <c r="T24" s="124">
        <v>1.0000001000000001</v>
      </c>
      <c r="U24" s="124">
        <v>1.0000001000000001</v>
      </c>
      <c r="V24" s="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</row>
    <row r="25" spans="1: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</row>
    <row r="26" spans="1:58">
      <c r="A26" s="125" t="s">
        <v>264</v>
      </c>
      <c r="B26" s="126" t="s">
        <v>265</v>
      </c>
      <c r="C26" s="1"/>
      <c r="D26" s="2">
        <v>0.50525652195285131</v>
      </c>
      <c r="E26" s="2">
        <v>0.22763876788441115</v>
      </c>
      <c r="F26" s="2">
        <v>0.26710471016273757</v>
      </c>
      <c r="G26" s="2">
        <v>0.23808219851502893</v>
      </c>
      <c r="H26" s="2">
        <v>0.43973385210741545</v>
      </c>
      <c r="I26" s="2">
        <v>0.10993346302685386</v>
      </c>
      <c r="J26" s="2">
        <v>0.21225048635070184</v>
      </c>
      <c r="K26" s="2">
        <v>0.65234022300022054</v>
      </c>
      <c r="L26" s="2">
        <v>0.34765977699977946</v>
      </c>
      <c r="M26" s="2">
        <v>1</v>
      </c>
      <c r="N26" s="2">
        <v>0.50260144348717006</v>
      </c>
      <c r="O26" s="2">
        <v>0.49739855651282999</v>
      </c>
      <c r="P26" s="2">
        <v>1</v>
      </c>
      <c r="Q26" s="2">
        <v>1</v>
      </c>
      <c r="R26" s="2">
        <v>0.28335590969258828</v>
      </c>
      <c r="S26" s="2">
        <v>0.71664409030741172</v>
      </c>
      <c r="T26" s="2">
        <v>1</v>
      </c>
      <c r="U26" s="2">
        <v>1</v>
      </c>
      <c r="V26" s="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</row>
    <row r="27" spans="1:58">
      <c r="A27" s="1"/>
      <c r="B27" s="1" t="s">
        <v>252</v>
      </c>
      <c r="C27" s="1"/>
      <c r="D27" s="544">
        <v>2.6711203911563594E-3</v>
      </c>
      <c r="E27" s="544"/>
      <c r="F27" s="544"/>
      <c r="G27" s="545">
        <v>2.0000000000000004E-2</v>
      </c>
      <c r="H27" s="545"/>
      <c r="I27" s="545"/>
      <c r="J27" s="545"/>
      <c r="K27" s="1"/>
      <c r="L27" s="1"/>
      <c r="M27" s="1"/>
      <c r="N27" s="544">
        <v>4.9740358252726487E-3</v>
      </c>
      <c r="O27" s="544"/>
      <c r="P27" s="1"/>
      <c r="Q27" s="1"/>
      <c r="R27" s="1"/>
      <c r="S27" s="1"/>
      <c r="T27" s="1"/>
      <c r="U27" s="1"/>
      <c r="V27" s="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</row>
    <row r="28" spans="1:58">
      <c r="A28" s="1"/>
      <c r="B28" s="1" t="s">
        <v>254</v>
      </c>
      <c r="C28" s="1"/>
      <c r="D28" s="544">
        <v>0.77732895289837267</v>
      </c>
      <c r="E28" s="544"/>
      <c r="F28" s="544"/>
      <c r="G28" s="545">
        <v>0.5319866926053709</v>
      </c>
      <c r="H28" s="545"/>
      <c r="I28" s="545"/>
      <c r="J28" s="545"/>
      <c r="K28" s="1"/>
      <c r="L28" s="1"/>
      <c r="M28" s="1"/>
      <c r="N28" s="545">
        <v>0.68973985565128304</v>
      </c>
      <c r="O28" s="545"/>
      <c r="P28" s="1"/>
      <c r="Q28" s="1"/>
      <c r="R28" s="1"/>
      <c r="S28" s="1"/>
      <c r="T28" s="1"/>
      <c r="U28" s="1"/>
      <c r="V28" s="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</row>
    <row r="29" spans="1:58">
      <c r="A29" s="1"/>
      <c r="B29" s="1" t="s">
        <v>256</v>
      </c>
      <c r="C29" s="1"/>
      <c r="D29" s="544">
        <v>0.1</v>
      </c>
      <c r="E29" s="544"/>
      <c r="F29" s="544"/>
      <c r="G29" s="545">
        <v>6.1986692605370784E-2</v>
      </c>
      <c r="H29" s="545"/>
      <c r="I29" s="545"/>
      <c r="J29" s="545"/>
      <c r="K29" s="1"/>
      <c r="L29" s="1"/>
      <c r="M29" s="1"/>
      <c r="N29" s="545">
        <v>1.0000000000000002E-2</v>
      </c>
      <c r="O29" s="545"/>
      <c r="P29" s="1"/>
      <c r="Q29" s="1"/>
      <c r="R29" s="1"/>
      <c r="S29" s="1"/>
      <c r="T29" s="1"/>
      <c r="U29" s="1"/>
      <c r="V29" s="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</row>
    <row r="30" spans="1:58">
      <c r="A30" s="1"/>
      <c r="B30" s="1" t="s">
        <v>258</v>
      </c>
      <c r="C30" s="1"/>
      <c r="D30" s="544">
        <v>0.1</v>
      </c>
      <c r="E30" s="544"/>
      <c r="F30" s="544"/>
      <c r="G30" s="545">
        <v>0.20993346302685384</v>
      </c>
      <c r="H30" s="545"/>
      <c r="I30" s="545"/>
      <c r="J30" s="545"/>
      <c r="K30" s="1"/>
      <c r="L30" s="1"/>
      <c r="M30" s="1"/>
      <c r="N30" s="545">
        <v>0.12513007217435851</v>
      </c>
      <c r="O30" s="545"/>
      <c r="P30" s="1"/>
      <c r="Q30" s="1"/>
      <c r="R30" s="1"/>
      <c r="S30" s="1"/>
      <c r="T30" s="1"/>
      <c r="U30" s="1"/>
      <c r="V30" s="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</row>
    <row r="31" spans="1:58">
      <c r="A31" s="1"/>
      <c r="B31" s="1" t="s">
        <v>260</v>
      </c>
      <c r="C31" s="1"/>
      <c r="D31" s="544">
        <v>0.01</v>
      </c>
      <c r="E31" s="544"/>
      <c r="F31" s="544"/>
      <c r="G31" s="545">
        <v>1.0000000000000001E-7</v>
      </c>
      <c r="H31" s="545"/>
      <c r="I31" s="545"/>
      <c r="J31" s="545"/>
      <c r="K31" s="1"/>
      <c r="L31" s="1"/>
      <c r="M31" s="1"/>
      <c r="N31" s="545">
        <v>9.948021390400949E-3</v>
      </c>
      <c r="O31" s="545"/>
      <c r="P31" s="1"/>
      <c r="Q31" s="1"/>
      <c r="R31" s="1"/>
      <c r="S31" s="1"/>
      <c r="T31" s="1"/>
      <c r="U31" s="1"/>
      <c r="V31" s="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</row>
    <row r="32" spans="1:58">
      <c r="A32" s="1"/>
      <c r="B32" s="1" t="s">
        <v>262</v>
      </c>
      <c r="C32" s="1"/>
      <c r="D32" s="544">
        <v>0.01</v>
      </c>
      <c r="E32" s="544"/>
      <c r="F32" s="544"/>
      <c r="G32" s="545">
        <v>0.17609315176240464</v>
      </c>
      <c r="H32" s="545"/>
      <c r="I32" s="545"/>
      <c r="J32" s="545"/>
      <c r="K32" s="1"/>
      <c r="L32" s="1"/>
      <c r="M32" s="1"/>
      <c r="N32" s="545">
        <v>0.16020811547897362</v>
      </c>
      <c r="O32" s="545"/>
      <c r="P32" s="1"/>
      <c r="Q32" s="1"/>
      <c r="R32" s="1"/>
      <c r="S32" s="1"/>
      <c r="T32" s="1"/>
      <c r="U32" s="1"/>
      <c r="V32" s="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</row>
    <row r="33" spans="1:58">
      <c r="A33" s="1"/>
      <c r="B33" s="1"/>
      <c r="C33" s="1"/>
      <c r="D33" s="546">
        <v>1.0000000732895289</v>
      </c>
      <c r="E33" s="547"/>
      <c r="F33" s="547"/>
      <c r="G33" s="1"/>
      <c r="H33" s="1"/>
      <c r="I33" s="1"/>
      <c r="J33" s="1"/>
      <c r="K33" s="1"/>
      <c r="L33" s="1"/>
      <c r="M33" s="1"/>
      <c r="N33" s="546">
        <v>1.000000100520289</v>
      </c>
      <c r="O33" s="547"/>
      <c r="P33" s="1"/>
      <c r="Q33" s="1"/>
      <c r="R33" s="1"/>
      <c r="S33" s="1"/>
      <c r="T33" s="1"/>
      <c r="U33" s="1"/>
      <c r="V33" s="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</row>
    <row r="34" spans="1: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</row>
    <row r="35" spans="1:58">
      <c r="A35" s="1"/>
      <c r="B35" s="7" t="s">
        <v>266</v>
      </c>
      <c r="C35" s="1"/>
      <c r="D35" s="24" t="s">
        <v>49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</row>
    <row r="36" spans="1:58">
      <c r="A36" s="1"/>
      <c r="B36" s="23" t="s">
        <v>48</v>
      </c>
      <c r="C36" s="5"/>
      <c r="D36" s="21" t="s">
        <v>31</v>
      </c>
      <c r="E36" s="22" t="s">
        <v>20</v>
      </c>
      <c r="F36" s="22" t="s">
        <v>19</v>
      </c>
      <c r="G36" s="21" t="s">
        <v>18</v>
      </c>
      <c r="H36" s="21" t="s">
        <v>47</v>
      </c>
      <c r="I36" s="21" t="s">
        <v>16</v>
      </c>
      <c r="J36" s="21" t="s">
        <v>28</v>
      </c>
      <c r="K36" s="21" t="s">
        <v>46</v>
      </c>
      <c r="L36" s="21" t="s">
        <v>13</v>
      </c>
      <c r="M36" s="21" t="s">
        <v>12</v>
      </c>
      <c r="N36" s="21" t="s">
        <v>45</v>
      </c>
      <c r="O36" s="21" t="s">
        <v>9</v>
      </c>
      <c r="P36" s="20" t="s">
        <v>44</v>
      </c>
      <c r="Q36" s="1"/>
      <c r="R36" s="1"/>
      <c r="S36" s="1"/>
      <c r="T36" s="1"/>
      <c r="U36" s="1"/>
      <c r="V36" s="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</row>
    <row r="37" spans="1:58">
      <c r="A37" s="1"/>
      <c r="B37" s="19" t="s">
        <v>43</v>
      </c>
      <c r="C37" s="5"/>
      <c r="D37" s="18">
        <v>7.0000000000000007E-2</v>
      </c>
      <c r="E37" s="18">
        <v>2.85</v>
      </c>
      <c r="F37" s="18">
        <v>2.64</v>
      </c>
      <c r="G37" s="18">
        <v>0.31</v>
      </c>
      <c r="H37" s="18">
        <v>0.04</v>
      </c>
      <c r="I37" s="18">
        <v>2.31</v>
      </c>
      <c r="J37" s="18">
        <v>0.82</v>
      </c>
      <c r="K37" s="18">
        <v>1.9</v>
      </c>
      <c r="L37" s="18">
        <v>0.88</v>
      </c>
      <c r="M37" s="18">
        <v>0.34</v>
      </c>
      <c r="N37" s="18">
        <v>0.15</v>
      </c>
      <c r="O37" s="18">
        <v>0</v>
      </c>
      <c r="P37" s="17">
        <v>1.19</v>
      </c>
      <c r="Q37" s="1"/>
      <c r="R37" s="1"/>
      <c r="S37" s="1"/>
      <c r="T37" s="1"/>
      <c r="U37" s="1"/>
      <c r="V37" s="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</row>
    <row r="38" spans="1:58">
      <c r="A38" s="1"/>
      <c r="B38" s="19" t="s">
        <v>35</v>
      </c>
      <c r="C38" s="5"/>
      <c r="D38" s="18">
        <v>70.28</v>
      </c>
      <c r="E38" s="18">
        <v>33.520000000000003</v>
      </c>
      <c r="F38" s="18">
        <v>53.73</v>
      </c>
      <c r="G38" s="18">
        <v>68.2</v>
      </c>
      <c r="H38" s="18">
        <v>50.78</v>
      </c>
      <c r="I38" s="18">
        <v>25.1</v>
      </c>
      <c r="J38" s="18">
        <v>68.09</v>
      </c>
      <c r="K38" s="18">
        <v>53.19</v>
      </c>
      <c r="L38" s="18">
        <v>20.25</v>
      </c>
      <c r="M38" s="18">
        <v>61.46</v>
      </c>
      <c r="N38" s="18">
        <v>60.9</v>
      </c>
      <c r="O38" s="18">
        <v>53.36</v>
      </c>
      <c r="P38" s="17">
        <v>48.2</v>
      </c>
      <c r="Q38" s="1"/>
      <c r="R38" s="1"/>
      <c r="S38" s="1"/>
      <c r="T38" s="1"/>
      <c r="U38" s="1"/>
      <c r="V38" s="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</row>
    <row r="39" spans="1:58">
      <c r="A39" s="1"/>
      <c r="B39" s="19" t="s">
        <v>42</v>
      </c>
      <c r="C39" s="5"/>
      <c r="D39" s="18">
        <v>8.39</v>
      </c>
      <c r="E39" s="18">
        <v>17.75</v>
      </c>
      <c r="F39" s="18">
        <v>0.92</v>
      </c>
      <c r="G39" s="18">
        <v>6.75</v>
      </c>
      <c r="H39" s="18">
        <v>6.6</v>
      </c>
      <c r="I39" s="18">
        <v>7.45</v>
      </c>
      <c r="J39" s="18">
        <v>0.24</v>
      </c>
      <c r="K39" s="18">
        <v>0</v>
      </c>
      <c r="L39" s="18">
        <v>1.24</v>
      </c>
      <c r="M39" s="18">
        <v>7.44</v>
      </c>
      <c r="N39" s="18">
        <v>8.43</v>
      </c>
      <c r="O39" s="18">
        <v>11.85</v>
      </c>
      <c r="P39" s="17">
        <v>8.31</v>
      </c>
      <c r="Q39" s="1"/>
      <c r="R39" s="1"/>
      <c r="S39" s="1"/>
      <c r="T39" s="1"/>
      <c r="U39" s="1"/>
      <c r="V39" s="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</row>
    <row r="40" spans="1:58">
      <c r="A40" s="1"/>
      <c r="B40" s="19" t="s">
        <v>41</v>
      </c>
      <c r="C40" s="5"/>
      <c r="D40" s="18">
        <v>9.94</v>
      </c>
      <c r="E40" s="18">
        <v>3.99</v>
      </c>
      <c r="F40" s="18">
        <v>7.93</v>
      </c>
      <c r="G40" s="18">
        <v>12.78</v>
      </c>
      <c r="H40" s="18">
        <v>13.74</v>
      </c>
      <c r="I40" s="18">
        <v>0.78</v>
      </c>
      <c r="J40" s="18">
        <v>1.29</v>
      </c>
      <c r="K40" s="18">
        <v>14.75</v>
      </c>
      <c r="L40" s="18">
        <v>14.91</v>
      </c>
      <c r="M40" s="18">
        <v>16.63</v>
      </c>
      <c r="N40" s="18">
        <v>11.82</v>
      </c>
      <c r="O40" s="18">
        <v>13.26</v>
      </c>
      <c r="P40" s="17">
        <v>9.1199999999999992</v>
      </c>
      <c r="Q40" s="1"/>
      <c r="R40" s="1"/>
      <c r="S40" s="1"/>
      <c r="T40" s="1"/>
      <c r="U40" s="1"/>
      <c r="V40" s="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</row>
    <row r="41" spans="1:58">
      <c r="A41" s="1"/>
      <c r="B41" s="19" t="s">
        <v>40</v>
      </c>
      <c r="C41" s="5"/>
      <c r="D41" s="18">
        <v>9.18</v>
      </c>
      <c r="E41" s="18">
        <v>6.69</v>
      </c>
      <c r="F41" s="18">
        <v>31.03</v>
      </c>
      <c r="G41" s="18">
        <v>3.1</v>
      </c>
      <c r="H41" s="18">
        <v>16.510000000000002</v>
      </c>
      <c r="I41" s="18">
        <v>3.75</v>
      </c>
      <c r="J41" s="18">
        <v>11.97</v>
      </c>
      <c r="K41" s="18">
        <v>28.21</v>
      </c>
      <c r="L41" s="18">
        <v>55.38</v>
      </c>
      <c r="M41" s="18">
        <v>11.63</v>
      </c>
      <c r="N41" s="18">
        <v>13.02</v>
      </c>
      <c r="O41" s="18">
        <v>15.47</v>
      </c>
      <c r="P41" s="17">
        <v>15.01</v>
      </c>
      <c r="Q41" s="1"/>
      <c r="R41" s="1"/>
      <c r="S41" s="1"/>
      <c r="T41" s="1"/>
      <c r="U41" s="1"/>
      <c r="V41" s="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</row>
    <row r="42" spans="1:58">
      <c r="A42" s="1"/>
      <c r="B42" s="19" t="s">
        <v>39</v>
      </c>
      <c r="C42" s="5"/>
      <c r="D42" s="18">
        <v>7.0000000000000007E-2</v>
      </c>
      <c r="E42" s="18">
        <v>0.62</v>
      </c>
      <c r="F42" s="18">
        <v>0.15</v>
      </c>
      <c r="G42" s="18">
        <v>0.09</v>
      </c>
      <c r="H42" s="18">
        <v>0.09</v>
      </c>
      <c r="I42" s="18">
        <v>2.3199999999999998</v>
      </c>
      <c r="J42" s="18">
        <v>0.91</v>
      </c>
      <c r="K42" s="18">
        <v>0.93</v>
      </c>
      <c r="L42" s="18">
        <v>6.78</v>
      </c>
      <c r="M42" s="18">
        <v>1.27</v>
      </c>
      <c r="N42" s="18">
        <v>0.28999999999999998</v>
      </c>
      <c r="O42" s="18">
        <v>0.28000000000000003</v>
      </c>
      <c r="P42" s="17">
        <v>1.1200000000000001</v>
      </c>
      <c r="Q42" s="1"/>
      <c r="R42" s="1"/>
      <c r="S42" s="1"/>
      <c r="T42" s="1"/>
      <c r="U42" s="1"/>
      <c r="V42" s="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</row>
    <row r="43" spans="1:58">
      <c r="A43" s="1"/>
      <c r="B43" s="19" t="s">
        <v>38</v>
      </c>
      <c r="C43" s="5"/>
      <c r="D43" s="18">
        <v>7.0000000000000007E-2</v>
      </c>
      <c r="E43" s="18">
        <v>4.17</v>
      </c>
      <c r="F43" s="18">
        <v>0.34</v>
      </c>
      <c r="G43" s="18">
        <v>0.03</v>
      </c>
      <c r="H43" s="18">
        <v>0.51</v>
      </c>
      <c r="I43" s="18">
        <v>34</v>
      </c>
      <c r="J43" s="18">
        <v>1.49</v>
      </c>
      <c r="K43" s="18">
        <v>0</v>
      </c>
      <c r="L43" s="18">
        <v>0</v>
      </c>
      <c r="M43" s="18">
        <v>0.11</v>
      </c>
      <c r="N43" s="18">
        <v>0</v>
      </c>
      <c r="O43" s="18">
        <v>0.66</v>
      </c>
      <c r="P43" s="17">
        <v>0.97</v>
      </c>
      <c r="Q43" s="1"/>
      <c r="R43" s="1"/>
      <c r="S43" s="1"/>
      <c r="T43" s="1"/>
      <c r="U43" s="1"/>
      <c r="V43" s="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</row>
    <row r="44" spans="1:58">
      <c r="A44" s="1"/>
      <c r="B44" s="16" t="s">
        <v>37</v>
      </c>
      <c r="C44" s="5"/>
      <c r="D44" s="15">
        <v>2</v>
      </c>
      <c r="E44" s="15">
        <v>30.38</v>
      </c>
      <c r="F44" s="15">
        <v>3.25</v>
      </c>
      <c r="G44" s="15">
        <v>8.7100000000000009</v>
      </c>
      <c r="H44" s="15">
        <v>11.69</v>
      </c>
      <c r="I44" s="15">
        <v>23</v>
      </c>
      <c r="J44" s="15">
        <v>15.2</v>
      </c>
      <c r="K44" s="15">
        <v>1.03</v>
      </c>
      <c r="L44" s="15">
        <v>0.55000000000000004</v>
      </c>
      <c r="M44" s="15">
        <v>1.1100000000000001</v>
      </c>
      <c r="N44" s="15">
        <v>5.0999999999999996</v>
      </c>
      <c r="O44" s="15">
        <v>4.75</v>
      </c>
      <c r="P44" s="14">
        <v>13.29</v>
      </c>
      <c r="Q44" s="1"/>
      <c r="R44" s="1"/>
      <c r="S44" s="1"/>
      <c r="T44" s="1"/>
      <c r="U44" s="1"/>
      <c r="V44" s="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</row>
    <row r="45" spans="1:58">
      <c r="A45" s="1"/>
      <c r="B45" s="74" t="s">
        <v>36</v>
      </c>
      <c r="C45" s="5"/>
      <c r="D45" s="5">
        <v>99.999999999999972</v>
      </c>
      <c r="E45" s="5">
        <v>99.970000000000013</v>
      </c>
      <c r="F45" s="5">
        <v>99.990000000000009</v>
      </c>
      <c r="G45" s="5">
        <v>99.97</v>
      </c>
      <c r="H45" s="5">
        <v>99.960000000000008</v>
      </c>
      <c r="I45" s="5">
        <v>98.710000000000008</v>
      </c>
      <c r="J45" s="5">
        <v>100.00999999999999</v>
      </c>
      <c r="K45" s="5">
        <v>100.01000000000002</v>
      </c>
      <c r="L45" s="5">
        <v>99.99</v>
      </c>
      <c r="M45" s="5">
        <v>99.99</v>
      </c>
      <c r="N45" s="5">
        <v>99.70999999999998</v>
      </c>
      <c r="O45" s="5">
        <v>99.63</v>
      </c>
      <c r="P45" s="5">
        <v>97.210000000000008</v>
      </c>
      <c r="Q45" s="1"/>
      <c r="R45" s="1"/>
      <c r="S45" s="1"/>
      <c r="T45" s="1"/>
      <c r="U45" s="1"/>
      <c r="V45" s="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</row>
    <row r="46" spans="1:58">
      <c r="A46" s="1"/>
      <c r="B46" s="1"/>
      <c r="C46" s="1"/>
      <c r="D46" s="1"/>
      <c r="E46" s="1"/>
      <c r="F46" s="1"/>
      <c r="G46" s="1"/>
      <c r="H46" s="1"/>
      <c r="I46" s="1"/>
      <c r="J46" s="1"/>
      <c r="K46" s="5"/>
      <c r="L46" s="5"/>
      <c r="M46" s="5"/>
      <c r="N46" s="5"/>
      <c r="O46" s="5"/>
      <c r="P46" s="1"/>
      <c r="Q46" s="1"/>
      <c r="R46" s="1"/>
      <c r="S46" s="1"/>
      <c r="T46" s="1"/>
      <c r="U46" s="1"/>
      <c r="V46" s="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</row>
    <row r="47" spans="1:58">
      <c r="A47" s="1"/>
      <c r="B47" s="7" t="s">
        <v>35</v>
      </c>
      <c r="C47" s="1"/>
      <c r="D47" s="12">
        <v>78.67</v>
      </c>
      <c r="E47" s="12">
        <v>51.27</v>
      </c>
      <c r="F47" s="12">
        <v>54.65</v>
      </c>
      <c r="G47" s="12">
        <v>74.95</v>
      </c>
      <c r="H47" s="12">
        <v>57.38</v>
      </c>
      <c r="I47" s="12">
        <v>32.550000000000004</v>
      </c>
      <c r="J47" s="12">
        <v>68.33</v>
      </c>
      <c r="K47" s="13">
        <v>53.19</v>
      </c>
      <c r="L47" s="13">
        <v>21.49</v>
      </c>
      <c r="M47" s="13">
        <v>68.900000000000006</v>
      </c>
      <c r="N47" s="13">
        <v>69.33</v>
      </c>
      <c r="O47" s="13">
        <v>65.209999999999994</v>
      </c>
      <c r="P47" s="12">
        <v>56.510000000000005</v>
      </c>
      <c r="Q47" s="1"/>
      <c r="R47" s="1"/>
      <c r="S47" s="1"/>
      <c r="T47" s="1"/>
      <c r="U47" s="1"/>
      <c r="V47" s="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</row>
    <row r="48" spans="1:58">
      <c r="A48" s="1"/>
      <c r="B48" s="7" t="s">
        <v>34</v>
      </c>
      <c r="C48" s="1"/>
      <c r="D48" s="2">
        <v>0.10664802338883946</v>
      </c>
      <c r="E48" s="2">
        <v>0.34620635849424614</v>
      </c>
      <c r="F48" s="2">
        <v>1.6834400731930467E-2</v>
      </c>
      <c r="G48" s="2">
        <v>9.0060040026684454E-2</v>
      </c>
      <c r="H48" s="2">
        <v>0.11502265597769257</v>
      </c>
      <c r="I48" s="2">
        <v>0.22887864823348691</v>
      </c>
      <c r="J48" s="2">
        <v>3.5123664569003364E-3</v>
      </c>
      <c r="K48" s="3">
        <v>0</v>
      </c>
      <c r="L48" s="3">
        <v>5.7701256398324803E-2</v>
      </c>
      <c r="M48" s="3">
        <v>0.10798258345428156</v>
      </c>
      <c r="N48" s="3">
        <v>0.12159238424924275</v>
      </c>
      <c r="O48" s="3">
        <v>0.18172059500076676</v>
      </c>
      <c r="P48" s="2">
        <v>0.14705361882852591</v>
      </c>
      <c r="Q48" s="1"/>
      <c r="R48" s="1"/>
      <c r="S48" s="1"/>
      <c r="T48" s="1"/>
      <c r="U48" s="1"/>
      <c r="V48" s="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</row>
    <row r="49" spans="1:58">
      <c r="A49" s="1"/>
      <c r="B49" s="7" t="s">
        <v>33</v>
      </c>
      <c r="C49" s="1"/>
      <c r="D49" s="12">
        <v>2.0699999999999998</v>
      </c>
      <c r="E49" s="12">
        <v>34.549999999999997</v>
      </c>
      <c r="F49" s="12">
        <v>3.59</v>
      </c>
      <c r="G49" s="12">
        <v>8.74</v>
      </c>
      <c r="H49" s="12">
        <v>12.2</v>
      </c>
      <c r="I49" s="12">
        <v>57</v>
      </c>
      <c r="J49" s="12">
        <v>16.689999999999998</v>
      </c>
      <c r="K49" s="13">
        <v>1.03</v>
      </c>
      <c r="L49" s="13">
        <v>0.55000000000000004</v>
      </c>
      <c r="M49" s="13">
        <v>1.2200000000000002</v>
      </c>
      <c r="N49" s="13">
        <v>5.0999999999999996</v>
      </c>
      <c r="O49" s="13">
        <v>5.41</v>
      </c>
      <c r="P49" s="12">
        <v>14.26</v>
      </c>
      <c r="Q49" s="1"/>
      <c r="R49" s="1"/>
      <c r="S49" s="1"/>
      <c r="T49" s="1"/>
      <c r="U49" s="1"/>
      <c r="V49" s="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</row>
    <row r="50" spans="1:58">
      <c r="A50" s="1"/>
      <c r="B50" s="7" t="s">
        <v>32</v>
      </c>
      <c r="C50" s="1"/>
      <c r="D50" s="2">
        <v>3.3816425120772951E-2</v>
      </c>
      <c r="E50" s="2">
        <v>0.1206946454413893</v>
      </c>
      <c r="F50" s="2">
        <v>9.4707520891364916E-2</v>
      </c>
      <c r="G50" s="2">
        <v>3.4324942791762012E-3</v>
      </c>
      <c r="H50" s="2">
        <v>4.1803278688524591E-2</v>
      </c>
      <c r="I50" s="2">
        <v>0.59649122807017541</v>
      </c>
      <c r="J50" s="2">
        <v>8.9275014979029371E-2</v>
      </c>
      <c r="K50" s="3">
        <v>0</v>
      </c>
      <c r="L50" s="3">
        <v>0</v>
      </c>
      <c r="M50" s="3">
        <v>9.0163934426229497E-2</v>
      </c>
      <c r="N50" s="3">
        <v>0</v>
      </c>
      <c r="O50" s="3">
        <v>0.12199630314232902</v>
      </c>
      <c r="P50" s="2">
        <v>6.802244039270687E-2</v>
      </c>
      <c r="Q50" s="1"/>
      <c r="R50" s="1"/>
      <c r="S50" s="1"/>
      <c r="T50" s="1"/>
      <c r="U50" s="1"/>
      <c r="V50" s="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</row>
    <row r="51" spans="1: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</row>
    <row r="52" spans="1: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</row>
    <row r="53" spans="1: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</row>
    <row r="54" spans="1:58"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</row>
    <row r="55" spans="1:58"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</row>
    <row r="56" spans="1:58"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</row>
    <row r="57" spans="1:58"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</row>
    <row r="58" spans="1:58"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</row>
    <row r="59" spans="1:58"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</row>
    <row r="60" spans="1:58"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</row>
    <row r="61" spans="1:58"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</row>
    <row r="62" spans="1:58"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</row>
    <row r="63" spans="1:58"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</row>
    <row r="64" spans="1:58"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</row>
    <row r="65" spans="25:58"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</row>
    <row r="66" spans="25:58"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</row>
    <row r="67" spans="25:58"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</row>
    <row r="68" spans="25:58"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</row>
    <row r="69" spans="25:58"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</row>
    <row r="70" spans="25:58"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</row>
    <row r="71" spans="25:58"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</row>
    <row r="72" spans="25:58"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</row>
    <row r="73" spans="25:58"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</row>
    <row r="74" spans="25:58"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</row>
    <row r="75" spans="25:58"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</row>
    <row r="76" spans="25:58"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</row>
    <row r="77" spans="25:58"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</row>
    <row r="78" spans="25:58"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</row>
    <row r="79" spans="25:58"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</row>
    <row r="80" spans="25:58"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</row>
    <row r="81" spans="25:58"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</row>
    <row r="82" spans="25:58"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</row>
    <row r="83" spans="25:58"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</row>
    <row r="84" spans="25:58"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</row>
    <row r="85" spans="25:58"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</row>
    <row r="86" spans="25:58"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</row>
    <row r="87" spans="25:58"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</row>
    <row r="88" spans="25:58"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</row>
    <row r="89" spans="25:58"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</row>
    <row r="90" spans="25:58"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</row>
    <row r="91" spans="25:58"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</row>
    <row r="92" spans="25:58"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</row>
    <row r="93" spans="25:58"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</row>
    <row r="94" spans="25:58"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</row>
    <row r="95" spans="25:58"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</row>
    <row r="96" spans="25:58"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</row>
    <row r="97" spans="25:58"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</row>
    <row r="98" spans="25:58"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</row>
    <row r="99" spans="25:58"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</row>
    <row r="100" spans="25:58"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</row>
    <row r="101" spans="25:58"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</row>
    <row r="102" spans="25:58"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</row>
    <row r="103" spans="25:58"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</row>
    <row r="104" spans="25:58"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</row>
    <row r="105" spans="25:58"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</row>
    <row r="106" spans="25:58"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</row>
    <row r="107" spans="25:58"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</row>
    <row r="108" spans="25:58"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</row>
    <row r="109" spans="25:58"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</row>
    <row r="110" spans="25:58"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</row>
    <row r="111" spans="25:58"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</row>
    <row r="112" spans="25:58"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</row>
    <row r="113" spans="25:58"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</row>
    <row r="114" spans="25:58"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</row>
    <row r="115" spans="25:58"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</row>
    <row r="116" spans="25:58"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</row>
    <row r="117" spans="25:58"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</row>
    <row r="118" spans="25:58"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</row>
    <row r="119" spans="25:58"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</row>
    <row r="120" spans="25:58"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</row>
    <row r="121" spans="25:58"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</row>
    <row r="122" spans="25:58"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</row>
    <row r="123" spans="25:58"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</row>
    <row r="124" spans="25:58"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</row>
    <row r="125" spans="25:58"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</row>
    <row r="126" spans="25:58"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</row>
    <row r="127" spans="25:58"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</row>
    <row r="128" spans="25:58"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</row>
    <row r="129" spans="25:58"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</row>
    <row r="130" spans="25:58"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</row>
    <row r="131" spans="25:58"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</row>
    <row r="132" spans="25:58"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</row>
    <row r="133" spans="25:58"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</row>
    <row r="134" spans="25:58"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</row>
    <row r="135" spans="25:58"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</row>
    <row r="136" spans="25:58"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</row>
    <row r="137" spans="25:58"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</row>
    <row r="138" spans="25:58"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</row>
    <row r="139" spans="25:58"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</row>
    <row r="140" spans="25:58"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</row>
    <row r="141" spans="25:58"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</row>
    <row r="142" spans="25:58"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</row>
    <row r="143" spans="25:58"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</row>
    <row r="144" spans="25:58"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</row>
    <row r="145" spans="25:58"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</row>
    <row r="146" spans="25:58"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</row>
    <row r="147" spans="25:58"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</row>
    <row r="148" spans="25:58"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</row>
    <row r="149" spans="25:58"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</row>
    <row r="150" spans="25:58"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</row>
    <row r="151" spans="25:58"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</row>
    <row r="152" spans="25:58"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</row>
    <row r="153" spans="25:58"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</row>
    <row r="154" spans="25:58"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</row>
    <row r="155" spans="25:58"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</row>
    <row r="156" spans="25:58"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</row>
    <row r="157" spans="25:58"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</row>
    <row r="158" spans="25:58"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</row>
    <row r="159" spans="25:58"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</row>
    <row r="160" spans="25:58"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</row>
    <row r="161" spans="25:58"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</row>
    <row r="162" spans="25:58"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</row>
    <row r="163" spans="25:58"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</row>
    <row r="164" spans="25:58"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</row>
    <row r="165" spans="25:58"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</row>
    <row r="166" spans="25:58"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</row>
    <row r="167" spans="25:58"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</row>
    <row r="168" spans="25:58"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</row>
    <row r="169" spans="25:58"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</row>
    <row r="170" spans="25:58"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</row>
    <row r="171" spans="25:58"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</row>
    <row r="172" spans="25:58"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</row>
    <row r="173" spans="25:58"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</row>
    <row r="174" spans="25:58"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</row>
    <row r="175" spans="25:58"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</row>
    <row r="176" spans="25:58"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</row>
    <row r="177" spans="25:58"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</row>
    <row r="178" spans="25:58"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</row>
    <row r="179" spans="25:58"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</row>
    <row r="180" spans="25:58"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</row>
    <row r="181" spans="25:58"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</row>
    <row r="182" spans="25:58"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</row>
    <row r="183" spans="25:58"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</row>
    <row r="184" spans="25:58"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</row>
    <row r="185" spans="25:58"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</row>
    <row r="186" spans="25:58"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</row>
    <row r="187" spans="25:58"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</row>
    <row r="188" spans="25:58"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</row>
    <row r="189" spans="25:58"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</row>
    <row r="190" spans="25:58"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</row>
    <row r="191" spans="25:58"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</row>
    <row r="192" spans="25:58"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</row>
    <row r="193" spans="25:58"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</row>
    <row r="194" spans="25:58"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</row>
    <row r="195" spans="25:58"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</row>
    <row r="196" spans="25:58"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</row>
    <row r="197" spans="25:58"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</row>
    <row r="198" spans="25:58"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</row>
    <row r="199" spans="25:58"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</row>
    <row r="200" spans="25:58"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</row>
    <row r="201" spans="25:58"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</row>
    <row r="202" spans="25:58"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</row>
    <row r="203" spans="25:58"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</row>
    <row r="204" spans="25:58"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</row>
    <row r="205" spans="25:58"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</row>
    <row r="206" spans="25:58"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</row>
    <row r="207" spans="25:58"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</row>
    <row r="208" spans="25:58"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</row>
    <row r="209" spans="25:58"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</row>
    <row r="210" spans="25:58"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</row>
    <row r="211" spans="25:58"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</row>
    <row r="212" spans="25:58"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</row>
    <row r="213" spans="25:58"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</row>
    <row r="214" spans="25:58"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</row>
    <row r="215" spans="25:58"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</row>
    <row r="216" spans="25:58"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</row>
    <row r="217" spans="25:58"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</row>
    <row r="218" spans="25:58"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</row>
    <row r="219" spans="25:58"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</row>
    <row r="220" spans="25:58"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</row>
    <row r="221" spans="25:58"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</row>
    <row r="222" spans="25:58"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</row>
    <row r="223" spans="25:58"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</row>
    <row r="224" spans="25:58"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</row>
    <row r="225" spans="25:58"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</row>
    <row r="226" spans="25:58"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</row>
    <row r="227" spans="25:58"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</row>
    <row r="228" spans="25:58"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</row>
    <row r="229" spans="25:58"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</row>
    <row r="230" spans="25:58"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</row>
    <row r="231" spans="25:58"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</row>
    <row r="232" spans="25:58"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</row>
    <row r="233" spans="25:58"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</row>
    <row r="234" spans="25:58"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</row>
    <row r="235" spans="25:58"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</row>
    <row r="236" spans="25:58"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</row>
    <row r="237" spans="25:58"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</row>
    <row r="238" spans="25:58"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</row>
    <row r="239" spans="25:58"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</row>
    <row r="240" spans="25:58"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</row>
    <row r="241" spans="25:58"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</row>
    <row r="242" spans="25:58"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</row>
    <row r="243" spans="25:58"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</row>
    <row r="244" spans="25:58"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</row>
    <row r="245" spans="25:58"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</row>
    <row r="246" spans="25:58"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</row>
    <row r="247" spans="25:58"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</row>
    <row r="248" spans="25:58"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</row>
    <row r="249" spans="25:58"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</row>
    <row r="250" spans="25:58"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</row>
    <row r="251" spans="25:58"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</row>
    <row r="252" spans="25:58"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</row>
    <row r="253" spans="25:58"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</row>
    <row r="254" spans="25:58"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</row>
    <row r="255" spans="25:58"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</row>
    <row r="256" spans="25:58"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</row>
    <row r="257" spans="25:58"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</row>
    <row r="258" spans="25:58"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</row>
    <row r="259" spans="25:58"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</row>
    <row r="260" spans="25:58"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</row>
    <row r="261" spans="25:58"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</row>
    <row r="262" spans="25:58"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</row>
    <row r="263" spans="25:58"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</row>
    <row r="264" spans="25:58"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</row>
    <row r="265" spans="25:58"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</row>
    <row r="266" spans="25:58"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</row>
    <row r="267" spans="25:58"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</row>
    <row r="268" spans="25:58"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</row>
    <row r="269" spans="25:58"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</row>
    <row r="270" spans="25:58"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</row>
    <row r="271" spans="25:58"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</row>
    <row r="272" spans="25:58"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</row>
    <row r="273" spans="25:58"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</row>
    <row r="274" spans="25:58"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</row>
    <row r="275" spans="25:58"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</row>
    <row r="276" spans="25:58"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</row>
    <row r="277" spans="25:58"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</row>
    <row r="278" spans="25:58"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</row>
    <row r="279" spans="25:58"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</row>
    <row r="280" spans="25:58"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</row>
    <row r="281" spans="25:58"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</row>
    <row r="282" spans="25:58"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</row>
    <row r="283" spans="25:58"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</row>
    <row r="284" spans="25:58"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</row>
    <row r="285" spans="25:58"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</row>
    <row r="286" spans="25:58"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</row>
    <row r="287" spans="25:58"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</row>
    <row r="288" spans="25:58"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</row>
    <row r="289" spans="25:58"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</row>
    <row r="290" spans="25:58"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</row>
    <row r="291" spans="25:58"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</row>
    <row r="292" spans="25:58"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</row>
    <row r="293" spans="25:58"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</row>
    <row r="294" spans="25:58"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</row>
    <row r="295" spans="25:58"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</row>
    <row r="296" spans="25:58"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</row>
    <row r="297" spans="25:58"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</row>
    <row r="298" spans="25:58"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</row>
    <row r="299" spans="25:58"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</row>
    <row r="300" spans="25:58"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</row>
    <row r="301" spans="25:58"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</row>
    <row r="302" spans="25:58"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</row>
    <row r="303" spans="25:58"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</row>
    <row r="304" spans="25:58"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</row>
    <row r="305" spans="25:58"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</row>
    <row r="306" spans="25:58"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</row>
    <row r="307" spans="25:58"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</row>
    <row r="308" spans="25:58"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</row>
    <row r="309" spans="25:58"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</row>
    <row r="310" spans="25:58"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</row>
    <row r="311" spans="25:58"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</row>
    <row r="312" spans="25:58"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</row>
    <row r="313" spans="25:58"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</row>
    <row r="314" spans="25:58"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</row>
    <row r="315" spans="25:58"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</row>
    <row r="316" spans="25:58"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</row>
    <row r="317" spans="25:58"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</row>
    <row r="318" spans="25:58"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</row>
    <row r="319" spans="25:58"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</row>
    <row r="320" spans="25:58"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</row>
    <row r="321" spans="25:58"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</row>
    <row r="322" spans="25:58"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</row>
    <row r="323" spans="25:58"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</row>
    <row r="324" spans="25:58"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</row>
    <row r="325" spans="25:58"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</row>
    <row r="326" spans="25:58"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</row>
    <row r="327" spans="25:58"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</row>
    <row r="328" spans="25:58"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</row>
    <row r="329" spans="25:58"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</row>
    <row r="330" spans="25:58"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</row>
    <row r="331" spans="25:58"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</row>
    <row r="332" spans="25:58"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</row>
    <row r="333" spans="25:58"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</row>
    <row r="334" spans="25:58"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</row>
    <row r="335" spans="25:58"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</row>
    <row r="336" spans="25:58"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</row>
    <row r="337" spans="25:58"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</row>
    <row r="338" spans="25:58"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</row>
    <row r="339" spans="25:58"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</row>
    <row r="340" spans="25:58"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</row>
    <row r="341" spans="25:58"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</row>
    <row r="342" spans="25:58"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</row>
    <row r="343" spans="25:58"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</row>
    <row r="344" spans="25:58"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</row>
    <row r="345" spans="25:58"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</row>
    <row r="346" spans="25:58"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</row>
    <row r="347" spans="25:58"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</row>
    <row r="348" spans="25:58"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</row>
    <row r="349" spans="25:58"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</row>
    <row r="350" spans="25:58"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</row>
    <row r="351" spans="25:58"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</row>
    <row r="352" spans="25:58"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</row>
    <row r="353" spans="25:58"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</row>
    <row r="354" spans="25:58"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</row>
    <row r="355" spans="25:58"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</row>
    <row r="356" spans="25:58"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</row>
    <row r="357" spans="25:58"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</row>
    <row r="358" spans="25:58"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</row>
    <row r="359" spans="25:58"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</row>
    <row r="360" spans="25:58"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</row>
    <row r="361" spans="25:58"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</row>
    <row r="362" spans="25:58"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</row>
    <row r="363" spans="25:58"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</row>
    <row r="364" spans="25:58"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</row>
    <row r="365" spans="25:58"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</row>
    <row r="366" spans="25:58"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</row>
    <row r="367" spans="25:58"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</row>
    <row r="368" spans="25:58"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</row>
    <row r="369" spans="25:58"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</row>
    <row r="370" spans="25:58"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</row>
    <row r="371" spans="25:58"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</row>
    <row r="372" spans="25:58"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</row>
    <row r="373" spans="25:58"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</row>
    <row r="374" spans="25:58"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</row>
    <row r="375" spans="25:58"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</row>
    <row r="376" spans="25:58"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</row>
    <row r="377" spans="25:58"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</row>
    <row r="378" spans="25:58"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</row>
    <row r="379" spans="25:58"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</row>
    <row r="380" spans="25:58"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</row>
    <row r="381" spans="25:58"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</row>
    <row r="382" spans="25:58"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</row>
    <row r="383" spans="25:58"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</row>
    <row r="384" spans="25:58"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</row>
    <row r="385" spans="25:58"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</row>
    <row r="386" spans="25:58"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</row>
    <row r="387" spans="25:58"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</row>
    <row r="388" spans="25:58"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</row>
    <row r="389" spans="25:58"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</row>
    <row r="390" spans="25:58"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</row>
    <row r="391" spans="25:58"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</row>
    <row r="392" spans="25:58"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</row>
    <row r="393" spans="25:58"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</row>
    <row r="394" spans="25:58"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</row>
    <row r="395" spans="25:58"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</row>
    <row r="396" spans="25:58"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</row>
    <row r="397" spans="25:58"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</row>
    <row r="398" spans="25:58"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</row>
    <row r="399" spans="25:58"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</row>
    <row r="400" spans="25:58"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</row>
    <row r="401" spans="25:58"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</row>
    <row r="402" spans="25:58"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</row>
    <row r="403" spans="25:58"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</row>
    <row r="404" spans="25:58"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</row>
    <row r="405" spans="25:58"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</row>
    <row r="406" spans="25:58"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</row>
    <row r="407" spans="25:58"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</row>
    <row r="408" spans="25:58"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</row>
    <row r="409" spans="25:58"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</row>
    <row r="410" spans="25:58"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</row>
    <row r="411" spans="25:58"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</row>
    <row r="412" spans="25:58"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</row>
    <row r="413" spans="25:58"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</row>
    <row r="414" spans="25:58"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</row>
    <row r="415" spans="25:58"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</row>
    <row r="416" spans="25:58"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</row>
    <row r="417" spans="25:58"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</row>
    <row r="418" spans="25:58"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</row>
    <row r="419" spans="25:58"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</row>
    <row r="420" spans="25:58"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</row>
    <row r="421" spans="25:58"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</row>
    <row r="422" spans="25:58"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</row>
    <row r="423" spans="25:58"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</row>
    <row r="424" spans="25:58"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</row>
    <row r="425" spans="25:58"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</row>
    <row r="426" spans="25:58"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</row>
    <row r="427" spans="25:58"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</row>
    <row r="428" spans="25:58"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</row>
    <row r="429" spans="25:58"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</row>
    <row r="430" spans="25:58"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</row>
    <row r="431" spans="25:58"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</row>
    <row r="432" spans="25:58"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</row>
    <row r="433" spans="25:58"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</row>
    <row r="434" spans="25:58"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</row>
    <row r="435" spans="25:58"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</row>
    <row r="436" spans="25:58"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</row>
    <row r="437" spans="25:58"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</row>
    <row r="438" spans="25:58"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</row>
    <row r="439" spans="25:58"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</row>
    <row r="440" spans="25:58"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</row>
    <row r="441" spans="25:58"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</row>
    <row r="442" spans="25:58"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</row>
    <row r="443" spans="25:58"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</row>
    <row r="444" spans="25:58"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</row>
    <row r="445" spans="25:58"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</row>
    <row r="446" spans="25:58"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</row>
    <row r="447" spans="25:58"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</row>
    <row r="448" spans="25:58"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</row>
    <row r="449" spans="25:58"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</row>
    <row r="450" spans="25:58"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</row>
    <row r="451" spans="25:58"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</row>
    <row r="452" spans="25:58"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</row>
    <row r="453" spans="25:58"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</row>
    <row r="454" spans="25:58"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</row>
    <row r="455" spans="25:58"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</row>
    <row r="456" spans="25:58"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</row>
    <row r="457" spans="25:58"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</row>
    <row r="458" spans="25:58"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</row>
    <row r="459" spans="25:58"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</row>
    <row r="460" spans="25:58"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</row>
    <row r="461" spans="25:58"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</row>
    <row r="462" spans="25:58"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</row>
    <row r="463" spans="25:58"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</row>
    <row r="464" spans="25:58"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</row>
    <row r="465" spans="25:58"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</row>
    <row r="466" spans="25:58"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</row>
    <row r="467" spans="25:58"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</row>
    <row r="468" spans="25:58"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</row>
    <row r="469" spans="25:58"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</row>
    <row r="470" spans="25:58"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</row>
    <row r="471" spans="25:58"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</row>
    <row r="472" spans="25:58"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</row>
    <row r="473" spans="25:58"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</row>
    <row r="474" spans="25:58"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</row>
    <row r="475" spans="25:58"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</row>
    <row r="476" spans="25:58"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</row>
    <row r="477" spans="25:58"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</row>
    <row r="478" spans="25:58"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</row>
    <row r="479" spans="25:58"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</row>
    <row r="480" spans="25:58"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</row>
    <row r="481" spans="25:58"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</row>
    <row r="482" spans="25:58"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</row>
    <row r="483" spans="25:58"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</row>
    <row r="484" spans="25:58"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</row>
    <row r="485" spans="25:58"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</row>
    <row r="486" spans="25:58"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</row>
    <row r="487" spans="25:58"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</row>
    <row r="488" spans="25:58"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</row>
    <row r="489" spans="25:58"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</row>
    <row r="490" spans="25:58"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</row>
    <row r="491" spans="25:58"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</row>
    <row r="492" spans="25:58"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</row>
    <row r="493" spans="25:58"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</row>
    <row r="494" spans="25:58"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</row>
    <row r="495" spans="25:58"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</row>
    <row r="496" spans="25:58"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</row>
    <row r="497" spans="25:58"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</row>
    <row r="498" spans="25:58"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</row>
    <row r="499" spans="25:58"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</row>
    <row r="500" spans="25:58"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</row>
    <row r="501" spans="25:58"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</row>
    <row r="502" spans="25:58"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</row>
    <row r="503" spans="25:58"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</row>
    <row r="504" spans="25:58"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</row>
    <row r="505" spans="25:58"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</row>
    <row r="506" spans="25:58"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</row>
    <row r="507" spans="25:58"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</row>
    <row r="508" spans="25:58"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</row>
    <row r="509" spans="25:58"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</row>
    <row r="510" spans="25:58"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</row>
    <row r="511" spans="25:58"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</row>
    <row r="512" spans="25:58"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</row>
    <row r="513" spans="25:58"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</row>
    <row r="514" spans="25:58"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</row>
    <row r="515" spans="25:58"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</row>
    <row r="516" spans="25:58"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</row>
    <row r="517" spans="25:58"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</row>
    <row r="518" spans="25:58"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</row>
    <row r="519" spans="25:58"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</row>
    <row r="520" spans="25:58"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</row>
    <row r="521" spans="25:58"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</row>
    <row r="522" spans="25:58"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</row>
    <row r="523" spans="25:58"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</row>
    <row r="524" spans="25:58"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</row>
    <row r="525" spans="25:58"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</row>
    <row r="526" spans="25:58"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</row>
    <row r="527" spans="25:58"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</row>
    <row r="528" spans="25:58"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</row>
    <row r="529" spans="25:58"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</row>
    <row r="530" spans="25:58"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</row>
    <row r="531" spans="25:58"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</row>
    <row r="532" spans="25:58"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</row>
    <row r="533" spans="25:58"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</row>
    <row r="534" spans="25:58"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</row>
    <row r="535" spans="25:58"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</row>
    <row r="536" spans="25:58"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</row>
    <row r="537" spans="25:58"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</row>
    <row r="538" spans="25:58"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</row>
    <row r="539" spans="25:58"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</row>
    <row r="540" spans="25:58"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</row>
    <row r="541" spans="25:58"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</row>
    <row r="542" spans="25:58"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</row>
    <row r="543" spans="25:58"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</row>
    <row r="544" spans="25:58"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</row>
    <row r="545" spans="25:58"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</row>
    <row r="546" spans="25:58"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</row>
    <row r="547" spans="25:58"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</row>
    <row r="548" spans="25:58"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</row>
    <row r="549" spans="25:58"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</row>
    <row r="550" spans="25:58"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</row>
    <row r="551" spans="25:58"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</row>
    <row r="552" spans="25:58"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</row>
    <row r="553" spans="25:58"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</row>
    <row r="554" spans="25:58"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</row>
    <row r="555" spans="25:58"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</row>
    <row r="556" spans="25:58"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</row>
    <row r="557" spans="25:58"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</row>
    <row r="558" spans="25:58"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</row>
    <row r="559" spans="25:58"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</row>
    <row r="560" spans="25:58"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</row>
    <row r="561" spans="25:58"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</row>
    <row r="562" spans="25:58"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</row>
    <row r="563" spans="25:58"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</row>
    <row r="564" spans="25:58"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</row>
    <row r="565" spans="25:58"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</row>
    <row r="566" spans="25:58"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</row>
    <row r="567" spans="25:58"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</row>
    <row r="568" spans="25:58"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</row>
    <row r="569" spans="25:58"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</row>
    <row r="570" spans="25:58"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</row>
    <row r="571" spans="25:58"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</row>
    <row r="572" spans="25:58"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</row>
    <row r="573" spans="25:58"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</row>
    <row r="574" spans="25:58"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</row>
    <row r="575" spans="25:58"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</row>
    <row r="576" spans="25:58"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</row>
    <row r="577" spans="25:58"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</row>
    <row r="578" spans="25:58"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</row>
    <row r="579" spans="25:58"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</row>
    <row r="580" spans="25:58"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</row>
    <row r="581" spans="25:58"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</row>
    <row r="582" spans="25:58"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</row>
    <row r="583" spans="25:58"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</row>
    <row r="584" spans="25:58"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</row>
    <row r="585" spans="25:58"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</row>
    <row r="586" spans="25:58"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</row>
    <row r="587" spans="25:58"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</row>
    <row r="588" spans="25:58"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</row>
    <row r="589" spans="25:58"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</row>
    <row r="590" spans="25:58"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</row>
    <row r="591" spans="25:58"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</row>
    <row r="592" spans="25:58"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</row>
    <row r="593" spans="25:58"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</row>
    <row r="594" spans="25:58"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</row>
    <row r="595" spans="25:58"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</row>
    <row r="596" spans="25:58"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</row>
    <row r="597" spans="25:58"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</row>
    <row r="598" spans="25:58"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</row>
    <row r="599" spans="25:58"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</row>
    <row r="600" spans="25:58"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</row>
    <row r="601" spans="25:58"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</row>
    <row r="602" spans="25:58"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</row>
    <row r="603" spans="25:58"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</row>
    <row r="604" spans="25:58"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</row>
    <row r="605" spans="25:58"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</row>
    <row r="606" spans="25:58"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</row>
    <row r="607" spans="25:58"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</row>
    <row r="608" spans="25:58"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</row>
    <row r="609" spans="25:58"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</row>
    <row r="610" spans="25:58"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</row>
    <row r="611" spans="25:58"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</row>
    <row r="612" spans="25:58"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</row>
    <row r="613" spans="25:58"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</row>
    <row r="614" spans="25:58"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</row>
    <row r="615" spans="25:58"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</row>
    <row r="616" spans="25:58"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</row>
    <row r="617" spans="25:58"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</row>
    <row r="618" spans="25:58"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</row>
    <row r="619" spans="25:58"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</row>
    <row r="620" spans="25:58"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</row>
    <row r="621" spans="25:58"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</row>
    <row r="622" spans="25:58"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</row>
    <row r="623" spans="25:58"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</row>
    <row r="624" spans="25:58"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</row>
    <row r="625" spans="25:58"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</row>
    <row r="626" spans="25:58"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</row>
    <row r="627" spans="25:58"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</row>
    <row r="628" spans="25:58"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</row>
    <row r="629" spans="25:58"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</row>
    <row r="630" spans="25:58"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</row>
    <row r="631" spans="25:58"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</row>
    <row r="632" spans="25:58"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</row>
    <row r="633" spans="25:58"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</row>
    <row r="634" spans="25:58"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</row>
    <row r="635" spans="25:58"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</row>
    <row r="636" spans="25:58"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</row>
    <row r="637" spans="25:58"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</row>
    <row r="638" spans="25:58"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</row>
    <row r="639" spans="25:58"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</row>
    <row r="640" spans="25:58"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</row>
    <row r="641" spans="25:58"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</row>
    <row r="642" spans="25:58"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</row>
    <row r="643" spans="25:58"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</row>
    <row r="644" spans="25:58"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</row>
    <row r="645" spans="25:58"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</row>
    <row r="646" spans="25:58"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</row>
    <row r="647" spans="25:58"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</row>
    <row r="648" spans="25:58"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</row>
    <row r="649" spans="25:58"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</row>
    <row r="650" spans="25:58"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</row>
    <row r="651" spans="25:58"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</row>
    <row r="652" spans="25:58"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</row>
    <row r="653" spans="25:58"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</row>
    <row r="654" spans="25:58"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</row>
    <row r="655" spans="25:58"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</row>
    <row r="656" spans="25:58"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</row>
    <row r="657" spans="25:58"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</row>
    <row r="658" spans="25:58"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</row>
    <row r="659" spans="25:58"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</row>
    <row r="660" spans="25:58"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</row>
    <row r="661" spans="25:58"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</row>
    <row r="662" spans="25:58"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</row>
    <row r="663" spans="25:58"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</row>
    <row r="664" spans="25:58"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</row>
    <row r="665" spans="25:58"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</row>
    <row r="666" spans="25:58"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</row>
    <row r="667" spans="25:58"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</row>
    <row r="668" spans="25:58"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</row>
    <row r="669" spans="25:58"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</row>
    <row r="670" spans="25:58"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</row>
    <row r="671" spans="25:58"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</row>
    <row r="672" spans="25:58"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</row>
    <row r="673" spans="25:58"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</row>
    <row r="674" spans="25:58"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</row>
    <row r="675" spans="25:58"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</row>
    <row r="676" spans="25:58"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</row>
    <row r="677" spans="25:58"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</row>
    <row r="678" spans="25:58"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</row>
    <row r="679" spans="25:58"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</row>
    <row r="680" spans="25:58"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</row>
    <row r="681" spans="25:58"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</row>
    <row r="682" spans="25:58"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</row>
    <row r="683" spans="25:58"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</row>
    <row r="684" spans="25:58"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</row>
    <row r="685" spans="25:58"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</row>
    <row r="686" spans="25:58"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</row>
    <row r="687" spans="25:58"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</row>
    <row r="688" spans="25:58"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</row>
    <row r="689" spans="25:58"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</row>
    <row r="690" spans="25:58"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</row>
    <row r="691" spans="25:58"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</row>
    <row r="692" spans="25:58"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</row>
    <row r="693" spans="25:58"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</row>
    <row r="694" spans="25:58"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</row>
    <row r="695" spans="25:58"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</row>
    <row r="696" spans="25:58"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</row>
    <row r="697" spans="25:58"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</row>
    <row r="698" spans="25:58"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</row>
    <row r="699" spans="25:58"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</row>
    <row r="700" spans="25:58"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</row>
    <row r="701" spans="25:58"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</row>
    <row r="702" spans="25:58"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</row>
    <row r="703" spans="25:58"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</row>
    <row r="704" spans="25:58"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</row>
    <row r="705" spans="25:58"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</row>
    <row r="706" spans="25:58"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</row>
    <row r="707" spans="25:58"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</row>
    <row r="708" spans="25:58"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</row>
    <row r="709" spans="25:58"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</row>
    <row r="710" spans="25:58"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</row>
    <row r="711" spans="25:58"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</row>
    <row r="712" spans="25:58"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</row>
    <row r="713" spans="25:58"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</row>
    <row r="714" spans="25:58"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</row>
    <row r="715" spans="25:58"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</row>
    <row r="716" spans="25:58"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</row>
    <row r="717" spans="25:58"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</row>
    <row r="718" spans="25:58"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</row>
    <row r="719" spans="25:58"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</row>
    <row r="720" spans="25:58"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</row>
    <row r="721" spans="25:58"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</row>
    <row r="722" spans="25:58"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</row>
    <row r="723" spans="25:58"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</row>
    <row r="724" spans="25:58"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</row>
    <row r="725" spans="25:58"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</row>
    <row r="726" spans="25:58"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</row>
    <row r="727" spans="25:58"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</row>
    <row r="728" spans="25:58"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</row>
    <row r="729" spans="25:58"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</row>
    <row r="730" spans="25:58"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</row>
    <row r="731" spans="25:58"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</row>
    <row r="732" spans="25:58"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</row>
    <row r="733" spans="25:58"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</row>
    <row r="734" spans="25:58"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</row>
    <row r="735" spans="25:58"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</row>
    <row r="736" spans="25:58"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</row>
    <row r="737" spans="25:58"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</row>
    <row r="738" spans="25:58"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</row>
    <row r="739" spans="25:58"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</row>
    <row r="740" spans="25:58"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</row>
    <row r="741" spans="25:58"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</row>
    <row r="742" spans="25:58"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</row>
    <row r="743" spans="25:58"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</row>
    <row r="744" spans="25:58"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</row>
    <row r="745" spans="25:58"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</row>
    <row r="746" spans="25:58"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</row>
    <row r="747" spans="25:58"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</row>
    <row r="748" spans="25:58"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</row>
    <row r="749" spans="25:58"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</row>
    <row r="750" spans="25:58"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</row>
    <row r="751" spans="25:58"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</row>
    <row r="752" spans="25:58"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</row>
    <row r="753" spans="25:58"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</row>
    <row r="754" spans="25:58"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</row>
    <row r="755" spans="25:58"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</row>
    <row r="756" spans="25:58"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</row>
    <row r="757" spans="25:58"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</row>
    <row r="758" spans="25:58"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</row>
    <row r="759" spans="25:58"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</row>
    <row r="760" spans="25:58"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</row>
    <row r="761" spans="25:58"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</row>
    <row r="762" spans="25:58"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</row>
    <row r="763" spans="25:58"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</row>
    <row r="764" spans="25:58"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</row>
    <row r="765" spans="25:58"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</row>
    <row r="766" spans="25:58"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</row>
    <row r="767" spans="25:58"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</row>
    <row r="768" spans="25:58"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</row>
    <row r="769" spans="25:58"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</row>
    <row r="770" spans="25:58"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</row>
    <row r="771" spans="25:58"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</row>
    <row r="772" spans="25:58"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</row>
    <row r="773" spans="25:58"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</row>
    <row r="774" spans="25:58"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</row>
    <row r="775" spans="25:58"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</row>
    <row r="776" spans="25:58"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</row>
    <row r="777" spans="25:58"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</row>
    <row r="778" spans="25:58"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</row>
    <row r="779" spans="25:58"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</row>
    <row r="780" spans="25:58"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</row>
    <row r="781" spans="25:58"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</row>
    <row r="782" spans="25:58"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</row>
    <row r="783" spans="25:58"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</row>
    <row r="784" spans="25:58"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</row>
    <row r="785" spans="25:58"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</row>
    <row r="786" spans="25:58"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</row>
    <row r="787" spans="25:58"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</row>
    <row r="788" spans="25:58"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</row>
    <row r="789" spans="25:58"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</row>
    <row r="790" spans="25:58"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</row>
    <row r="791" spans="25:58"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</row>
    <row r="792" spans="25:58"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</row>
    <row r="793" spans="25:58"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</row>
    <row r="794" spans="25:58"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</row>
    <row r="795" spans="25:58"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</row>
    <row r="796" spans="25:58"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</row>
    <row r="797" spans="25:58"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</row>
    <row r="798" spans="25:58"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</row>
    <row r="799" spans="25:58"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</row>
    <row r="800" spans="25:58"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</row>
    <row r="801" spans="25:58"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</row>
    <row r="802" spans="25:58"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</row>
    <row r="803" spans="25:58"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</row>
    <row r="804" spans="25:58"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</row>
    <row r="805" spans="25:58"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</row>
    <row r="806" spans="25:58"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</row>
    <row r="807" spans="25:58"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</row>
    <row r="808" spans="25:58"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</row>
    <row r="809" spans="25:58"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</row>
    <row r="810" spans="25:58"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</row>
    <row r="811" spans="25:58"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</row>
    <row r="812" spans="25:58"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</row>
    <row r="813" spans="25:58"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</row>
    <row r="814" spans="25:58"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</row>
    <row r="815" spans="25:58"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</row>
    <row r="816" spans="25:58"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</row>
    <row r="817" spans="25:58"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</row>
    <row r="818" spans="25:58"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</row>
    <row r="819" spans="25:58"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</row>
    <row r="820" spans="25:58"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</row>
    <row r="821" spans="25:58"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</row>
    <row r="822" spans="25:58"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</row>
    <row r="823" spans="25:58"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</row>
    <row r="824" spans="25:58"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</row>
    <row r="825" spans="25:58"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</row>
    <row r="826" spans="25:58"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</row>
    <row r="827" spans="25:58"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</row>
    <row r="828" spans="25:58"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</row>
    <row r="829" spans="25:58"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</row>
    <row r="830" spans="25:58"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</row>
    <row r="831" spans="25:58"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</row>
    <row r="832" spans="25:58"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</row>
    <row r="833" spans="25:58"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</row>
    <row r="834" spans="25:58"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</row>
    <row r="835" spans="25:58"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</row>
    <row r="836" spans="25:58"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</row>
    <row r="837" spans="25:58"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</row>
    <row r="838" spans="25:58"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</row>
    <row r="839" spans="25:58"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</row>
    <row r="840" spans="25:58"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</row>
    <row r="841" spans="25:58"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</row>
    <row r="842" spans="25:58"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</row>
    <row r="843" spans="25:58"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</row>
    <row r="844" spans="25:58"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</row>
    <row r="845" spans="25:58"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</row>
    <row r="846" spans="25:58"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</row>
    <row r="847" spans="25:58"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</row>
    <row r="848" spans="25:58"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</row>
    <row r="849" spans="25:58"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</row>
    <row r="850" spans="25:58"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</row>
    <row r="851" spans="25:58"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</row>
    <row r="852" spans="25:58"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</row>
    <row r="853" spans="25:58"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</row>
    <row r="854" spans="25:58"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</row>
    <row r="855" spans="25:58"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</row>
    <row r="856" spans="25:58"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</row>
    <row r="857" spans="25:58"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</row>
    <row r="858" spans="25:58"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</row>
    <row r="859" spans="25:58"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</row>
    <row r="860" spans="25:58"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</row>
    <row r="861" spans="25:58"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</row>
    <row r="862" spans="25:58"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</row>
    <row r="863" spans="25:58"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</row>
    <row r="864" spans="25:58"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</row>
    <row r="865" spans="25:58"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</row>
    <row r="866" spans="25:58"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</row>
    <row r="867" spans="25:58"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</row>
    <row r="868" spans="25:58"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</row>
    <row r="869" spans="25:58"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</row>
    <row r="870" spans="25:58"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</row>
    <row r="871" spans="25:58"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</row>
    <row r="872" spans="25:58"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</row>
    <row r="873" spans="25:58"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</row>
    <row r="874" spans="25:58"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</row>
    <row r="875" spans="25:58"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</row>
    <row r="876" spans="25:58"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</row>
    <row r="877" spans="25:58"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</row>
    <row r="878" spans="25:58"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</row>
    <row r="879" spans="25:58"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</row>
    <row r="880" spans="25:58"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</row>
    <row r="881" spans="25:58"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</row>
    <row r="882" spans="25:58"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</row>
    <row r="883" spans="25:58"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</row>
    <row r="884" spans="25:58"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</row>
    <row r="885" spans="25:58"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</row>
    <row r="886" spans="25:58"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</row>
    <row r="887" spans="25:58"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</row>
    <row r="888" spans="25:58"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</row>
    <row r="889" spans="25:58"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</row>
    <row r="890" spans="25:58"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</row>
    <row r="891" spans="25:58"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</row>
    <row r="892" spans="25:58"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</row>
    <row r="893" spans="25:58"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</row>
    <row r="894" spans="25:58"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</row>
    <row r="895" spans="25:58"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</row>
    <row r="896" spans="25:58"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</row>
    <row r="897" spans="25:58"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</row>
    <row r="898" spans="25:58"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</row>
    <row r="899" spans="25:58"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</row>
    <row r="900" spans="25:58"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</row>
    <row r="901" spans="25:58"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</row>
    <row r="902" spans="25:58"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</row>
    <row r="903" spans="25:58"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</row>
    <row r="904" spans="25:58"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</row>
    <row r="905" spans="25:58"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</row>
    <row r="906" spans="25:58"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</row>
    <row r="907" spans="25:58"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</row>
    <row r="908" spans="25:58"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</row>
    <row r="909" spans="25:58"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</row>
    <row r="910" spans="25:58"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</row>
    <row r="911" spans="25:58"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</row>
    <row r="912" spans="25:58"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</row>
    <row r="913" spans="25:58"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</row>
    <row r="914" spans="25:58"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</row>
    <row r="915" spans="25:58"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</row>
    <row r="916" spans="25:58"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</row>
    <row r="917" spans="25:58"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</row>
    <row r="918" spans="25:58"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</row>
    <row r="919" spans="25:58"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</row>
    <row r="920" spans="25:58"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</row>
    <row r="921" spans="25:58"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</row>
    <row r="922" spans="25:58"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</row>
    <row r="923" spans="25:58"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</row>
    <row r="924" spans="25:58"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</row>
    <row r="925" spans="25:58"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</row>
    <row r="926" spans="25:58"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</row>
    <row r="927" spans="25:58"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</row>
    <row r="928" spans="25:58"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</row>
    <row r="929" spans="25:58"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</row>
    <row r="930" spans="25:58"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</row>
    <row r="931" spans="25:58"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</row>
    <row r="932" spans="25:58"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</row>
    <row r="933" spans="25:58"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</row>
    <row r="934" spans="25:58"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</row>
    <row r="935" spans="25:58"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</row>
    <row r="936" spans="25:58"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</row>
    <row r="937" spans="25:58"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</row>
    <row r="938" spans="25:58"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</row>
    <row r="939" spans="25:58"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</row>
    <row r="940" spans="25:58"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</row>
    <row r="941" spans="25:58"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</row>
    <row r="942" spans="25:58"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</row>
    <row r="943" spans="25:58"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</row>
    <row r="944" spans="25:58"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</row>
    <row r="945" spans="25:58"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</row>
    <row r="946" spans="25:58"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</row>
    <row r="947" spans="25:58"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</row>
    <row r="948" spans="25:58"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</row>
    <row r="949" spans="25:58"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</row>
    <row r="950" spans="25:58"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</row>
    <row r="951" spans="25:58"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</row>
    <row r="952" spans="25:58"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</row>
    <row r="953" spans="25:58"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</row>
    <row r="954" spans="25:58"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</row>
    <row r="955" spans="25:58"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</row>
    <row r="956" spans="25:58"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</row>
    <row r="957" spans="25:58"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</row>
    <row r="958" spans="25:58"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</row>
    <row r="959" spans="25:58"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</row>
    <row r="960" spans="25:58"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</row>
    <row r="961" spans="25:58"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</row>
    <row r="962" spans="25:58"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</row>
    <row r="963" spans="25:58"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</row>
    <row r="964" spans="25:58"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</row>
    <row r="965" spans="25:58"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</row>
    <row r="966" spans="25:58"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</row>
    <row r="967" spans="25:58"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</row>
    <row r="968" spans="25:58"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</row>
    <row r="969" spans="25:58"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</row>
    <row r="970" spans="25:58"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</row>
    <row r="971" spans="25:58"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</row>
    <row r="972" spans="25:58"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</row>
    <row r="973" spans="25:58"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</row>
    <row r="974" spans="25:58"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</row>
    <row r="975" spans="25:58"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</row>
    <row r="976" spans="25:58"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</row>
    <row r="977" spans="25:58"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</row>
    <row r="978" spans="25:58"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</row>
    <row r="979" spans="25:58"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</row>
    <row r="980" spans="25:58"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</row>
    <row r="981" spans="25:58"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</row>
    <row r="982" spans="25:58"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</row>
    <row r="983" spans="25:58"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</row>
    <row r="984" spans="25:58"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</row>
    <row r="985" spans="25:58"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</row>
    <row r="986" spans="25:58"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</row>
    <row r="987" spans="25:58"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</row>
    <row r="988" spans="25:58"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</row>
    <row r="989" spans="25:58"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</row>
    <row r="990" spans="25:58"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</row>
    <row r="991" spans="25:58"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</row>
    <row r="992" spans="25:58"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</row>
    <row r="993" spans="25:58"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</row>
    <row r="994" spans="25:58"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</row>
    <row r="995" spans="25:58"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</row>
    <row r="996" spans="25:58"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</row>
    <row r="997" spans="25:58"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</row>
    <row r="998" spans="25:58"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</row>
    <row r="999" spans="25:58"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</row>
    <row r="1000" spans="25:58"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</row>
    <row r="1001" spans="25:58"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</row>
    <row r="1002" spans="25:58"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</row>
    <row r="1003" spans="25:58"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</row>
    <row r="1004" spans="25:58"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</row>
    <row r="1005" spans="25:58"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</row>
    <row r="1006" spans="25:58"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</row>
    <row r="1007" spans="25:58"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</row>
    <row r="1008" spans="25:58"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</row>
    <row r="1009" spans="25:58"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</row>
    <row r="1010" spans="25:58"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</row>
    <row r="1011" spans="25:58"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</row>
    <row r="1012" spans="25:58"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</row>
    <row r="1013" spans="25:58"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</row>
    <row r="1014" spans="25:58"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</row>
    <row r="1015" spans="25:58"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</row>
    <row r="1016" spans="25:58"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</row>
    <row r="1017" spans="25:58"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</row>
    <row r="1018" spans="25:58"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</row>
    <row r="1019" spans="25:58"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</row>
    <row r="1020" spans="25:58"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</row>
    <row r="1021" spans="25:58"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</row>
    <row r="1022" spans="25:58"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</row>
    <row r="1023" spans="25:58"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</row>
    <row r="1024" spans="25:58"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</row>
    <row r="1025" spans="25:58"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</row>
    <row r="1026" spans="25:58"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</row>
    <row r="1027" spans="25:58"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</row>
    <row r="1028" spans="25:58"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</row>
    <row r="1029" spans="25:58"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</row>
    <row r="1030" spans="25:58"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</row>
    <row r="1031" spans="25:58"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</row>
    <row r="1032" spans="25:58"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</row>
    <row r="1033" spans="25:58"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</row>
    <row r="1034" spans="25:58"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</row>
    <row r="1035" spans="25:58"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</row>
    <row r="1036" spans="25:58"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</row>
    <row r="1037" spans="25:58"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</row>
    <row r="1038" spans="25:58"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</row>
    <row r="1039" spans="25:58"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</row>
    <row r="1040" spans="25:58"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</row>
    <row r="1041" spans="25:58"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</row>
    <row r="1042" spans="25:58"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</row>
    <row r="1043" spans="25:58"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</row>
    <row r="1044" spans="25:58"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</row>
    <row r="1045" spans="25:58"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</row>
    <row r="1046" spans="25:58"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</row>
    <row r="1047" spans="25:58"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</row>
    <row r="1048" spans="25:58"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</row>
    <row r="1049" spans="25:58"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</row>
    <row r="1050" spans="25:58"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</row>
    <row r="1051" spans="25:58"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</row>
    <row r="1052" spans="25:58"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</row>
    <row r="1053" spans="25:58"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</row>
    <row r="1054" spans="25:58"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</row>
    <row r="1055" spans="25:58"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</row>
    <row r="1056" spans="25:58"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</row>
    <row r="1057" spans="25:58"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</row>
    <row r="1058" spans="25:58"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</row>
    <row r="1059" spans="25:58"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</row>
    <row r="1060" spans="25:58"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</row>
    <row r="1061" spans="25:58"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</row>
    <row r="1062" spans="25:58"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</row>
    <row r="1063" spans="25:58"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</row>
    <row r="1064" spans="25:58"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</row>
    <row r="1065" spans="25:58"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</row>
    <row r="1066" spans="25:58"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</row>
    <row r="1067" spans="25:58"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</row>
    <row r="1068" spans="25:58"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</row>
    <row r="1069" spans="25:58"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</row>
    <row r="1070" spans="25:58"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</row>
    <row r="1071" spans="25:58"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</row>
    <row r="1072" spans="25:58"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</row>
    <row r="1073" spans="25:58"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</row>
    <row r="1074" spans="25:58"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</row>
    <row r="1075" spans="25:58"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</row>
    <row r="1076" spans="25:58"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</row>
    <row r="1077" spans="25:58"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</row>
    <row r="1078" spans="25:58"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</row>
    <row r="1079" spans="25:58"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</row>
    <row r="1080" spans="25:58"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</row>
    <row r="1081" spans="25:58"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</row>
    <row r="1082" spans="25:58"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</row>
    <row r="1083" spans="25:58"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</row>
    <row r="1084" spans="25:58"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</row>
    <row r="1085" spans="25:58"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</row>
    <row r="1086" spans="25:58"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</row>
    <row r="1087" spans="25:58"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</row>
    <row r="1088" spans="25:58"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</row>
    <row r="1089" spans="25:58"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</row>
    <row r="1090" spans="25:58"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</row>
    <row r="1091" spans="25:58"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</row>
    <row r="1092" spans="25:58"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</row>
    <row r="1093" spans="25:58"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</row>
    <row r="1094" spans="25:58"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</row>
    <row r="1095" spans="25:58"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</row>
    <row r="1096" spans="25:58"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</row>
    <row r="1097" spans="25:58"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</row>
    <row r="1098" spans="25:58"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</row>
    <row r="1099" spans="25:58"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</row>
    <row r="1100" spans="25:58"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</row>
    <row r="1101" spans="25:58"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</row>
    <row r="1102" spans="25:58"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</row>
    <row r="1103" spans="25:58"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</row>
    <row r="1104" spans="25:58"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</row>
    <row r="1105" spans="25:58"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</row>
    <row r="1106" spans="25:58"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</row>
    <row r="1107" spans="25:58"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</row>
    <row r="1108" spans="25:58"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</row>
    <row r="1109" spans="25:58"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</row>
    <row r="1110" spans="25:58"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</row>
    <row r="1111" spans="25:58"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</row>
    <row r="1112" spans="25:58"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</row>
    <row r="1113" spans="25:58"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</row>
    <row r="1114" spans="25:58"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</row>
    <row r="1115" spans="25:58"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</row>
    <row r="1116" spans="25:58"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</row>
    <row r="1117" spans="25:58"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</row>
    <row r="1118" spans="25:58"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</row>
    <row r="1119" spans="25:58"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</row>
    <row r="1120" spans="25:58"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</row>
    <row r="1121" spans="25:58"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</row>
    <row r="1122" spans="25:58"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</row>
    <row r="1123" spans="25:58"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</row>
    <row r="1124" spans="25:58"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</row>
    <row r="1125" spans="25:58"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</row>
    <row r="1126" spans="25:58"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</row>
    <row r="1127" spans="25:58"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</row>
    <row r="1128" spans="25:58"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</row>
    <row r="1129" spans="25:58"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</row>
    <row r="1130" spans="25:58"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</row>
    <row r="1131" spans="25:58"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</row>
    <row r="1132" spans="25:58"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</row>
    <row r="1133" spans="25:58"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</row>
    <row r="1134" spans="25:58"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</row>
    <row r="1135" spans="25:58"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</row>
    <row r="1136" spans="25:58"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</row>
    <row r="1137" spans="25:58"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</row>
    <row r="1138" spans="25:58"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</row>
    <row r="1139" spans="25:58"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</row>
    <row r="1140" spans="25:58"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</row>
    <row r="1141" spans="25:58"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</row>
    <row r="1142" spans="25:58"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</row>
    <row r="1143" spans="25:58"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</row>
    <row r="1144" spans="25:58"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</row>
    <row r="1145" spans="25:58"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</row>
    <row r="1146" spans="25:58"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</row>
    <row r="1147" spans="25:58"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</row>
    <row r="1148" spans="25:58"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</row>
    <row r="1149" spans="25:58"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</row>
    <row r="1150" spans="25:58"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</row>
    <row r="1151" spans="25:58"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</row>
    <row r="1152" spans="25:58"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</row>
    <row r="1153" spans="25:58"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</row>
    <row r="1154" spans="25:58"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</row>
    <row r="1155" spans="25:58"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</row>
    <row r="1156" spans="25:58"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</row>
    <row r="1157" spans="25:58"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</row>
    <row r="1158" spans="25:58"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</row>
    <row r="1159" spans="25:58"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</row>
    <row r="1160" spans="25:58"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</row>
    <row r="1161" spans="25:58"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</row>
    <row r="1162" spans="25:58"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</row>
    <row r="1163" spans="25:58"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</row>
    <row r="1164" spans="25:58"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</row>
    <row r="1165" spans="25:58"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</row>
    <row r="1166" spans="25:58"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</row>
    <row r="1167" spans="25:58"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</row>
    <row r="1168" spans="25:58"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</row>
    <row r="1169" spans="25:58"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</row>
    <row r="1170" spans="25:58"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</row>
    <row r="1171" spans="25:58"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</row>
    <row r="1172" spans="25:58"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</row>
    <row r="1173" spans="25:58"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</row>
    <row r="1174" spans="25:58"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</row>
    <row r="1175" spans="25:58"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</row>
    <row r="1176" spans="25:58"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</row>
    <row r="1177" spans="25:58"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</row>
    <row r="1178" spans="25:58"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</row>
    <row r="1179" spans="25:58"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</row>
    <row r="1180" spans="25:58"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</row>
    <row r="1181" spans="25:58"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</row>
    <row r="1182" spans="25:58"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</row>
    <row r="1183" spans="25:58"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</row>
    <row r="1184" spans="25:58"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</row>
    <row r="1185" spans="25:58"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</row>
    <row r="1186" spans="25:58"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</row>
    <row r="1187" spans="25:58"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</row>
    <row r="1188" spans="25:58"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</row>
    <row r="1189" spans="25:58"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</row>
    <row r="1190" spans="25:58"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</row>
    <row r="1191" spans="25:58"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</row>
    <row r="1192" spans="25:58"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</row>
    <row r="1193" spans="25:58"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</row>
    <row r="1194" spans="25:58"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</row>
    <row r="1195" spans="25:58"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</row>
    <row r="1196" spans="25:58"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</row>
    <row r="1197" spans="25:58"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</row>
    <row r="1198" spans="25:58"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</row>
    <row r="1199" spans="25:58"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</row>
    <row r="1200" spans="25:58"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</row>
    <row r="1201" spans="25:58"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</row>
    <row r="1202" spans="25:58"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</row>
    <row r="1203" spans="25:58"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</row>
    <row r="1204" spans="25:58"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</row>
    <row r="1205" spans="25:58"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</row>
    <row r="1206" spans="25:58"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</row>
    <row r="1207" spans="25:58"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</row>
    <row r="1208" spans="25:58"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</row>
    <row r="1209" spans="25:58"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</row>
    <row r="1210" spans="25:58"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</row>
    <row r="1211" spans="25:58"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</row>
    <row r="1212" spans="25:58"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</row>
    <row r="1213" spans="25:58"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</row>
    <row r="1214" spans="25:58"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</row>
    <row r="1215" spans="25:58"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</row>
    <row r="1216" spans="25:58"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</row>
    <row r="1217" spans="25:58"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</row>
    <row r="1218" spans="25:58"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</row>
    <row r="1219" spans="25:58"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</row>
    <row r="1220" spans="25:58"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</row>
    <row r="1221" spans="25:58"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</row>
    <row r="1222" spans="25:58"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</row>
    <row r="1223" spans="25:58"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</row>
    <row r="1224" spans="25:58"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</row>
    <row r="1225" spans="25:58"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</row>
    <row r="1226" spans="25:58"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</row>
    <row r="1227" spans="25:58"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</row>
    <row r="1228" spans="25:58"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</row>
    <row r="1229" spans="25:58"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</row>
    <row r="1230" spans="25:58"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</row>
    <row r="1231" spans="25:58"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</row>
    <row r="1232" spans="25:58"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</row>
    <row r="1233" spans="25:58"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</row>
    <row r="1234" spans="25:58"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</row>
    <row r="1235" spans="25:58"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</row>
    <row r="1236" spans="25:58"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</row>
    <row r="1237" spans="25:58"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</row>
    <row r="1238" spans="25:58"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</row>
    <row r="1239" spans="25:58"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</row>
    <row r="1240" spans="25:58"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</row>
    <row r="1241" spans="25:58"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</row>
    <row r="1242" spans="25:58"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</row>
    <row r="1243" spans="25:58"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</row>
    <row r="1244" spans="25:58"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</row>
    <row r="1245" spans="25:58"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</row>
    <row r="1246" spans="25:58"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</row>
    <row r="1247" spans="25:58"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</row>
    <row r="1248" spans="25:58"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</row>
    <row r="1249" spans="25:58"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</row>
    <row r="1250" spans="25:58"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</row>
    <row r="1251" spans="25:58"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</row>
    <row r="1252" spans="25:58"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</row>
    <row r="1253" spans="25:58"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</row>
    <row r="1254" spans="25:58"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</row>
    <row r="1255" spans="25:58"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</row>
    <row r="1256" spans="25:58"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</row>
    <row r="1257" spans="25:58"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</row>
    <row r="1258" spans="25:58"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</row>
    <row r="1259" spans="25:58"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</row>
    <row r="1260" spans="25:58"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</row>
    <row r="1261" spans="25:58"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</row>
    <row r="1262" spans="25:58"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</row>
    <row r="1263" spans="25:58"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</row>
    <row r="1264" spans="25:58"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</row>
    <row r="1265" spans="25:58"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</row>
    <row r="1266" spans="25:58"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</row>
    <row r="1267" spans="25:58"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</row>
    <row r="1268" spans="25:58"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</row>
    <row r="1269" spans="25:58"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</row>
    <row r="1270" spans="25:58"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</row>
    <row r="1271" spans="25:58"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</row>
    <row r="1272" spans="25:58"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</row>
    <row r="1273" spans="25:58"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</row>
    <row r="1274" spans="25:58"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</row>
    <row r="1275" spans="25:58"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</row>
    <row r="1276" spans="25:58"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</row>
    <row r="1277" spans="25:58"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</row>
    <row r="1278" spans="25:58"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</row>
    <row r="1279" spans="25:58"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</row>
    <row r="1280" spans="25:58"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</row>
    <row r="1281" spans="25:58"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</row>
    <row r="1282" spans="25:58"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</row>
    <row r="1283" spans="25:58"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</row>
    <row r="1284" spans="25:58"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</row>
    <row r="1285" spans="25:58"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</row>
    <row r="1286" spans="25:58"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</row>
    <row r="1287" spans="25:58"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</row>
    <row r="1288" spans="25:58"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</row>
    <row r="1289" spans="25:58"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</row>
    <row r="1290" spans="25:58"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</row>
    <row r="1291" spans="25:58"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</row>
    <row r="1292" spans="25:58"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</row>
    <row r="1293" spans="25:58"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</row>
    <row r="1294" spans="25:58"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</row>
    <row r="1295" spans="25:58"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</row>
    <row r="1296" spans="25:58"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</row>
    <row r="1297" spans="25:58"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</row>
    <row r="1298" spans="25:58"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</row>
    <row r="1299" spans="25:58"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</row>
    <row r="1300" spans="25:58"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</row>
    <row r="1301" spans="25:58"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</row>
    <row r="1302" spans="25:58"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</row>
    <row r="1303" spans="25:58"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</row>
    <row r="1304" spans="25:58"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</row>
    <row r="1305" spans="25:58"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</row>
    <row r="1306" spans="25:58"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</row>
    <row r="1307" spans="25:58"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</row>
    <row r="1308" spans="25:58"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</row>
    <row r="1309" spans="25:58"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</row>
    <row r="1310" spans="25:58"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</row>
    <row r="1311" spans="25:58"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</row>
    <row r="1312" spans="25:58"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</row>
    <row r="1313" spans="25:58"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</row>
    <row r="1314" spans="25:58"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</row>
    <row r="1315" spans="25:58"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</row>
    <row r="1316" spans="25:58"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</row>
    <row r="1317" spans="25:58"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</row>
    <row r="1318" spans="25:58"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</row>
    <row r="1319" spans="25:58"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</row>
    <row r="1320" spans="25:58"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</row>
    <row r="1321" spans="25:58"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</row>
    <row r="1322" spans="25:58"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</row>
    <row r="1323" spans="25:58"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</row>
    <row r="1324" spans="25:58"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</row>
    <row r="1325" spans="25:58"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</row>
    <row r="1326" spans="25:58"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</row>
    <row r="1327" spans="25:58"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</row>
    <row r="1328" spans="25:58"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</row>
    <row r="1329" spans="25:58"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</row>
    <row r="1330" spans="25:58"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</row>
    <row r="1331" spans="25:58"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</row>
    <row r="1332" spans="25:58"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</row>
    <row r="1333" spans="25:58"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</row>
    <row r="1334" spans="25:58"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</row>
    <row r="1335" spans="25:58"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</row>
    <row r="1336" spans="25:58"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</row>
    <row r="1337" spans="25:58"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</row>
    <row r="1338" spans="25:58"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</row>
    <row r="1339" spans="25:58"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</row>
    <row r="1340" spans="25:58"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</row>
    <row r="1341" spans="25:58"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</row>
    <row r="1342" spans="25:58"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</row>
    <row r="1343" spans="25:58"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</row>
    <row r="1344" spans="25:58"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</row>
    <row r="1345" spans="25:58"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</row>
    <row r="1346" spans="25:58"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</row>
    <row r="1347" spans="25:58"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</row>
    <row r="1348" spans="25:58"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</row>
    <row r="1349" spans="25:58"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</row>
    <row r="1350" spans="25:58"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</row>
    <row r="1351" spans="25:58"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</row>
    <row r="1352" spans="25:58"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</row>
    <row r="1353" spans="25:58"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</row>
    <row r="1354" spans="25:58"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</row>
    <row r="1355" spans="25:58"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</row>
    <row r="1356" spans="25:58"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</row>
    <row r="1357" spans="25:58"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</row>
    <row r="1358" spans="25:58"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</row>
    <row r="1359" spans="25:58"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</row>
    <row r="1360" spans="25:58"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</row>
    <row r="1361" spans="25:58"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</row>
    <row r="1362" spans="25:58"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</row>
    <row r="1363" spans="25:58"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</row>
    <row r="1364" spans="25:58"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</row>
    <row r="1365" spans="25:58"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</row>
    <row r="1366" spans="25:58"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</row>
    <row r="1367" spans="25:58"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</row>
    <row r="1368" spans="25:58"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</row>
    <row r="1369" spans="25:58"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</row>
    <row r="1370" spans="25:58"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</row>
    <row r="1371" spans="25:58"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</row>
    <row r="1372" spans="25:58"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</row>
    <row r="1373" spans="25:58"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</row>
    <row r="1374" spans="25:58"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</row>
    <row r="1375" spans="25:58"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</row>
    <row r="1376" spans="25:58"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</row>
    <row r="1377" spans="25:58"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</row>
    <row r="1378" spans="25:58"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</row>
    <row r="1379" spans="25:58"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</row>
    <row r="1380" spans="25:58"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</row>
    <row r="1381" spans="25:58"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</row>
    <row r="1382" spans="25:58"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</row>
    <row r="1383" spans="25:58"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</row>
    <row r="1384" spans="25:58"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</row>
    <row r="1385" spans="25:58"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</row>
    <row r="1386" spans="25:58"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</row>
    <row r="1387" spans="25:58"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</row>
    <row r="1388" spans="25:58"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</row>
    <row r="1389" spans="25:58"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</row>
    <row r="1390" spans="25:58"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</row>
    <row r="1391" spans="25:58"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</row>
    <row r="1392" spans="25:58"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</row>
    <row r="1393" spans="25:58"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</row>
    <row r="1394" spans="25:58"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</row>
    <row r="1395" spans="25:58"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</row>
    <row r="1396" spans="25:58"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</row>
    <row r="1397" spans="25:58"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</row>
    <row r="1398" spans="25:58"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</row>
    <row r="1399" spans="25:58"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</row>
    <row r="1400" spans="25:58"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</row>
    <row r="1401" spans="25:58"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</row>
    <row r="1402" spans="25:58"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</row>
    <row r="1403" spans="25:58"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</row>
    <row r="1404" spans="25:58"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</row>
    <row r="1405" spans="25:58"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</row>
    <row r="1406" spans="25:58"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</row>
    <row r="1407" spans="25:58"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</row>
    <row r="1408" spans="25:58"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</row>
    <row r="1409" spans="25:58"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</row>
    <row r="1410" spans="25:58"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</row>
    <row r="1411" spans="25:58"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</row>
    <row r="1412" spans="25:58"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</row>
    <row r="1413" spans="25:58"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</row>
    <row r="1414" spans="25:58"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</row>
    <row r="1415" spans="25:58"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</row>
    <row r="1416" spans="25:58"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</row>
    <row r="1417" spans="25:58"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</row>
    <row r="1418" spans="25:58"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</row>
    <row r="1419" spans="25:58"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</row>
    <row r="1420" spans="25:58"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</row>
    <row r="1421" spans="25:58"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</row>
    <row r="1422" spans="25:58"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</row>
    <row r="1423" spans="25:58"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</row>
    <row r="1424" spans="25:58"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</row>
    <row r="1425" spans="25:58"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</row>
    <row r="1426" spans="25:58"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</row>
    <row r="1427" spans="25:58"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</row>
    <row r="1428" spans="25:58"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</row>
    <row r="1429" spans="25:58"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</row>
    <row r="1430" spans="25:58"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</row>
    <row r="1431" spans="25:58"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</row>
    <row r="1432" spans="25:58"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</row>
    <row r="1433" spans="25:58"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</row>
    <row r="1434" spans="25:58"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</row>
    <row r="1435" spans="25:58"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</row>
    <row r="1436" spans="25:58"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</row>
    <row r="1437" spans="25:58"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</row>
    <row r="1438" spans="25:58"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</row>
    <row r="1439" spans="25:58"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</row>
    <row r="1440" spans="25:58"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</row>
    <row r="1441" spans="25:58"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</row>
    <row r="1442" spans="25:58"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</row>
    <row r="1443" spans="25:58"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</row>
    <row r="1444" spans="25:58"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</row>
    <row r="1445" spans="25:58"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</row>
    <row r="1446" spans="25:58"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</row>
    <row r="1447" spans="25:58"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</row>
    <row r="1448" spans="25:58"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</row>
    <row r="1449" spans="25:58"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</row>
    <row r="1450" spans="25:58"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</row>
    <row r="1451" spans="25:58"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</row>
    <row r="1452" spans="25:58"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</row>
    <row r="1453" spans="25:58"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</row>
    <row r="1454" spans="25:58"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</row>
    <row r="1455" spans="25:58"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</row>
    <row r="1456" spans="25:58"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</row>
    <row r="1457" spans="25:58"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</row>
    <row r="1458" spans="25:58"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</row>
    <row r="1459" spans="25:58"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</row>
    <row r="1460" spans="25:58"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</row>
    <row r="1461" spans="25:58"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</row>
    <row r="1462" spans="25:58"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</row>
    <row r="1463" spans="25:58"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</row>
    <row r="1464" spans="25:58"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</row>
    <row r="1465" spans="25:58"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</row>
    <row r="1466" spans="25:58"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</row>
    <row r="1467" spans="25:58"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</row>
    <row r="1468" spans="25:58"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</row>
    <row r="1469" spans="25:58"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</row>
    <row r="1470" spans="25:58"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</row>
    <row r="1471" spans="25:58"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</row>
    <row r="1472" spans="25:58"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</row>
    <row r="1473" spans="25:58"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</row>
    <row r="1474" spans="25:58"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</row>
    <row r="1475" spans="25:58"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</row>
    <row r="1476" spans="25:58"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</row>
    <row r="1477" spans="25:58"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</row>
    <row r="1478" spans="25:58"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</row>
    <row r="1479" spans="25:58"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</row>
    <row r="1480" spans="25:58"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</row>
    <row r="1481" spans="25:58"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</row>
    <row r="1482" spans="25:58"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</row>
    <row r="1483" spans="25:58"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</row>
    <row r="1484" spans="25:58"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</row>
    <row r="1485" spans="25:58"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</row>
    <row r="1486" spans="25:58"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</row>
    <row r="1487" spans="25:58"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</row>
    <row r="1488" spans="25:58"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</row>
    <row r="1489" spans="25:58"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</row>
    <row r="1490" spans="25:58"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</row>
    <row r="1491" spans="25:58"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</row>
    <row r="1492" spans="25:58"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</row>
    <row r="1493" spans="25:58"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</row>
    <row r="1494" spans="25:58"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</row>
    <row r="1495" spans="25:58"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</row>
    <row r="1496" spans="25:58"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</row>
    <row r="1497" spans="25:58"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</row>
    <row r="1498" spans="25:58"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</row>
    <row r="1499" spans="25:58"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</row>
    <row r="1500" spans="25:58"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</row>
    <row r="1501" spans="25:58"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</row>
    <row r="1502" spans="25:58"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</row>
    <row r="1503" spans="25:58"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</row>
    <row r="1504" spans="25:58"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</row>
    <row r="1505" spans="25:58"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</row>
    <row r="1506" spans="25:58"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</row>
    <row r="1507" spans="25:58"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</row>
    <row r="1508" spans="25:58"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</row>
    <row r="1509" spans="25:58"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</row>
    <row r="1510" spans="25:58"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</row>
    <row r="1511" spans="25:58"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</row>
    <row r="1512" spans="25:58"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</row>
    <row r="1513" spans="25:58"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</row>
    <row r="1514" spans="25:58"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</row>
    <row r="1515" spans="25:58"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</row>
    <row r="1516" spans="25:58"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</row>
    <row r="1517" spans="25:58"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</row>
    <row r="1518" spans="25:58"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</row>
    <row r="1519" spans="25:58"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</row>
    <row r="1520" spans="25:58"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</row>
    <row r="1521" spans="25:58"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</row>
    <row r="1522" spans="25:58"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</row>
    <row r="1523" spans="25:58"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</row>
    <row r="1524" spans="25:58"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</row>
    <row r="1525" spans="25:58"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</row>
    <row r="1526" spans="25:58"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</row>
    <row r="1527" spans="25:58"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</row>
    <row r="1528" spans="25:58"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</row>
    <row r="1529" spans="25:58"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</row>
    <row r="1530" spans="25:58"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</row>
    <row r="1531" spans="25:58"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</row>
    <row r="1532" spans="25:58"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</row>
    <row r="1533" spans="25:58"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</row>
    <row r="1534" spans="25:58"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</row>
    <row r="1535" spans="25:58"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</row>
    <row r="1536" spans="25:58"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</row>
    <row r="1537" spans="25:58"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</row>
    <row r="1538" spans="25:58"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</row>
    <row r="1539" spans="25:58"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</row>
    <row r="1540" spans="25:58"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</row>
    <row r="1541" spans="25:58"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</row>
    <row r="1542" spans="25:58"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</row>
    <row r="1543" spans="25:58"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</row>
    <row r="1544" spans="25:58"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</row>
    <row r="1545" spans="25:58"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</row>
    <row r="1546" spans="25:58"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</row>
    <row r="1547" spans="25:58"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</row>
    <row r="1548" spans="25:58"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</row>
    <row r="1549" spans="25:58"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</row>
    <row r="1550" spans="25:58"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</row>
    <row r="1551" spans="25:58"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</row>
    <row r="1552" spans="25:58"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</row>
    <row r="1553" spans="25:58"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</row>
    <row r="1554" spans="25:58"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</row>
    <row r="1555" spans="25:58"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</row>
    <row r="1556" spans="25:58"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</row>
    <row r="1557" spans="25:58"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</row>
    <row r="1558" spans="25:58"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</row>
    <row r="1559" spans="25:58"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</row>
    <row r="1560" spans="25:58"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</row>
    <row r="1561" spans="25:58"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</row>
    <row r="1562" spans="25:58"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</row>
    <row r="1563" spans="25:58"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</row>
    <row r="1564" spans="25:58"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</row>
    <row r="1565" spans="25:58"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</row>
    <row r="1566" spans="25:58"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</row>
    <row r="1567" spans="25:58"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</row>
    <row r="1568" spans="25:58"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</row>
    <row r="1569" spans="25:58"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</row>
    <row r="1570" spans="25:58"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</row>
    <row r="1571" spans="25:58"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</row>
    <row r="1572" spans="25:58"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</row>
    <row r="1573" spans="25:58"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</row>
    <row r="1574" spans="25:58"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</row>
    <row r="1575" spans="25:58"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</row>
    <row r="1576" spans="25:58"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</row>
    <row r="1577" spans="25:58"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</row>
    <row r="1578" spans="25:58"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</row>
    <row r="1579" spans="25:58"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</row>
    <row r="1580" spans="25:58"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</row>
    <row r="1581" spans="25:58"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</row>
    <row r="1582" spans="25:58"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</row>
    <row r="1583" spans="25:58"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</row>
    <row r="1584" spans="25:58"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</row>
    <row r="1585" spans="25:58"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</row>
    <row r="1586" spans="25:58"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</row>
    <row r="1587" spans="25:58"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</row>
    <row r="1588" spans="25:58"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</row>
    <row r="1589" spans="25:58"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</row>
    <row r="1590" spans="25:58"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</row>
    <row r="1591" spans="25:58"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</row>
    <row r="1592" spans="25:58"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</row>
    <row r="1593" spans="25:58"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</row>
    <row r="1594" spans="25:58"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</row>
    <row r="1595" spans="25:58"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</row>
    <row r="1596" spans="25:58"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</row>
    <row r="1597" spans="25:58"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</row>
    <row r="1598" spans="25:58"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</row>
    <row r="1599" spans="25:58"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</row>
    <row r="1600" spans="25:58"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</row>
    <row r="1601" spans="25:58"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</row>
    <row r="1602" spans="25:58"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</row>
    <row r="1603" spans="25:58"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</row>
    <row r="1604" spans="25:58"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</row>
    <row r="1605" spans="25:58"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</row>
    <row r="1606" spans="25:58"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</row>
    <row r="1607" spans="25:58"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</row>
    <row r="1608" spans="25:58"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</row>
    <row r="1609" spans="25:58"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</row>
    <row r="1610" spans="25:58"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</row>
    <row r="1611" spans="25:58"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</row>
    <row r="1612" spans="25:58"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</row>
    <row r="1613" spans="25:58"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</row>
    <row r="1614" spans="25:58"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</row>
    <row r="1615" spans="25:58"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</row>
    <row r="1616" spans="25:58"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</row>
    <row r="1617" spans="25:58"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</row>
    <row r="1618" spans="25:58"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</row>
    <row r="1619" spans="25:58"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</row>
    <row r="1620" spans="25:58"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</row>
    <row r="1621" spans="25:58"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</row>
    <row r="1622" spans="25:58"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</row>
  </sheetData>
  <mergeCells count="25">
    <mergeCell ref="D32:F32"/>
    <mergeCell ref="G32:J32"/>
    <mergeCell ref="N32:O32"/>
    <mergeCell ref="D33:F33"/>
    <mergeCell ref="N33:O33"/>
    <mergeCell ref="D30:F30"/>
    <mergeCell ref="G30:J30"/>
    <mergeCell ref="N30:O30"/>
    <mergeCell ref="D31:F31"/>
    <mergeCell ref="G31:J31"/>
    <mergeCell ref="N31:O31"/>
    <mergeCell ref="R2:S2"/>
    <mergeCell ref="D28:F28"/>
    <mergeCell ref="G28:J28"/>
    <mergeCell ref="N28:O28"/>
    <mergeCell ref="D29:F29"/>
    <mergeCell ref="G29:J29"/>
    <mergeCell ref="N29:O29"/>
    <mergeCell ref="D27:F27"/>
    <mergeCell ref="G27:J27"/>
    <mergeCell ref="N27:O27"/>
    <mergeCell ref="D2:F2"/>
    <mergeCell ref="G2:J2"/>
    <mergeCell ref="K2:L2"/>
    <mergeCell ref="N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7"/>
  <dimension ref="A1:AO97"/>
  <sheetViews>
    <sheetView topLeftCell="A70" workbookViewId="0">
      <selection activeCell="A5" sqref="A5"/>
    </sheetView>
  </sheetViews>
  <sheetFormatPr defaultRowHeight="12.75"/>
  <cols>
    <col min="1" max="1" width="13" customWidth="1"/>
    <col min="2" max="2" width="24.42578125" customWidth="1"/>
    <col min="3" max="3" width="8.5703125" customWidth="1"/>
    <col min="4" max="4" width="10.42578125" customWidth="1"/>
    <col min="5" max="5" width="9.28515625" customWidth="1"/>
    <col min="6" max="7" width="11.42578125" customWidth="1"/>
    <col min="8" max="8" width="14.85546875" customWidth="1"/>
    <col min="9" max="9" width="16.140625" customWidth="1"/>
    <col min="11" max="12" width="11.5703125" customWidth="1"/>
    <col min="13" max="13" width="5.5703125" customWidth="1"/>
    <col min="14" max="14" width="15.140625" customWidth="1"/>
    <col min="15" max="18" width="11.5703125" customWidth="1"/>
    <col min="19" max="19" width="14.28515625" customWidth="1"/>
    <col min="20" max="20" width="6.85546875" customWidth="1"/>
    <col min="21" max="21" width="15.5703125" customWidth="1"/>
    <col min="22" max="22" width="12" customWidth="1"/>
    <col min="23" max="23" width="14.140625" customWidth="1"/>
    <col min="24" max="25" width="14.28515625" customWidth="1"/>
    <col min="26" max="26" width="9.42578125" customWidth="1"/>
    <col min="27" max="27" width="18" customWidth="1"/>
    <col min="28" max="30" width="15.140625" customWidth="1"/>
    <col min="31" max="32" width="13.28515625" customWidth="1"/>
    <col min="33" max="33" width="13.5703125" customWidth="1"/>
    <col min="34" max="34" width="12" customWidth="1"/>
  </cols>
  <sheetData>
    <row r="1" spans="1:34">
      <c r="A1" s="323" t="s">
        <v>421</v>
      </c>
      <c r="B1" s="310"/>
      <c r="C1" s="310"/>
      <c r="D1" s="310"/>
      <c r="E1" s="310"/>
    </row>
    <row r="4" spans="1:34" ht="31.5" customHeight="1">
      <c r="B4" s="89" t="s">
        <v>194</v>
      </c>
      <c r="C4" s="51"/>
      <c r="D4" s="51"/>
      <c r="E4" s="51"/>
      <c r="F4" s="51"/>
      <c r="G4" s="51"/>
    </row>
    <row r="5" spans="1:34" ht="29.25" customHeight="1">
      <c r="B5" s="90" t="s">
        <v>195</v>
      </c>
      <c r="C5" s="90"/>
      <c r="D5" s="90"/>
      <c r="E5" s="51"/>
      <c r="F5" s="51"/>
      <c r="G5" s="51"/>
    </row>
    <row r="7" spans="1:34">
      <c r="H7" s="51" t="s">
        <v>196</v>
      </c>
      <c r="I7" s="51"/>
      <c r="J7" s="51"/>
      <c r="K7" s="51"/>
      <c r="L7" s="51"/>
      <c r="N7" s="51" t="s">
        <v>197</v>
      </c>
      <c r="O7" s="51"/>
      <c r="P7" s="51"/>
      <c r="Q7" s="51"/>
      <c r="R7" s="51"/>
      <c r="S7" s="51"/>
    </row>
    <row r="8" spans="1:34" ht="82.5" customHeight="1">
      <c r="B8" s="91" t="s">
        <v>198</v>
      </c>
      <c r="C8" s="505" t="s">
        <v>199</v>
      </c>
      <c r="D8" s="506"/>
      <c r="E8" s="506"/>
      <c r="F8" s="506"/>
      <c r="G8" s="507"/>
      <c r="H8" s="91" t="s">
        <v>200</v>
      </c>
      <c r="I8" s="91" t="s">
        <v>201</v>
      </c>
      <c r="J8" s="91"/>
      <c r="K8" s="91" t="s">
        <v>202</v>
      </c>
      <c r="L8" s="91" t="s">
        <v>203</v>
      </c>
      <c r="M8" s="92"/>
      <c r="N8" s="91"/>
      <c r="O8" s="91" t="s">
        <v>204</v>
      </c>
      <c r="P8" s="91"/>
      <c r="Q8" s="91"/>
      <c r="R8" s="91"/>
      <c r="S8" s="91"/>
      <c r="T8" s="92"/>
      <c r="U8" s="92"/>
      <c r="V8" s="92"/>
      <c r="W8" s="92"/>
      <c r="X8" s="93"/>
      <c r="Y8" s="94"/>
      <c r="AB8" s="95"/>
      <c r="AC8" s="95"/>
      <c r="AD8" s="96" t="s">
        <v>205</v>
      </c>
      <c r="AE8" s="95"/>
      <c r="AF8" s="95"/>
      <c r="AG8" s="97">
        <v>0.4</v>
      </c>
      <c r="AH8" s="97">
        <v>0.2</v>
      </c>
    </row>
    <row r="9" spans="1:34" ht="68.25" customHeight="1">
      <c r="B9" s="98" t="s">
        <v>160</v>
      </c>
      <c r="C9" s="99" t="s">
        <v>206</v>
      </c>
      <c r="D9" s="99" t="s">
        <v>56</v>
      </c>
      <c r="E9" s="99" t="s">
        <v>207</v>
      </c>
      <c r="F9" s="99" t="s">
        <v>208</v>
      </c>
      <c r="G9" s="99" t="s">
        <v>209</v>
      </c>
      <c r="H9" s="99" t="s">
        <v>116</v>
      </c>
      <c r="I9" s="99" t="s">
        <v>116</v>
      </c>
      <c r="J9" s="99" t="s">
        <v>56</v>
      </c>
      <c r="K9" s="99" t="s">
        <v>210</v>
      </c>
      <c r="L9" s="99" t="s">
        <v>211</v>
      </c>
      <c r="M9" s="100"/>
      <c r="N9" s="99" t="s">
        <v>160</v>
      </c>
      <c r="O9" s="99" t="s">
        <v>212</v>
      </c>
      <c r="P9" s="99" t="s">
        <v>56</v>
      </c>
      <c r="Q9" s="99" t="s">
        <v>207</v>
      </c>
      <c r="R9" s="99" t="s">
        <v>213</v>
      </c>
      <c r="S9" s="99" t="s">
        <v>214</v>
      </c>
      <c r="T9" s="100"/>
      <c r="U9" s="99" t="s">
        <v>198</v>
      </c>
      <c r="V9" s="99" t="s">
        <v>215</v>
      </c>
      <c r="W9" s="99" t="s">
        <v>214</v>
      </c>
      <c r="X9" s="99" t="s">
        <v>216</v>
      </c>
      <c r="Y9" s="99" t="s">
        <v>217</v>
      </c>
      <c r="AA9" s="99" t="s">
        <v>198</v>
      </c>
      <c r="AB9" s="91" t="s">
        <v>218</v>
      </c>
      <c r="AC9" s="91" t="s">
        <v>219</v>
      </c>
      <c r="AD9" s="91" t="s">
        <v>220</v>
      </c>
      <c r="AE9" s="91" t="s">
        <v>221</v>
      </c>
      <c r="AF9" s="91" t="s">
        <v>222</v>
      </c>
      <c r="AG9" s="91" t="str">
        <f>CONCATENATE("Savings @ ",TEXT(AG8,"0%")," in aMW")</f>
        <v>Savings @ 40% in aMW</v>
      </c>
      <c r="AH9" s="91" t="str">
        <f>CONCATENATE("Savings @ ",TEXT(AH8,"0%")," in aMW")</f>
        <v>Savings @ 20% in aMW</v>
      </c>
    </row>
    <row r="10" spans="1:34">
      <c r="B10" s="101" t="s">
        <v>10</v>
      </c>
      <c r="C10" s="102">
        <v>12.656658263829009</v>
      </c>
      <c r="D10" s="103">
        <v>105</v>
      </c>
      <c r="E10" s="102">
        <v>3.1686971475565597</v>
      </c>
      <c r="F10" s="102">
        <f t="shared" ref="F10:F19" si="0">C10+E10</f>
        <v>15.825355411385569</v>
      </c>
      <c r="G10" s="102">
        <f t="shared" ref="G10:G19" si="1">C10-E10</f>
        <v>9.487961116272448</v>
      </c>
      <c r="H10" s="104">
        <v>3.0444568869705861</v>
      </c>
      <c r="I10" s="104">
        <v>2.9822316269028462</v>
      </c>
      <c r="J10" s="105">
        <v>105</v>
      </c>
      <c r="K10" s="106">
        <f t="shared" ref="K10:K19" si="2">H10/C10</f>
        <v>0.24054192058509044</v>
      </c>
      <c r="L10" s="105">
        <v>2967.8627071516012</v>
      </c>
      <c r="M10" s="105"/>
      <c r="N10" s="107" t="s">
        <v>10</v>
      </c>
      <c r="O10" s="104">
        <v>0.15772286537406049</v>
      </c>
      <c r="P10" s="105">
        <v>102</v>
      </c>
      <c r="Q10" s="104">
        <v>5.3641846503626224E-2</v>
      </c>
      <c r="R10" s="108">
        <v>4300</v>
      </c>
      <c r="S10" s="104">
        <f>O10*R10/1000</f>
        <v>0.67820832110846019</v>
      </c>
      <c r="T10" s="104"/>
      <c r="U10" s="107" t="s">
        <v>10</v>
      </c>
      <c r="V10" s="109">
        <f>I10</f>
        <v>2.9822316269028462</v>
      </c>
      <c r="W10" s="109">
        <f>S10</f>
        <v>0.67820832110846019</v>
      </c>
      <c r="X10" s="109">
        <f>SUM(I10,S10)</f>
        <v>3.6604399480113061</v>
      </c>
      <c r="Y10" s="110">
        <f>X10/C10</f>
        <v>0.28921061718734564</v>
      </c>
      <c r="AA10" s="107" t="s">
        <v>10</v>
      </c>
      <c r="AB10" s="85">
        <f>VLOOKUP(B10,$B$32:$D$43,2,)</f>
        <v>368.872052</v>
      </c>
      <c r="AC10" s="85">
        <f>AB10*1000000*C10/1000/8760</f>
        <v>532.95519466225608</v>
      </c>
      <c r="AD10" s="85">
        <f>AB10*1000000*I10/1000/8760</f>
        <v>125.57784243777982</v>
      </c>
      <c r="AE10" s="85">
        <f>S10*AB10*1000000/1000/8760</f>
        <v>28.558458343693225</v>
      </c>
      <c r="AF10" s="85">
        <f>SUM(AD10:AE10)</f>
        <v>154.13630078147304</v>
      </c>
      <c r="AG10" s="85">
        <f>AF10*$AG$8</f>
        <v>61.65452031258922</v>
      </c>
      <c r="AH10" s="85">
        <f>AF10*$AH$8</f>
        <v>30.82726015629461</v>
      </c>
    </row>
    <row r="11" spans="1:34">
      <c r="B11" s="101" t="s">
        <v>60</v>
      </c>
      <c r="C11" s="102">
        <v>45.794204797954812</v>
      </c>
      <c r="D11" s="103">
        <v>43</v>
      </c>
      <c r="E11" s="102">
        <v>6.1560723290902191</v>
      </c>
      <c r="F11" s="102">
        <f t="shared" si="0"/>
        <v>51.950277127045034</v>
      </c>
      <c r="G11" s="102">
        <f t="shared" si="1"/>
        <v>39.63813246886459</v>
      </c>
      <c r="H11" s="104">
        <v>6.3315049774065066</v>
      </c>
      <c r="I11" s="104">
        <v>6.3315049774065066</v>
      </c>
      <c r="J11" s="105">
        <v>43</v>
      </c>
      <c r="K11" s="106">
        <f t="shared" si="2"/>
        <v>0.13825996117502787</v>
      </c>
      <c r="L11" s="105">
        <v>5405.868510801869</v>
      </c>
      <c r="M11" s="105"/>
      <c r="N11" s="107" t="s">
        <v>60</v>
      </c>
      <c r="O11" s="104">
        <v>0.43664170869555319</v>
      </c>
      <c r="P11" s="105">
        <v>43</v>
      </c>
      <c r="Q11" s="104">
        <v>0.20150230835461891</v>
      </c>
      <c r="R11" s="108">
        <v>4300</v>
      </c>
      <c r="S11" s="104">
        <f t="shared" ref="S11:S20" si="3">O11*R11/1000</f>
        <v>1.8775593473908787</v>
      </c>
      <c r="T11" s="104"/>
      <c r="U11" s="107" t="s">
        <v>60</v>
      </c>
      <c r="V11" s="109">
        <f t="shared" ref="V11:V20" si="4">I11</f>
        <v>6.3315049774065066</v>
      </c>
      <c r="W11" s="109">
        <f t="shared" ref="W11:W20" si="5">S11</f>
        <v>1.8775593473908787</v>
      </c>
      <c r="X11" s="109">
        <f t="shared" ref="X11:X20" si="6">SUM(I11,S11)</f>
        <v>8.2090643247973851</v>
      </c>
      <c r="Y11" s="110">
        <f t="shared" ref="Y11:Y20" si="7">X11/C11</f>
        <v>0.17925989458744801</v>
      </c>
      <c r="AA11" s="107" t="s">
        <v>60</v>
      </c>
      <c r="AB11" s="85">
        <f t="shared" ref="AB11:AB19" si="8">VLOOKUP(B11,$B$32:$D$43,2,)</f>
        <v>53.036738999999997</v>
      </c>
      <c r="AC11" s="85">
        <f t="shared" ref="AC11:AC19" si="9">AB11*1000000*C11/1000/8760</f>
        <v>277.25745292028279</v>
      </c>
      <c r="AD11" s="85">
        <f t="shared" ref="AD11:AD19" si="10">AB11*1000000*I11/1000/8760</f>
        <v>38.333604676245415</v>
      </c>
      <c r="AE11" s="85">
        <f t="shared" ref="AE11:AE19" si="11">S11*AB11*1000000/1000/8760</f>
        <v>11.367537107828808</v>
      </c>
      <c r="AF11" s="85">
        <f t="shared" ref="AF11:AF20" si="12">SUM(AD11:AE11)</f>
        <v>49.701141784074224</v>
      </c>
      <c r="AG11" s="85">
        <f t="shared" ref="AG11:AG20" si="13">AF11*$AG$8</f>
        <v>19.880456713629691</v>
      </c>
      <c r="AH11" s="85">
        <f t="shared" ref="AH11:AH20" si="14">AF11*$AH$8</f>
        <v>9.9402283568148455</v>
      </c>
    </row>
    <row r="12" spans="1:34">
      <c r="B12" s="101" t="s">
        <v>28</v>
      </c>
      <c r="C12" s="102">
        <v>56.971802114558251</v>
      </c>
      <c r="D12" s="103">
        <v>74</v>
      </c>
      <c r="E12" s="102">
        <v>4.2319953343453198</v>
      </c>
      <c r="F12" s="102">
        <f t="shared" si="0"/>
        <v>61.203797448903572</v>
      </c>
      <c r="G12" s="102">
        <f t="shared" si="1"/>
        <v>52.73980678021293</v>
      </c>
      <c r="H12" s="104">
        <v>8.2846877579699569</v>
      </c>
      <c r="I12" s="104">
        <v>8.2846877579699569</v>
      </c>
      <c r="J12" s="105">
        <v>74</v>
      </c>
      <c r="K12" s="106">
        <f t="shared" si="2"/>
        <v>0.14541733718219413</v>
      </c>
      <c r="L12" s="105">
        <v>7180.9530695134035</v>
      </c>
      <c r="M12" s="105"/>
      <c r="N12" s="107" t="s">
        <v>28</v>
      </c>
      <c r="O12" s="104">
        <v>0.26032202198271615</v>
      </c>
      <c r="P12" s="105">
        <v>74</v>
      </c>
      <c r="Q12" s="104">
        <v>0.11904090633134305</v>
      </c>
      <c r="R12" s="108">
        <v>4300</v>
      </c>
      <c r="S12" s="104">
        <f t="shared" si="3"/>
        <v>1.1193846945256793</v>
      </c>
      <c r="T12" s="104"/>
      <c r="U12" s="107" t="s">
        <v>28</v>
      </c>
      <c r="V12" s="109">
        <f t="shared" si="4"/>
        <v>8.2846877579699569</v>
      </c>
      <c r="W12" s="109">
        <f t="shared" si="5"/>
        <v>1.1193846945256793</v>
      </c>
      <c r="X12" s="109">
        <f t="shared" si="6"/>
        <v>9.4040724524956367</v>
      </c>
      <c r="Y12" s="110">
        <f t="shared" si="7"/>
        <v>0.16506538504058613</v>
      </c>
      <c r="AA12" s="107" t="s">
        <v>28</v>
      </c>
      <c r="AB12" s="85">
        <f t="shared" si="8"/>
        <v>77.120838000000006</v>
      </c>
      <c r="AC12" s="85">
        <f t="shared" si="9"/>
        <v>501.56542482247767</v>
      </c>
      <c r="AD12" s="85">
        <f t="shared" si="10"/>
        <v>72.936308500340672</v>
      </c>
      <c r="AE12" s="85">
        <f t="shared" si="11"/>
        <v>9.8547814710267581</v>
      </c>
      <c r="AF12" s="85">
        <f t="shared" si="12"/>
        <v>82.791089971367427</v>
      </c>
      <c r="AG12" s="85">
        <f t="shared" si="13"/>
        <v>33.116435988546975</v>
      </c>
      <c r="AH12" s="85">
        <f t="shared" si="14"/>
        <v>16.558217994273488</v>
      </c>
    </row>
    <row r="13" spans="1:34">
      <c r="B13" s="101" t="s">
        <v>13</v>
      </c>
      <c r="C13" s="102">
        <v>14.289973062869723</v>
      </c>
      <c r="D13" s="103">
        <v>72</v>
      </c>
      <c r="E13" s="102">
        <v>1.3982477471034773</v>
      </c>
      <c r="F13" s="102">
        <f t="shared" si="0"/>
        <v>15.688220809973201</v>
      </c>
      <c r="G13" s="102">
        <f t="shared" si="1"/>
        <v>12.891725315766246</v>
      </c>
      <c r="H13" s="104">
        <v>2.6970341827592521</v>
      </c>
      <c r="I13" s="104">
        <v>2.6463220143590998</v>
      </c>
      <c r="J13" s="105">
        <v>73</v>
      </c>
      <c r="K13" s="106">
        <f t="shared" si="2"/>
        <v>0.18873612783547344</v>
      </c>
      <c r="L13" s="105">
        <v>2924.0724824030326</v>
      </c>
      <c r="M13" s="105"/>
      <c r="N13" s="107" t="s">
        <v>13</v>
      </c>
      <c r="O13" s="104">
        <v>0.10259832460348207</v>
      </c>
      <c r="P13" s="105">
        <v>71</v>
      </c>
      <c r="Q13" s="104">
        <v>1.9361976277696355E-2</v>
      </c>
      <c r="R13" s="108">
        <v>4300</v>
      </c>
      <c r="S13" s="104">
        <f t="shared" si="3"/>
        <v>0.44117279579497287</v>
      </c>
      <c r="T13" s="104"/>
      <c r="U13" s="107" t="s">
        <v>13</v>
      </c>
      <c r="V13" s="109">
        <f t="shared" si="4"/>
        <v>2.6463220143590998</v>
      </c>
      <c r="W13" s="109">
        <f t="shared" si="5"/>
        <v>0.44117279579497287</v>
      </c>
      <c r="X13" s="109">
        <f t="shared" si="6"/>
        <v>3.0874948101540727</v>
      </c>
      <c r="Y13" s="110">
        <f t="shared" si="7"/>
        <v>0.21606022604594327</v>
      </c>
      <c r="AA13" s="107" t="s">
        <v>13</v>
      </c>
      <c r="AB13" s="85">
        <f t="shared" si="8"/>
        <v>171.04092800000001</v>
      </c>
      <c r="AC13" s="85">
        <f t="shared" si="9"/>
        <v>279.01486915162559</v>
      </c>
      <c r="AD13" s="85">
        <f t="shared" si="10"/>
        <v>51.670019762877828</v>
      </c>
      <c r="AE13" s="85">
        <f t="shared" si="11"/>
        <v>8.6139959362016736</v>
      </c>
      <c r="AF13" s="85">
        <f t="shared" si="12"/>
        <v>60.284015699079504</v>
      </c>
      <c r="AG13" s="85">
        <f t="shared" si="13"/>
        <v>24.113606279631803</v>
      </c>
      <c r="AH13" s="85">
        <f t="shared" si="14"/>
        <v>12.056803139815901</v>
      </c>
    </row>
    <row r="14" spans="1:34">
      <c r="B14" s="101" t="s">
        <v>31</v>
      </c>
      <c r="C14" s="102">
        <v>15.98362928524149</v>
      </c>
      <c r="D14" s="103">
        <v>117</v>
      </c>
      <c r="E14" s="102">
        <v>1.4895057538042131</v>
      </c>
      <c r="F14" s="102">
        <f t="shared" si="0"/>
        <v>17.473135039045701</v>
      </c>
      <c r="G14" s="102">
        <f t="shared" si="1"/>
        <v>14.494123531437276</v>
      </c>
      <c r="H14" s="104">
        <v>2.9923343600821086</v>
      </c>
      <c r="I14" s="104">
        <v>2.7289663261946573</v>
      </c>
      <c r="J14" s="105">
        <v>117</v>
      </c>
      <c r="K14" s="106">
        <f t="shared" si="2"/>
        <v>0.18721244760381708</v>
      </c>
      <c r="L14" s="105">
        <v>2996.929816600104</v>
      </c>
      <c r="M14" s="105"/>
      <c r="N14" s="107" t="s">
        <v>31</v>
      </c>
      <c r="O14" s="104">
        <v>0.13694201484289967</v>
      </c>
      <c r="P14" s="105">
        <v>114</v>
      </c>
      <c r="Q14" s="104">
        <v>3.9621553031031376E-2</v>
      </c>
      <c r="R14" s="108">
        <v>4300</v>
      </c>
      <c r="S14" s="104">
        <f t="shared" si="3"/>
        <v>0.5888506638244686</v>
      </c>
      <c r="T14" s="104"/>
      <c r="U14" s="107" t="s">
        <v>31</v>
      </c>
      <c r="V14" s="109">
        <f t="shared" si="4"/>
        <v>2.7289663261946573</v>
      </c>
      <c r="W14" s="109">
        <f t="shared" si="5"/>
        <v>0.5888506638244686</v>
      </c>
      <c r="X14" s="109">
        <f t="shared" si="6"/>
        <v>3.3178169900191259</v>
      </c>
      <c r="Y14" s="110">
        <f t="shared" si="7"/>
        <v>0.2075759472901838</v>
      </c>
      <c r="AA14" s="107" t="s">
        <v>31</v>
      </c>
      <c r="AB14" s="85">
        <f t="shared" si="8"/>
        <v>734.35812599999997</v>
      </c>
      <c r="AC14" s="85">
        <f t="shared" si="9"/>
        <v>1339.9210101128606</v>
      </c>
      <c r="AD14" s="85">
        <f t="shared" si="10"/>
        <v>228.77152936317501</v>
      </c>
      <c r="AE14" s="85">
        <f t="shared" si="11"/>
        <v>49.363843605022005</v>
      </c>
      <c r="AF14" s="85">
        <f t="shared" si="12"/>
        <v>278.13537296819703</v>
      </c>
      <c r="AG14" s="85">
        <f t="shared" si="13"/>
        <v>111.25414918727881</v>
      </c>
      <c r="AH14" s="85">
        <f t="shared" si="14"/>
        <v>55.627074593639406</v>
      </c>
    </row>
    <row r="15" spans="1:34">
      <c r="B15" s="101" t="s">
        <v>61</v>
      </c>
      <c r="C15" s="102">
        <v>15.252452894286778</v>
      </c>
      <c r="D15" s="103">
        <v>70</v>
      </c>
      <c r="E15" s="102">
        <v>1.685955313157196</v>
      </c>
      <c r="F15" s="102">
        <f t="shared" si="0"/>
        <v>16.938408207443974</v>
      </c>
      <c r="G15" s="102">
        <f t="shared" si="1"/>
        <v>13.566497581129582</v>
      </c>
      <c r="H15" s="104">
        <v>6.4134393224246997</v>
      </c>
      <c r="I15" s="104">
        <v>6.2875508772087194</v>
      </c>
      <c r="J15" s="105">
        <v>70</v>
      </c>
      <c r="K15" s="106">
        <f t="shared" si="2"/>
        <v>0.42048576493732548</v>
      </c>
      <c r="L15" s="105">
        <v>5629.1089151696196</v>
      </c>
      <c r="M15" s="105"/>
      <c r="N15" s="107" t="s">
        <v>61</v>
      </c>
      <c r="O15" s="104">
        <v>7.0371990255371983E-2</v>
      </c>
      <c r="P15" s="105">
        <v>67</v>
      </c>
      <c r="Q15" s="104">
        <v>1.4524641761212502E-2</v>
      </c>
      <c r="R15" s="108">
        <v>4300</v>
      </c>
      <c r="S15" s="104">
        <f t="shared" si="3"/>
        <v>0.30259955809809952</v>
      </c>
      <c r="T15" s="104"/>
      <c r="U15" s="107" t="s">
        <v>61</v>
      </c>
      <c r="V15" s="109">
        <f t="shared" si="4"/>
        <v>6.2875508772087194</v>
      </c>
      <c r="W15" s="109">
        <f t="shared" si="5"/>
        <v>0.30259955809809952</v>
      </c>
      <c r="X15" s="109">
        <f t="shared" si="6"/>
        <v>6.5901504353068185</v>
      </c>
      <c r="Y15" s="110">
        <f t="shared" si="7"/>
        <v>0.4320715153806729</v>
      </c>
      <c r="AA15" s="107" t="s">
        <v>61</v>
      </c>
      <c r="AB15" s="85">
        <f t="shared" si="8"/>
        <v>125.160636</v>
      </c>
      <c r="AC15" s="85">
        <f t="shared" si="9"/>
        <v>217.923139818376</v>
      </c>
      <c r="AD15" s="85">
        <f t="shared" si="10"/>
        <v>89.834916286963605</v>
      </c>
      <c r="AE15" s="85">
        <f t="shared" si="11"/>
        <v>4.3234649708763797</v>
      </c>
      <c r="AF15" s="85">
        <f t="shared" si="12"/>
        <v>94.158381257839977</v>
      </c>
      <c r="AG15" s="85">
        <f t="shared" si="13"/>
        <v>37.663352503135989</v>
      </c>
      <c r="AH15" s="85">
        <f t="shared" si="14"/>
        <v>18.831676251567995</v>
      </c>
    </row>
    <row r="16" spans="1:34">
      <c r="B16" s="101" t="s">
        <v>30</v>
      </c>
      <c r="C16" s="102">
        <v>12.76253350138645</v>
      </c>
      <c r="D16" s="103">
        <v>132</v>
      </c>
      <c r="E16" s="102">
        <v>1.0991599898264006</v>
      </c>
      <c r="F16" s="102">
        <f t="shared" si="0"/>
        <v>13.861693491212851</v>
      </c>
      <c r="G16" s="102">
        <f t="shared" si="1"/>
        <v>11.663373511560049</v>
      </c>
      <c r="H16" s="104">
        <v>5.0235432384856367</v>
      </c>
      <c r="I16" s="104">
        <v>5.026786699731927</v>
      </c>
      <c r="J16" s="105">
        <v>131</v>
      </c>
      <c r="K16" s="106">
        <f t="shared" si="2"/>
        <v>0.39361645851428378</v>
      </c>
      <c r="L16" s="105">
        <v>4224.9019225439497</v>
      </c>
      <c r="M16" s="105"/>
      <c r="N16" s="107" t="s">
        <v>30</v>
      </c>
      <c r="O16" s="104">
        <v>0.28431590929099099</v>
      </c>
      <c r="P16" s="105">
        <v>130</v>
      </c>
      <c r="Q16" s="104">
        <v>8.2287697444958355E-2</v>
      </c>
      <c r="R16" s="108">
        <v>4300</v>
      </c>
      <c r="S16" s="104">
        <f t="shared" si="3"/>
        <v>1.2225584099512612</v>
      </c>
      <c r="T16" s="104"/>
      <c r="U16" s="107" t="s">
        <v>30</v>
      </c>
      <c r="V16" s="109">
        <f t="shared" si="4"/>
        <v>5.026786699731927</v>
      </c>
      <c r="W16" s="109">
        <f t="shared" si="5"/>
        <v>1.2225584099512612</v>
      </c>
      <c r="X16" s="109">
        <f t="shared" si="6"/>
        <v>6.2493451096831887</v>
      </c>
      <c r="Y16" s="110">
        <f t="shared" si="7"/>
        <v>0.48966336574194264</v>
      </c>
      <c r="AA16" s="107" t="s">
        <v>30</v>
      </c>
      <c r="AB16" s="85">
        <f t="shared" si="8"/>
        <v>570.92948799999999</v>
      </c>
      <c r="AC16" s="85">
        <f t="shared" si="9"/>
        <v>831.79300428417957</v>
      </c>
      <c r="AD16" s="85">
        <f t="shared" si="10"/>
        <v>327.61880784967565</v>
      </c>
      <c r="AE16" s="85">
        <f t="shared" si="11"/>
        <v>79.679754228717769</v>
      </c>
      <c r="AF16" s="85">
        <f t="shared" si="12"/>
        <v>407.29856207839339</v>
      </c>
      <c r="AG16" s="85">
        <f t="shared" si="13"/>
        <v>162.91942483135736</v>
      </c>
      <c r="AH16" s="85">
        <f t="shared" si="14"/>
        <v>81.45971241567868</v>
      </c>
    </row>
    <row r="17" spans="2:34">
      <c r="B17" s="101" t="s">
        <v>29</v>
      </c>
      <c r="C17" s="102">
        <v>9.5809179430278242</v>
      </c>
      <c r="D17" s="103">
        <v>75</v>
      </c>
      <c r="E17" s="102">
        <v>0.81002513493070427</v>
      </c>
      <c r="F17" s="102">
        <f t="shared" si="0"/>
        <v>10.390943077958529</v>
      </c>
      <c r="G17" s="102">
        <f t="shared" si="1"/>
        <v>8.7708928080971198</v>
      </c>
      <c r="H17" s="104">
        <v>2.5447133650411797</v>
      </c>
      <c r="I17" s="104">
        <v>2.5102426991993956</v>
      </c>
      <c r="J17" s="105">
        <v>75</v>
      </c>
      <c r="K17" s="106">
        <f t="shared" si="2"/>
        <v>0.2656022502408556</v>
      </c>
      <c r="L17" s="105">
        <v>2683.598548342979</v>
      </c>
      <c r="M17" s="105"/>
      <c r="N17" s="107" t="s">
        <v>29</v>
      </c>
      <c r="O17" s="104">
        <v>0.10641166515684555</v>
      </c>
      <c r="P17" s="105">
        <v>74</v>
      </c>
      <c r="Q17" s="104">
        <v>2.0666258072524368E-2</v>
      </c>
      <c r="R17" s="108">
        <v>4300</v>
      </c>
      <c r="S17" s="104">
        <f t="shared" si="3"/>
        <v>0.45757016017443591</v>
      </c>
      <c r="T17" s="104"/>
      <c r="U17" s="107" t="s">
        <v>29</v>
      </c>
      <c r="V17" s="109">
        <f t="shared" si="4"/>
        <v>2.5102426991993956</v>
      </c>
      <c r="W17" s="109">
        <f t="shared" si="5"/>
        <v>0.45757016017443591</v>
      </c>
      <c r="X17" s="109">
        <f t="shared" si="6"/>
        <v>2.9678128593738315</v>
      </c>
      <c r="Y17" s="110">
        <f t="shared" si="7"/>
        <v>0.30976289297348097</v>
      </c>
      <c r="AA17" s="107" t="s">
        <v>29</v>
      </c>
      <c r="AB17" s="85">
        <f t="shared" si="8"/>
        <v>245.353161</v>
      </c>
      <c r="AC17" s="85">
        <f t="shared" si="9"/>
        <v>268.3457194752848</v>
      </c>
      <c r="AD17" s="85">
        <f t="shared" si="10"/>
        <v>70.307760402482174</v>
      </c>
      <c r="AE17" s="85">
        <f t="shared" si="11"/>
        <v>12.815785979232208</v>
      </c>
      <c r="AF17" s="85">
        <f t="shared" si="12"/>
        <v>83.123546381714377</v>
      </c>
      <c r="AG17" s="85">
        <f t="shared" si="13"/>
        <v>33.249418552685754</v>
      </c>
      <c r="AH17" s="85">
        <f t="shared" si="14"/>
        <v>16.624709276342877</v>
      </c>
    </row>
    <row r="18" spans="2:34">
      <c r="B18" s="101" t="s">
        <v>16</v>
      </c>
      <c r="C18" s="102">
        <v>6.0495189796425537</v>
      </c>
      <c r="D18" s="103">
        <v>43</v>
      </c>
      <c r="E18" s="102">
        <v>2.2843814625599155</v>
      </c>
      <c r="F18" s="102">
        <f t="shared" si="0"/>
        <v>8.3339004422024701</v>
      </c>
      <c r="G18" s="102">
        <f t="shared" si="1"/>
        <v>3.7651375170826382</v>
      </c>
      <c r="H18" s="104">
        <v>1.5590237925303492</v>
      </c>
      <c r="I18" s="104">
        <v>1.5590237925303492</v>
      </c>
      <c r="J18" s="105">
        <v>43</v>
      </c>
      <c r="K18" s="106">
        <f t="shared" si="2"/>
        <v>0.25771037296959876</v>
      </c>
      <c r="L18" s="105">
        <v>2669.8160168503773</v>
      </c>
      <c r="M18" s="105"/>
      <c r="N18" s="107" t="s">
        <v>16</v>
      </c>
      <c r="O18" s="104">
        <v>8.3532634554250654E-2</v>
      </c>
      <c r="P18" s="105">
        <v>43</v>
      </c>
      <c r="Q18" s="104">
        <v>2.2922980433797369E-2</v>
      </c>
      <c r="R18" s="108">
        <v>4300</v>
      </c>
      <c r="S18" s="104">
        <f t="shared" si="3"/>
        <v>0.35919032858327776</v>
      </c>
      <c r="T18" s="104"/>
      <c r="U18" s="107" t="s">
        <v>16</v>
      </c>
      <c r="V18" s="109">
        <f t="shared" si="4"/>
        <v>1.5590237925303492</v>
      </c>
      <c r="W18" s="109">
        <f t="shared" si="5"/>
        <v>0.35919032858327776</v>
      </c>
      <c r="X18" s="109">
        <f t="shared" si="6"/>
        <v>1.918214121113627</v>
      </c>
      <c r="Y18" s="110">
        <f t="shared" si="7"/>
        <v>0.31708539597423796</v>
      </c>
      <c r="AA18" s="107" t="s">
        <v>16</v>
      </c>
      <c r="AB18" s="85">
        <f t="shared" si="8"/>
        <v>442.22405399999997</v>
      </c>
      <c r="AC18" s="85">
        <f t="shared" si="9"/>
        <v>305.3930146035928</v>
      </c>
      <c r="AD18" s="85">
        <f t="shared" si="10"/>
        <v>78.702947695802038</v>
      </c>
      <c r="AE18" s="85">
        <f t="shared" si="11"/>
        <v>18.132717267544422</v>
      </c>
      <c r="AF18" s="85">
        <f t="shared" si="12"/>
        <v>96.83566496334646</v>
      </c>
      <c r="AG18" s="85">
        <f t="shared" si="13"/>
        <v>38.734265985338588</v>
      </c>
      <c r="AH18" s="85">
        <f t="shared" si="14"/>
        <v>19.367132992669294</v>
      </c>
    </row>
    <row r="19" spans="2:34">
      <c r="B19" s="101" t="s">
        <v>9</v>
      </c>
      <c r="C19" s="102">
        <v>12.887541280192677</v>
      </c>
      <c r="D19" s="103">
        <v>81</v>
      </c>
      <c r="E19" s="102">
        <v>1.4055804963225296</v>
      </c>
      <c r="F19" s="102">
        <f t="shared" si="0"/>
        <v>14.293121776515207</v>
      </c>
      <c r="G19" s="102">
        <f t="shared" si="1"/>
        <v>11.481960783870147</v>
      </c>
      <c r="H19" s="104">
        <v>3.8716062643362705</v>
      </c>
      <c r="I19" s="104">
        <v>3.4104514624963524</v>
      </c>
      <c r="J19" s="105">
        <v>81</v>
      </c>
      <c r="K19" s="106">
        <f t="shared" si="2"/>
        <v>0.30041465475549478</v>
      </c>
      <c r="L19" s="105">
        <v>4049.7798031758457</v>
      </c>
      <c r="M19" s="105"/>
      <c r="N19" s="107" t="s">
        <v>9</v>
      </c>
      <c r="O19" s="104">
        <v>0.14552691811087146</v>
      </c>
      <c r="P19" s="105">
        <v>78</v>
      </c>
      <c r="Q19" s="104">
        <v>3.5074311983207408E-2</v>
      </c>
      <c r="R19" s="108">
        <v>4300</v>
      </c>
      <c r="S19" s="104">
        <f t="shared" si="3"/>
        <v>0.62576574787674721</v>
      </c>
      <c r="T19" s="104"/>
      <c r="U19" s="107" t="s">
        <v>9</v>
      </c>
      <c r="V19" s="109">
        <f t="shared" si="4"/>
        <v>3.4104514624963524</v>
      </c>
      <c r="W19" s="109">
        <f t="shared" si="5"/>
        <v>0.62576574787674721</v>
      </c>
      <c r="X19" s="109">
        <f t="shared" si="6"/>
        <v>4.0362172103731</v>
      </c>
      <c r="Y19" s="110">
        <f t="shared" si="7"/>
        <v>0.31318752915084791</v>
      </c>
      <c r="AA19" s="107" t="s">
        <v>9</v>
      </c>
      <c r="AB19" s="85">
        <f t="shared" si="8"/>
        <v>333.43446499999999</v>
      </c>
      <c r="AC19" s="85">
        <f t="shared" si="9"/>
        <v>490.54228674959592</v>
      </c>
      <c r="AD19" s="85">
        <f t="shared" si="10"/>
        <v>129.81302041163687</v>
      </c>
      <c r="AE19" s="85">
        <f t="shared" si="11"/>
        <v>23.818706319475808</v>
      </c>
      <c r="AF19" s="85">
        <f t="shared" si="12"/>
        <v>153.63172673111268</v>
      </c>
      <c r="AG19" s="85">
        <f t="shared" si="13"/>
        <v>61.452690692445074</v>
      </c>
      <c r="AH19" s="85">
        <f t="shared" si="14"/>
        <v>30.726345346222537</v>
      </c>
    </row>
    <row r="20" spans="2:34">
      <c r="B20" s="101" t="s">
        <v>8</v>
      </c>
      <c r="C20" s="102">
        <v>14.157051986345268</v>
      </c>
      <c r="D20" s="103">
        <v>812</v>
      </c>
      <c r="E20" s="102">
        <v>0.8151900707346188</v>
      </c>
      <c r="F20" s="102">
        <f>C20+E20</f>
        <v>14.972242057079887</v>
      </c>
      <c r="G20" s="102">
        <f>C20-E20</f>
        <v>13.341861915610648</v>
      </c>
      <c r="H20" s="104">
        <v>3.5</v>
      </c>
      <c r="I20" s="104">
        <v>3.4</v>
      </c>
      <c r="J20" s="105">
        <v>812</v>
      </c>
      <c r="K20" s="106">
        <f>H20/C20</f>
        <v>0.24722661210651858</v>
      </c>
      <c r="L20" s="105">
        <v>3505.4325425970255</v>
      </c>
      <c r="M20" s="105"/>
      <c r="N20" s="107" t="s">
        <v>8</v>
      </c>
      <c r="O20" s="104">
        <v>0.16121646249693089</v>
      </c>
      <c r="P20" s="105">
        <v>796</v>
      </c>
      <c r="Q20" s="104">
        <v>2.0181831717537343E-2</v>
      </c>
      <c r="R20" s="108">
        <v>4300</v>
      </c>
      <c r="S20" s="104">
        <f t="shared" si="3"/>
        <v>0.69323078873680288</v>
      </c>
      <c r="T20" s="104"/>
      <c r="U20" s="107" t="s">
        <v>8</v>
      </c>
      <c r="V20" s="109">
        <f t="shared" si="4"/>
        <v>3.4</v>
      </c>
      <c r="W20" s="109">
        <f t="shared" si="5"/>
        <v>0.69323078873680288</v>
      </c>
      <c r="X20" s="109">
        <f t="shared" si="6"/>
        <v>4.0932307887368031</v>
      </c>
      <c r="Y20" s="110">
        <f t="shared" si="7"/>
        <v>0.28913016584842649</v>
      </c>
      <c r="AA20" s="107" t="s">
        <v>8</v>
      </c>
      <c r="AB20" s="111">
        <f>SUM(AB10:AB19)</f>
        <v>3121.530487</v>
      </c>
      <c r="AC20" s="111">
        <f>SUM(AC10:AC19)</f>
        <v>5044.7111166005325</v>
      </c>
      <c r="AD20" s="111">
        <f t="shared" ref="AD20:AE20" si="15">SUM(AD10:AD19)</f>
        <v>1213.5667573869789</v>
      </c>
      <c r="AE20" s="111">
        <f t="shared" si="15"/>
        <v>246.52904522961907</v>
      </c>
      <c r="AF20" s="111">
        <f t="shared" si="12"/>
        <v>1460.0958026165979</v>
      </c>
      <c r="AG20" s="85">
        <f t="shared" si="13"/>
        <v>584.03832104663923</v>
      </c>
      <c r="AH20" s="85">
        <f t="shared" si="14"/>
        <v>292.01916052331961</v>
      </c>
    </row>
    <row r="21" spans="2:34">
      <c r="B21" s="101"/>
      <c r="C21" s="102"/>
      <c r="D21" s="103"/>
      <c r="E21" s="102"/>
      <c r="F21" s="102"/>
      <c r="G21" s="102"/>
      <c r="H21" s="109"/>
      <c r="I21" s="109"/>
      <c r="J21" s="105"/>
      <c r="K21" s="106"/>
      <c r="L21" s="105"/>
      <c r="M21" s="105"/>
    </row>
    <row r="22" spans="2:34">
      <c r="B22" s="101" t="s">
        <v>12</v>
      </c>
      <c r="C22" s="102"/>
      <c r="D22" s="103"/>
      <c r="E22" s="102"/>
      <c r="F22" s="102"/>
      <c r="G22" s="102"/>
      <c r="H22" s="109"/>
      <c r="I22" s="109"/>
      <c r="J22" s="105"/>
      <c r="K22" s="106"/>
      <c r="L22" s="105"/>
      <c r="M22" s="105"/>
      <c r="N22" s="105"/>
      <c r="O22" s="105"/>
      <c r="P22" s="105"/>
      <c r="Q22" s="105"/>
      <c r="R22" s="105"/>
      <c r="S22" s="105"/>
      <c r="T22" s="105"/>
      <c r="U22" s="105" t="s">
        <v>12</v>
      </c>
      <c r="V22" s="105"/>
      <c r="W22" s="105"/>
      <c r="X22" s="105"/>
      <c r="Y22" s="105"/>
      <c r="AD22" s="112">
        <f>AD20/$AC20</f>
        <v>0.24056219064626286</v>
      </c>
      <c r="AE22" s="112">
        <f>AE20/$AC20</f>
        <v>4.8868813204857413E-2</v>
      </c>
      <c r="AF22" s="112">
        <f>AF20/$AC20</f>
        <v>0.28943100385112025</v>
      </c>
      <c r="AG22" s="85"/>
      <c r="AH22" s="85"/>
    </row>
    <row r="23" spans="2:34">
      <c r="B23" s="101" t="s">
        <v>323</v>
      </c>
      <c r="C23" s="102"/>
      <c r="D23" s="103"/>
      <c r="E23" s="102"/>
      <c r="F23" s="102"/>
      <c r="G23" s="102"/>
      <c r="H23" s="109"/>
      <c r="I23" s="109"/>
      <c r="J23" s="105"/>
      <c r="K23" s="106"/>
      <c r="L23" s="105"/>
      <c r="M23" s="105"/>
      <c r="N23" s="105"/>
      <c r="O23" s="105"/>
      <c r="P23" s="105"/>
      <c r="Q23" s="105"/>
      <c r="R23" s="105"/>
      <c r="S23" s="105"/>
      <c r="T23" s="105"/>
      <c r="U23" s="105" t="s">
        <v>17</v>
      </c>
      <c r="V23" s="105"/>
      <c r="W23" s="105"/>
      <c r="X23" s="105"/>
      <c r="Y23" s="105"/>
      <c r="AA23" s="107" t="s">
        <v>223</v>
      </c>
      <c r="AB23" s="85">
        <f>ROUND(AD20,-2)</f>
        <v>1200</v>
      </c>
      <c r="AD23" s="112"/>
      <c r="AE23" s="112"/>
      <c r="AF23" s="112"/>
      <c r="AG23" s="85"/>
      <c r="AH23" s="85"/>
    </row>
    <row r="24" spans="2:34">
      <c r="B24" s="101"/>
      <c r="C24" s="102"/>
      <c r="D24" s="103"/>
      <c r="E24" s="102"/>
      <c r="F24" s="102"/>
      <c r="G24" s="102"/>
      <c r="H24" s="109"/>
      <c r="I24" s="109"/>
      <c r="J24" s="105"/>
      <c r="K24" s="106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AA24" s="107" t="s">
        <v>224</v>
      </c>
      <c r="AB24" s="85">
        <f>ROUND(AE20,-1)</f>
        <v>250</v>
      </c>
      <c r="AD24" s="112"/>
      <c r="AE24" s="112"/>
      <c r="AF24" s="112"/>
      <c r="AG24" s="85"/>
      <c r="AH24" s="85"/>
    </row>
    <row r="25" spans="2:34">
      <c r="B25" s="101"/>
      <c r="C25" s="102"/>
      <c r="D25" s="103"/>
      <c r="E25" s="102"/>
      <c r="F25" s="102"/>
      <c r="G25" s="102"/>
      <c r="H25" s="109"/>
      <c r="I25" s="109"/>
      <c r="J25" s="105"/>
      <c r="K25" s="106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AA25" s="107" t="s">
        <v>225</v>
      </c>
      <c r="AB25" s="85">
        <f>ROUND(AC20-AB23-AB24,-2)</f>
        <v>3600</v>
      </c>
      <c r="AD25" s="112"/>
      <c r="AE25" s="112"/>
      <c r="AF25" s="112"/>
      <c r="AG25" s="85"/>
      <c r="AH25" s="85"/>
    </row>
    <row r="26" spans="2:34">
      <c r="B26" s="101"/>
      <c r="C26" s="102"/>
      <c r="D26" s="103"/>
      <c r="E26" s="102"/>
      <c r="F26" s="102"/>
      <c r="G26" s="102"/>
      <c r="H26" s="109"/>
      <c r="I26" s="109"/>
      <c r="J26" s="105"/>
      <c r="K26" s="106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</row>
    <row r="27" spans="2:34">
      <c r="B27" s="101"/>
      <c r="C27" s="102"/>
      <c r="D27" s="103"/>
      <c r="E27" s="102"/>
      <c r="F27" s="102"/>
      <c r="G27" s="102"/>
      <c r="H27" s="109"/>
      <c r="I27" s="109"/>
      <c r="J27" s="105"/>
      <c r="K27" s="106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AB27" s="85"/>
      <c r="AC27" s="85"/>
    </row>
    <row r="28" spans="2:34"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</row>
    <row r="29" spans="2:34">
      <c r="B29" s="113"/>
      <c r="C29" s="113"/>
      <c r="D29" s="113"/>
      <c r="E29" s="113"/>
      <c r="F29" s="113"/>
      <c r="G29" s="113"/>
      <c r="H29" s="113"/>
      <c r="I29" s="113"/>
      <c r="J29" s="113"/>
      <c r="K29" s="106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</row>
    <row r="31" spans="2:34">
      <c r="B31" s="60" t="s">
        <v>160</v>
      </c>
      <c r="C31" s="60" t="s">
        <v>161</v>
      </c>
      <c r="D31" s="60" t="s">
        <v>162</v>
      </c>
      <c r="I31" s="84"/>
    </row>
    <row r="32" spans="2:34">
      <c r="B32" t="s">
        <v>10</v>
      </c>
      <c r="C32" s="56">
        <v>368.872052</v>
      </c>
      <c r="D32" s="27">
        <v>0.11817025447491648</v>
      </c>
    </row>
    <row r="33" spans="2:4">
      <c r="B33" t="s">
        <v>60</v>
      </c>
      <c r="C33" s="56">
        <v>53.036738999999997</v>
      </c>
      <c r="D33" s="27">
        <v>1.6990620216870558E-2</v>
      </c>
    </row>
    <row r="34" spans="2:4">
      <c r="B34" t="s">
        <v>28</v>
      </c>
      <c r="C34" s="56">
        <v>77.120838000000006</v>
      </c>
      <c r="D34" s="27">
        <v>2.4706097960977565E-2</v>
      </c>
    </row>
    <row r="35" spans="2:4">
      <c r="B35" t="s">
        <v>13</v>
      </c>
      <c r="C35" s="56">
        <v>171.04092800000001</v>
      </c>
      <c r="D35" s="27">
        <v>5.4793931602565189E-2</v>
      </c>
    </row>
    <row r="36" spans="2:4">
      <c r="B36" t="s">
        <v>31</v>
      </c>
      <c r="C36" s="56">
        <v>734.35812599999997</v>
      </c>
      <c r="D36" s="27">
        <v>0.23525579168882868</v>
      </c>
    </row>
    <row r="37" spans="2:4">
      <c r="B37" t="s">
        <v>61</v>
      </c>
      <c r="C37" s="56">
        <v>125.160636</v>
      </c>
      <c r="D37" s="27">
        <v>4.0095919780776437E-2</v>
      </c>
    </row>
    <row r="38" spans="2:4">
      <c r="B38" t="s">
        <v>30</v>
      </c>
      <c r="C38" s="56">
        <v>570.92948799999999</v>
      </c>
      <c r="D38" s="27">
        <v>0.18290050037239952</v>
      </c>
    </row>
    <row r="39" spans="2:4">
      <c r="B39" t="s">
        <v>29</v>
      </c>
      <c r="C39" s="56">
        <v>245.353161</v>
      </c>
      <c r="D39" s="27">
        <v>7.8600277018534212E-2</v>
      </c>
    </row>
    <row r="40" spans="2:4">
      <c r="B40" t="s">
        <v>16</v>
      </c>
      <c r="C40" s="56">
        <v>442.22405399999997</v>
      </c>
      <c r="D40" s="27">
        <v>0.14166898444263054</v>
      </c>
    </row>
    <row r="41" spans="2:4">
      <c r="B41" t="s">
        <v>9</v>
      </c>
      <c r="C41" s="56">
        <v>333.43446499999999</v>
      </c>
      <c r="D41" s="27">
        <v>0.10681762244150075</v>
      </c>
    </row>
    <row r="43" spans="2:4" ht="15">
      <c r="B43" s="63" t="s">
        <v>8</v>
      </c>
      <c r="C43" s="56">
        <v>3121.530487</v>
      </c>
      <c r="D43" s="27">
        <v>0.99999999999999989</v>
      </c>
    </row>
    <row r="53" spans="41:41">
      <c r="AO53" s="114"/>
    </row>
    <row r="55" spans="41:41">
      <c r="AO55">
        <f>250*0.35</f>
        <v>87.5</v>
      </c>
    </row>
    <row r="65" spans="2:6">
      <c r="B65" t="s">
        <v>226</v>
      </c>
    </row>
    <row r="66" spans="2:6">
      <c r="B66" s="60"/>
      <c r="C66" s="60" t="s">
        <v>183</v>
      </c>
      <c r="D66" s="60"/>
      <c r="E66" s="60"/>
      <c r="F66" s="60"/>
    </row>
    <row r="67" spans="2:6" ht="63.75">
      <c r="B67" s="86" t="s">
        <v>59</v>
      </c>
      <c r="C67" s="86" t="s">
        <v>184</v>
      </c>
      <c r="D67" s="86" t="s">
        <v>192</v>
      </c>
      <c r="E67" s="86" t="s">
        <v>227</v>
      </c>
      <c r="F67" s="86" t="s">
        <v>228</v>
      </c>
    </row>
    <row r="68" spans="2:6">
      <c r="B68" t="s">
        <v>10</v>
      </c>
      <c r="C68">
        <v>368872051.99999982</v>
      </c>
      <c r="D68">
        <v>4668687505.2413597</v>
      </c>
      <c r="E68">
        <v>1100061899.7549508</v>
      </c>
      <c r="F68" s="84">
        <f>E68/C68</f>
        <v>2.9822316269028462</v>
      </c>
    </row>
    <row r="69" spans="2:6">
      <c r="B69" t="s">
        <v>28</v>
      </c>
      <c r="C69">
        <v>77120838</v>
      </c>
      <c r="D69">
        <v>4393713121.4449034</v>
      </c>
      <c r="E69">
        <v>638922062.4629842</v>
      </c>
      <c r="F69" s="84">
        <f t="shared" ref="F69:F78" si="16">E69/C69</f>
        <v>8.2846877579699569</v>
      </c>
    </row>
    <row r="70" spans="2:6">
      <c r="B70" t="s">
        <v>13</v>
      </c>
      <c r="C70">
        <v>171040928</v>
      </c>
      <c r="D70">
        <v>2444170253.7682405</v>
      </c>
      <c r="E70">
        <v>452629373.12280977</v>
      </c>
      <c r="F70" s="84">
        <f t="shared" si="16"/>
        <v>2.6463220143590998</v>
      </c>
    </row>
    <row r="71" spans="2:6">
      <c r="B71" t="s">
        <v>31</v>
      </c>
      <c r="C71">
        <v>734358126.00000012</v>
      </c>
      <c r="D71">
        <v>11737708048.588659</v>
      </c>
      <c r="E71">
        <v>2004038597.2214136</v>
      </c>
      <c r="F71" s="84">
        <f t="shared" si="16"/>
        <v>2.7289663261946573</v>
      </c>
    </row>
    <row r="72" spans="2:6">
      <c r="B72" t="s">
        <v>9</v>
      </c>
      <c r="C72">
        <v>333434465.00000012</v>
      </c>
      <c r="D72">
        <v>4297150431.9264603</v>
      </c>
      <c r="E72">
        <v>1137162058.8059392</v>
      </c>
      <c r="F72" s="84">
        <f t="shared" si="16"/>
        <v>3.4104514624963524</v>
      </c>
    </row>
    <row r="73" spans="2:6">
      <c r="B73" t="s">
        <v>158</v>
      </c>
      <c r="C73">
        <v>125160635.99999996</v>
      </c>
      <c r="D73">
        <v>1909006704.8089726</v>
      </c>
      <c r="E73">
        <v>786953866.67380095</v>
      </c>
      <c r="F73" s="84">
        <f t="shared" si="16"/>
        <v>6.2875508772087194</v>
      </c>
    </row>
    <row r="74" spans="2:6">
      <c r="B74" t="s">
        <v>14</v>
      </c>
      <c r="C74">
        <v>53036739.000000015</v>
      </c>
      <c r="D74">
        <v>2428775287.5816765</v>
      </c>
      <c r="E74">
        <v>335802376.96390986</v>
      </c>
      <c r="F74" s="84">
        <f t="shared" si="16"/>
        <v>6.3315049774065066</v>
      </c>
    </row>
    <row r="75" spans="2:6">
      <c r="B75" t="s">
        <v>72</v>
      </c>
      <c r="C75">
        <v>570929487.99999964</v>
      </c>
      <c r="D75">
        <v>7286506717.5294113</v>
      </c>
      <c r="E75">
        <v>2869940756.7631569</v>
      </c>
      <c r="F75" s="84">
        <f t="shared" si="16"/>
        <v>5.026786699731927</v>
      </c>
    </row>
    <row r="76" spans="2:6">
      <c r="B76" t="s">
        <v>73</v>
      </c>
      <c r="C76">
        <v>245353160.99999994</v>
      </c>
      <c r="D76">
        <v>2350708502.6034951</v>
      </c>
      <c r="E76">
        <v>615895981.12574375</v>
      </c>
      <c r="F76" s="84">
        <f t="shared" si="16"/>
        <v>2.5102426991993956</v>
      </c>
    </row>
    <row r="77" spans="2:6">
      <c r="B77" t="s">
        <v>16</v>
      </c>
      <c r="C77">
        <v>442224054.00000012</v>
      </c>
      <c r="D77">
        <v>2675242807.9274745</v>
      </c>
      <c r="E77">
        <v>689437821.81522608</v>
      </c>
      <c r="F77" s="84">
        <f t="shared" si="16"/>
        <v>1.5590237925303492</v>
      </c>
    </row>
    <row r="78" spans="2:6">
      <c r="B78" t="s">
        <v>62</v>
      </c>
      <c r="C78">
        <v>3121530486.9999995</v>
      </c>
      <c r="D78">
        <v>44191669381.420647</v>
      </c>
      <c r="E78">
        <v>10630844794.709936</v>
      </c>
      <c r="F78" s="84">
        <f t="shared" si="16"/>
        <v>3.405651438928246</v>
      </c>
    </row>
    <row r="85" spans="2:6">
      <c r="B85" s="60"/>
      <c r="C85" s="60" t="s">
        <v>183</v>
      </c>
      <c r="D85" s="60"/>
      <c r="E85" s="60"/>
      <c r="F85" s="60"/>
    </row>
    <row r="86" spans="2:6" ht="63.75">
      <c r="B86" s="86" t="s">
        <v>59</v>
      </c>
      <c r="C86" s="86" t="s">
        <v>184</v>
      </c>
      <c r="D86" s="86" t="s">
        <v>185</v>
      </c>
      <c r="E86" s="86"/>
      <c r="F86" s="86" t="s">
        <v>229</v>
      </c>
    </row>
    <row r="87" spans="2:6">
      <c r="B87" t="s">
        <v>10</v>
      </c>
      <c r="C87">
        <v>368872051.99999982</v>
      </c>
      <c r="D87">
        <v>1094761606841.2856</v>
      </c>
      <c r="F87" s="85">
        <f>D87/C87</f>
        <v>2967.8627071516012</v>
      </c>
    </row>
    <row r="88" spans="2:6">
      <c r="B88" t="s">
        <v>28</v>
      </c>
      <c r="C88">
        <v>77120838</v>
      </c>
      <c r="D88">
        <v>553801118359.5459</v>
      </c>
      <c r="F88" s="85">
        <f t="shared" ref="F88:F97" si="17">D88/C88</f>
        <v>7180.9530695134035</v>
      </c>
    </row>
    <row r="89" spans="2:6">
      <c r="B89" t="s">
        <v>13</v>
      </c>
      <c r="C89">
        <v>171040928</v>
      </c>
      <c r="D89">
        <v>500136070929.47839</v>
      </c>
      <c r="F89" s="85">
        <f t="shared" si="17"/>
        <v>2924.0724824030326</v>
      </c>
    </row>
    <row r="90" spans="2:6">
      <c r="B90" t="s">
        <v>31</v>
      </c>
      <c r="C90">
        <v>734358126.00000012</v>
      </c>
      <c r="D90">
        <v>2200819763871.9766</v>
      </c>
      <c r="F90" s="85">
        <f t="shared" si="17"/>
        <v>2996.929816600104</v>
      </c>
    </row>
    <row r="91" spans="2:6">
      <c r="B91" t="s">
        <v>9</v>
      </c>
      <c r="C91">
        <v>333434465.00000012</v>
      </c>
      <c r="D91">
        <v>1350336162039.7439</v>
      </c>
      <c r="F91" s="85">
        <f t="shared" si="17"/>
        <v>4049.7798031758457</v>
      </c>
    </row>
    <row r="92" spans="2:6">
      <c r="B92" t="s">
        <v>158</v>
      </c>
      <c r="C92">
        <v>125160635.99999996</v>
      </c>
      <c r="D92">
        <v>704542851935.89941</v>
      </c>
      <c r="F92" s="85">
        <f t="shared" si="17"/>
        <v>5629.1089151696196</v>
      </c>
    </row>
    <row r="93" spans="2:6">
      <c r="B93" t="s">
        <v>14</v>
      </c>
      <c r="C93">
        <v>53036739.000000015</v>
      </c>
      <c r="D93">
        <v>286709637275.71747</v>
      </c>
      <c r="F93" s="85">
        <f t="shared" si="17"/>
        <v>5405.868510801869</v>
      </c>
    </row>
    <row r="94" spans="2:6">
      <c r="B94" t="s">
        <v>72</v>
      </c>
      <c r="C94">
        <v>570929487.99999964</v>
      </c>
      <c r="D94">
        <v>2412121091488.2314</v>
      </c>
      <c r="F94" s="85">
        <f t="shared" si="17"/>
        <v>4224.9019225439497</v>
      </c>
    </row>
    <row r="95" spans="2:6">
      <c r="B95" t="s">
        <v>73</v>
      </c>
      <c r="C95">
        <v>245353160.99999994</v>
      </c>
      <c r="D95">
        <v>658429386690.96106</v>
      </c>
      <c r="F95" s="85">
        <f t="shared" si="17"/>
        <v>2683.598548342979</v>
      </c>
    </row>
    <row r="96" spans="2:6">
      <c r="B96" t="s">
        <v>16</v>
      </c>
      <c r="C96">
        <v>442224054.00000012</v>
      </c>
      <c r="D96">
        <v>1180656862405.7065</v>
      </c>
      <c r="F96" s="85">
        <f t="shared" si="17"/>
        <v>2669.8160168503773</v>
      </c>
    </row>
    <row r="97" spans="2:6">
      <c r="B97" t="s">
        <v>62</v>
      </c>
      <c r="C97">
        <v>3121530486.9999995</v>
      </c>
      <c r="D97">
        <v>10942314551838.547</v>
      </c>
      <c r="F97" s="85">
        <f t="shared" si="17"/>
        <v>3505.4325425970278</v>
      </c>
    </row>
  </sheetData>
  <mergeCells count="1">
    <mergeCell ref="C8:G8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9">
    <tabColor rgb="FFFF0000"/>
  </sheetPr>
  <dimension ref="A1:AD116"/>
  <sheetViews>
    <sheetView tabSelected="1" topLeftCell="A73" workbookViewId="0">
      <selection activeCell="P101" sqref="P101"/>
    </sheetView>
  </sheetViews>
  <sheetFormatPr defaultRowHeight="12.75"/>
  <cols>
    <col min="1" max="1" width="3.85546875" customWidth="1"/>
    <col min="3" max="3" width="9" customWidth="1"/>
    <col min="4" max="4" width="18" customWidth="1"/>
    <col min="5" max="5" width="31" customWidth="1"/>
    <col min="6" max="6" width="12.28515625" customWidth="1"/>
    <col min="7" max="7" width="13.5703125" customWidth="1"/>
    <col min="8" max="16" width="12.28515625" customWidth="1"/>
    <col min="18" max="18" width="26.85546875" customWidth="1"/>
    <col min="19" max="22" width="13.5703125" customWidth="1"/>
    <col min="23" max="29" width="14.28515625" customWidth="1"/>
  </cols>
  <sheetData>
    <row r="1" spans="1:30">
      <c r="A1" s="323" t="s">
        <v>415</v>
      </c>
      <c r="B1" s="322"/>
      <c r="C1" s="322"/>
      <c r="D1" s="322"/>
      <c r="E1" s="322"/>
      <c r="F1" t="s">
        <v>417</v>
      </c>
    </row>
    <row r="4" spans="1:30">
      <c r="E4" s="309" t="s">
        <v>403</v>
      </c>
      <c r="F4" s="310"/>
      <c r="G4" s="310"/>
      <c r="H4" s="310"/>
      <c r="I4" s="310"/>
      <c r="K4" s="83" t="s">
        <v>355</v>
      </c>
      <c r="L4" s="83"/>
      <c r="M4" s="83" t="s">
        <v>356</v>
      </c>
    </row>
    <row r="5" spans="1:30" ht="15">
      <c r="E5" s="280" t="s">
        <v>350</v>
      </c>
    </row>
    <row r="6" spans="1:30">
      <c r="E6" s="60"/>
      <c r="F6" s="60" t="s">
        <v>58</v>
      </c>
      <c r="G6" s="60"/>
      <c r="H6" s="60"/>
      <c r="I6" s="60"/>
      <c r="J6" s="60"/>
      <c r="K6" s="60"/>
      <c r="L6" s="60"/>
      <c r="M6" s="60"/>
      <c r="N6" s="60"/>
      <c r="O6" s="60"/>
      <c r="P6" s="60"/>
    </row>
    <row r="7" spans="1:30" ht="15">
      <c r="E7" s="281"/>
      <c r="F7" s="282" t="s">
        <v>31</v>
      </c>
      <c r="G7" s="282" t="s">
        <v>30</v>
      </c>
      <c r="H7" s="282" t="s">
        <v>29</v>
      </c>
      <c r="I7" s="282" t="s">
        <v>16</v>
      </c>
      <c r="J7" s="282" t="s">
        <v>28</v>
      </c>
      <c r="K7" s="282" t="s">
        <v>60</v>
      </c>
      <c r="L7" s="282" t="s">
        <v>13</v>
      </c>
      <c r="M7" s="282" t="s">
        <v>61</v>
      </c>
      <c r="N7" s="282" t="s">
        <v>10</v>
      </c>
      <c r="O7" s="282" t="s">
        <v>9</v>
      </c>
      <c r="P7" s="282" t="s">
        <v>8</v>
      </c>
    </row>
    <row r="8" spans="1:30" ht="15">
      <c r="E8" s="281" t="s">
        <v>351</v>
      </c>
      <c r="F8" s="283">
        <v>734.35812599999997</v>
      </c>
      <c r="G8" s="283">
        <v>570.92948799999999</v>
      </c>
      <c r="H8" s="283">
        <v>245.353161</v>
      </c>
      <c r="I8" s="283">
        <v>442.22405399999997</v>
      </c>
      <c r="J8" s="283">
        <v>77.120838000000006</v>
      </c>
      <c r="K8" s="283">
        <v>53.036738999999997</v>
      </c>
      <c r="L8" s="283">
        <v>171.04092800000001</v>
      </c>
      <c r="M8" s="283">
        <v>125.160636</v>
      </c>
      <c r="N8" s="283">
        <v>368.872052</v>
      </c>
      <c r="O8" s="283">
        <v>333.43446499999999</v>
      </c>
      <c r="P8" s="283">
        <v>3121.530487</v>
      </c>
    </row>
    <row r="9" spans="1:30" ht="15">
      <c r="E9" s="284" t="s">
        <v>352</v>
      </c>
      <c r="F9" s="285">
        <v>650.54001137797991</v>
      </c>
      <c r="G9" s="285">
        <v>564.9112233943406</v>
      </c>
      <c r="H9" s="285">
        <v>242.20078207390807</v>
      </c>
      <c r="I9" s="285">
        <v>442.22405399999974</v>
      </c>
      <c r="J9" s="285">
        <v>77.120838000000035</v>
      </c>
      <c r="K9" s="285">
        <v>53.036739000000026</v>
      </c>
      <c r="L9" s="285">
        <v>162.45541231101569</v>
      </c>
      <c r="M9" s="285">
        <v>121.63171042753739</v>
      </c>
      <c r="N9" s="285">
        <v>361.05331650725986</v>
      </c>
      <c r="O9" s="285">
        <v>298.97088139499664</v>
      </c>
      <c r="P9" s="286">
        <v>2974.1449684870377</v>
      </c>
    </row>
    <row r="10" spans="1:30" ht="15">
      <c r="E10" s="295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R10" t="s">
        <v>369</v>
      </c>
    </row>
    <row r="11" spans="1:30" ht="30">
      <c r="E11" s="296" t="s">
        <v>59</v>
      </c>
      <c r="F11" s="296" t="s">
        <v>31</v>
      </c>
      <c r="G11" s="296" t="s">
        <v>72</v>
      </c>
      <c r="H11" s="296" t="s">
        <v>73</v>
      </c>
      <c r="I11" s="296" t="s">
        <v>16</v>
      </c>
      <c r="J11" s="296" t="s">
        <v>28</v>
      </c>
      <c r="K11" s="296" t="s">
        <v>14</v>
      </c>
      <c r="L11" s="296" t="s">
        <v>13</v>
      </c>
      <c r="M11" s="296" t="s">
        <v>158</v>
      </c>
      <c r="N11" s="296" t="s">
        <v>10</v>
      </c>
      <c r="O11" s="296" t="s">
        <v>9</v>
      </c>
      <c r="P11" s="296" t="s">
        <v>62</v>
      </c>
      <c r="R11" s="296" t="s">
        <v>59</v>
      </c>
      <c r="S11" s="296" t="s">
        <v>31</v>
      </c>
      <c r="T11" s="296" t="s">
        <v>72</v>
      </c>
      <c r="U11" s="296" t="s">
        <v>73</v>
      </c>
      <c r="V11" s="296" t="s">
        <v>16</v>
      </c>
      <c r="W11" s="296" t="s">
        <v>28</v>
      </c>
      <c r="X11" s="296" t="s">
        <v>14</v>
      </c>
      <c r="Y11" s="296" t="s">
        <v>13</v>
      </c>
      <c r="Z11" s="296" t="s">
        <v>158</v>
      </c>
      <c r="AA11" s="296" t="s">
        <v>10</v>
      </c>
      <c r="AB11" s="296" t="s">
        <v>9</v>
      </c>
      <c r="AC11" s="296" t="s">
        <v>62</v>
      </c>
    </row>
    <row r="12" spans="1:30" ht="15">
      <c r="E12" s="287" t="s">
        <v>156</v>
      </c>
      <c r="F12" s="288">
        <v>0.89265208505377747</v>
      </c>
      <c r="G12" s="288">
        <v>0.80039535872978607</v>
      </c>
      <c r="H12" s="288">
        <v>0.79658466874815104</v>
      </c>
      <c r="I12" s="288">
        <v>0.34259427849965418</v>
      </c>
      <c r="J12" s="288">
        <v>0.91887021725604701</v>
      </c>
      <c r="K12" s="288">
        <v>0.48270543710831715</v>
      </c>
      <c r="L12" s="288">
        <v>0.17396844578344389</v>
      </c>
      <c r="M12" s="288">
        <v>0.45317444294711062</v>
      </c>
      <c r="N12" s="288">
        <v>0.54300492183257376</v>
      </c>
      <c r="O12" s="288">
        <v>0.60657864790717986</v>
      </c>
      <c r="P12" s="288">
        <v>0.65045444737987124</v>
      </c>
      <c r="R12" s="287" t="s">
        <v>156</v>
      </c>
      <c r="S12" s="300">
        <f>F12*1000</f>
        <v>892.65208505377745</v>
      </c>
      <c r="T12" s="300">
        <f t="shared" ref="T12:AC27" si="0">G12*1000</f>
        <v>800.39535872978604</v>
      </c>
      <c r="U12" s="300">
        <f t="shared" si="0"/>
        <v>796.58466874815099</v>
      </c>
      <c r="V12" s="300">
        <f t="shared" si="0"/>
        <v>342.59427849965419</v>
      </c>
      <c r="W12" s="300">
        <f t="shared" si="0"/>
        <v>918.870217256047</v>
      </c>
      <c r="X12" s="300">
        <f t="shared" si="0"/>
        <v>482.70543710831714</v>
      </c>
      <c r="Y12" s="300">
        <f t="shared" si="0"/>
        <v>173.96844578344388</v>
      </c>
      <c r="Z12" s="300">
        <f t="shared" si="0"/>
        <v>453.17444294711061</v>
      </c>
      <c r="AA12" s="300">
        <f t="shared" si="0"/>
        <v>543.00492183257381</v>
      </c>
      <c r="AB12" s="300">
        <f t="shared" si="0"/>
        <v>606.57864790717986</v>
      </c>
      <c r="AC12" s="300">
        <f t="shared" si="0"/>
        <v>650.45444737987123</v>
      </c>
      <c r="AD12" s="56"/>
    </row>
    <row r="13" spans="1:30">
      <c r="E13" s="289" t="s">
        <v>63</v>
      </c>
      <c r="F13" s="180">
        <v>0.10993314187801481</v>
      </c>
      <c r="G13" s="180">
        <v>0.12775543857134913</v>
      </c>
      <c r="H13" s="180">
        <v>7.0796672144830014E-2</v>
      </c>
      <c r="I13" s="180">
        <v>0.12374227415734916</v>
      </c>
      <c r="J13" s="180">
        <v>4.3154610844039591E-2</v>
      </c>
      <c r="K13" s="180">
        <v>0.21313246598756494</v>
      </c>
      <c r="L13" s="180">
        <v>2.2180937561898408E-2</v>
      </c>
      <c r="M13" s="180">
        <v>0.18689973570485161</v>
      </c>
      <c r="N13" s="180">
        <v>0.12832696169150087</v>
      </c>
      <c r="O13" s="75">
        <v>8.102356762228427E-2</v>
      </c>
      <c r="P13" s="75">
        <v>0.10997449437640613</v>
      </c>
      <c r="R13" s="289" t="s">
        <v>63</v>
      </c>
      <c r="S13" s="56">
        <f t="shared" ref="S13:S44" si="1">F13*1000</f>
        <v>109.93314187801481</v>
      </c>
      <c r="T13" s="56">
        <f t="shared" si="0"/>
        <v>127.75543857134913</v>
      </c>
      <c r="U13" s="56">
        <f t="shared" si="0"/>
        <v>70.796672144830012</v>
      </c>
      <c r="V13" s="56">
        <f t="shared" si="0"/>
        <v>123.74227415734916</v>
      </c>
      <c r="W13" s="56">
        <f t="shared" si="0"/>
        <v>43.154610844039588</v>
      </c>
      <c r="X13" s="56">
        <f t="shared" si="0"/>
        <v>213.13246598756493</v>
      </c>
      <c r="Y13" s="56">
        <f t="shared" si="0"/>
        <v>22.180937561898407</v>
      </c>
      <c r="Z13" s="56">
        <f t="shared" si="0"/>
        <v>186.89973570485159</v>
      </c>
      <c r="AA13" s="56">
        <f t="shared" si="0"/>
        <v>128.32696169150088</v>
      </c>
      <c r="AB13" s="56">
        <f t="shared" si="0"/>
        <v>81.023567622284276</v>
      </c>
      <c r="AC13" s="56">
        <f t="shared" si="0"/>
        <v>109.97449437640613</v>
      </c>
      <c r="AD13" s="56"/>
    </row>
    <row r="14" spans="1:30">
      <c r="E14" s="289" t="s">
        <v>150</v>
      </c>
      <c r="F14" s="180">
        <v>7.4250979109861767E-2</v>
      </c>
      <c r="G14" s="180">
        <v>3.1240134876229182E-2</v>
      </c>
      <c r="H14" s="180">
        <v>0.10328555129502368</v>
      </c>
      <c r="I14" s="180">
        <v>3.5155197882754292E-2</v>
      </c>
      <c r="J14" s="180">
        <v>1.7113647884170729E-4</v>
      </c>
      <c r="K14" s="180">
        <v>1.2972266191725948E-3</v>
      </c>
      <c r="L14" s="180">
        <v>5.9593342306508128E-3</v>
      </c>
      <c r="M14" s="180">
        <v>1.0136511291651955E-2</v>
      </c>
      <c r="N14" s="180">
        <v>4.7075493566841528E-2</v>
      </c>
      <c r="O14" s="75">
        <v>8.2117986527268996E-2</v>
      </c>
      <c r="P14" s="75">
        <v>5.0550376219154411E-2</v>
      </c>
      <c r="R14" s="289" t="s">
        <v>150</v>
      </c>
      <c r="S14" s="56">
        <f t="shared" si="1"/>
        <v>74.250979109861774</v>
      </c>
      <c r="T14" s="56">
        <f t="shared" si="0"/>
        <v>31.240134876229181</v>
      </c>
      <c r="U14" s="56">
        <f t="shared" si="0"/>
        <v>103.28555129502368</v>
      </c>
      <c r="V14" s="56">
        <f t="shared" si="0"/>
        <v>35.155197882754294</v>
      </c>
      <c r="W14" s="56">
        <f t="shared" si="0"/>
        <v>0.1711364788417073</v>
      </c>
      <c r="X14" s="56">
        <f t="shared" si="0"/>
        <v>1.2972266191725947</v>
      </c>
      <c r="Y14" s="56">
        <f t="shared" si="0"/>
        <v>5.9593342306508132</v>
      </c>
      <c r="Z14" s="56">
        <f t="shared" si="0"/>
        <v>10.136511291651955</v>
      </c>
      <c r="AA14" s="56">
        <f t="shared" si="0"/>
        <v>47.07549356684153</v>
      </c>
      <c r="AB14" s="56">
        <f t="shared" si="0"/>
        <v>82.117986527268997</v>
      </c>
      <c r="AC14" s="56">
        <f t="shared" si="0"/>
        <v>50.550376219154408</v>
      </c>
      <c r="AD14" s="56"/>
    </row>
    <row r="15" spans="1:30">
      <c r="E15" s="289" t="s">
        <v>151</v>
      </c>
      <c r="F15" s="180">
        <v>0.70846796406590096</v>
      </c>
      <c r="G15" s="180">
        <v>0.64139978528220776</v>
      </c>
      <c r="H15" s="180">
        <v>0.62250244530829735</v>
      </c>
      <c r="I15" s="180">
        <v>0.18369680645955069</v>
      </c>
      <c r="J15" s="180">
        <v>0.8755444699331657</v>
      </c>
      <c r="K15" s="180">
        <v>0.26827574450157959</v>
      </c>
      <c r="L15" s="180">
        <v>0.14582817399089468</v>
      </c>
      <c r="M15" s="180">
        <v>0.25613819595060705</v>
      </c>
      <c r="N15" s="180">
        <v>0.3676024665742314</v>
      </c>
      <c r="O15" s="75">
        <v>0.44343709375762663</v>
      </c>
      <c r="P15" s="75">
        <v>0.48992957678431065</v>
      </c>
      <c r="R15" s="289" t="s">
        <v>151</v>
      </c>
      <c r="S15" s="56">
        <f t="shared" si="1"/>
        <v>708.4679640659009</v>
      </c>
      <c r="T15" s="56">
        <f t="shared" si="0"/>
        <v>641.39978528220774</v>
      </c>
      <c r="U15" s="56">
        <f t="shared" si="0"/>
        <v>622.5024453082973</v>
      </c>
      <c r="V15" s="56">
        <f t="shared" si="0"/>
        <v>183.69680645955069</v>
      </c>
      <c r="W15" s="56">
        <f t="shared" si="0"/>
        <v>875.54446993316571</v>
      </c>
      <c r="X15" s="56">
        <f t="shared" si="0"/>
        <v>268.2757445015796</v>
      </c>
      <c r="Y15" s="56">
        <f t="shared" si="0"/>
        <v>145.82817399089467</v>
      </c>
      <c r="Z15" s="56">
        <f t="shared" si="0"/>
        <v>256.13819595060704</v>
      </c>
      <c r="AA15" s="56">
        <f t="shared" si="0"/>
        <v>367.60246657423141</v>
      </c>
      <c r="AB15" s="56">
        <f t="shared" si="0"/>
        <v>443.43709375762666</v>
      </c>
      <c r="AC15" s="56">
        <f t="shared" si="0"/>
        <v>489.92957678431065</v>
      </c>
      <c r="AD15" s="56"/>
    </row>
    <row r="16" spans="1:30" ht="15">
      <c r="E16" s="287" t="s">
        <v>157</v>
      </c>
      <c r="F16" s="288">
        <v>7.6033780758022043E-2</v>
      </c>
      <c r="G16" s="288">
        <v>3.9642526591318547E-2</v>
      </c>
      <c r="H16" s="288">
        <v>2.6787206397653217E-2</v>
      </c>
      <c r="I16" s="288">
        <v>1.2472966601277937E-3</v>
      </c>
      <c r="J16" s="288">
        <v>3.8736208757710259E-3</v>
      </c>
      <c r="K16" s="288">
        <v>0.26536178029944008</v>
      </c>
      <c r="L16" s="288">
        <v>0.15908567361884271</v>
      </c>
      <c r="M16" s="288">
        <v>9.288679997741113E-2</v>
      </c>
      <c r="N16" s="288">
        <v>0.1038669283725924</v>
      </c>
      <c r="O16" s="288">
        <v>6.9003865651600618E-2</v>
      </c>
      <c r="P16" s="288">
        <v>6.3394222085044152E-2</v>
      </c>
      <c r="R16" s="287" t="s">
        <v>157</v>
      </c>
      <c r="S16" s="300">
        <f t="shared" si="1"/>
        <v>76.033780758022047</v>
      </c>
      <c r="T16" s="300">
        <f t="shared" si="0"/>
        <v>39.64252659131855</v>
      </c>
      <c r="U16" s="300">
        <f t="shared" si="0"/>
        <v>26.787206397653218</v>
      </c>
      <c r="V16" s="300">
        <f t="shared" si="0"/>
        <v>1.2472966601277937</v>
      </c>
      <c r="W16" s="300">
        <f t="shared" si="0"/>
        <v>3.8736208757710258</v>
      </c>
      <c r="X16" s="300">
        <f t="shared" si="0"/>
        <v>265.36178029944006</v>
      </c>
      <c r="Y16" s="300">
        <f t="shared" si="0"/>
        <v>159.08567361884272</v>
      </c>
      <c r="Z16" s="300">
        <f t="shared" si="0"/>
        <v>92.88679997741113</v>
      </c>
      <c r="AA16" s="300">
        <f t="shared" si="0"/>
        <v>103.8669283725924</v>
      </c>
      <c r="AB16" s="300">
        <f t="shared" si="0"/>
        <v>69.00386565160062</v>
      </c>
      <c r="AC16" s="300">
        <f t="shared" si="0"/>
        <v>63.394222085044156</v>
      </c>
      <c r="AD16" s="56"/>
    </row>
    <row r="17" spans="5:30">
      <c r="E17" s="289" t="s">
        <v>41</v>
      </c>
      <c r="F17" s="180">
        <v>5.6236312858350644E-2</v>
      </c>
      <c r="G17" s="180">
        <v>1.9600546245511608E-2</v>
      </c>
      <c r="H17" s="180">
        <v>2.4242192774748404E-2</v>
      </c>
      <c r="I17" s="180">
        <v>9.3532086806910923E-4</v>
      </c>
      <c r="J17" s="180">
        <v>2.7809191982370225E-3</v>
      </c>
      <c r="K17" s="180">
        <v>5.7376804036138561E-2</v>
      </c>
      <c r="L17" s="180">
        <v>6.118037491803429E-2</v>
      </c>
      <c r="M17" s="180">
        <v>4.3995759298312467E-2</v>
      </c>
      <c r="N17" s="180">
        <v>4.7419538538205588E-2</v>
      </c>
      <c r="O17" s="75">
        <v>3.0072928316758087E-2</v>
      </c>
      <c r="P17" s="180">
        <v>3.3152875893385871E-2</v>
      </c>
      <c r="R17" s="289" t="s">
        <v>41</v>
      </c>
      <c r="S17" s="56">
        <f t="shared" si="1"/>
        <v>56.236312858350644</v>
      </c>
      <c r="T17" s="56">
        <f t="shared" si="0"/>
        <v>19.600546245511609</v>
      </c>
      <c r="U17" s="56">
        <f t="shared" si="0"/>
        <v>24.242192774748403</v>
      </c>
      <c r="V17" s="56">
        <f t="shared" si="0"/>
        <v>0.93532086806910919</v>
      </c>
      <c r="W17" s="56">
        <f t="shared" si="0"/>
        <v>2.7809191982370223</v>
      </c>
      <c r="X17" s="56">
        <f t="shared" si="0"/>
        <v>57.376804036138559</v>
      </c>
      <c r="Y17" s="56">
        <f t="shared" si="0"/>
        <v>61.180374918034289</v>
      </c>
      <c r="Z17" s="56">
        <f t="shared" si="0"/>
        <v>43.995759298312464</v>
      </c>
      <c r="AA17" s="56">
        <f t="shared" si="0"/>
        <v>47.419538538205586</v>
      </c>
      <c r="AB17" s="56">
        <f t="shared" si="0"/>
        <v>30.072928316758087</v>
      </c>
      <c r="AC17" s="56">
        <f t="shared" si="0"/>
        <v>33.152875893385868</v>
      </c>
      <c r="AD17" s="56"/>
    </row>
    <row r="18" spans="5:30">
      <c r="E18" s="289" t="s">
        <v>33</v>
      </c>
      <c r="F18" s="180">
        <v>1.5083139071286788E-4</v>
      </c>
      <c r="G18" s="180">
        <v>1.5194298568302221E-3</v>
      </c>
      <c r="H18" s="180">
        <v>0</v>
      </c>
      <c r="I18" s="180">
        <v>0</v>
      </c>
      <c r="J18" s="180">
        <v>0</v>
      </c>
      <c r="K18" s="180">
        <v>0</v>
      </c>
      <c r="L18" s="180">
        <v>1.6042444412488793E-3</v>
      </c>
      <c r="M18" s="180">
        <v>0</v>
      </c>
      <c r="N18" s="180">
        <v>7.9187441348620667E-4</v>
      </c>
      <c r="O18" s="75">
        <v>1.5991651796965198E-2</v>
      </c>
      <c r="P18" s="180">
        <v>2.1128862945805956E-3</v>
      </c>
      <c r="R18" s="289" t="s">
        <v>33</v>
      </c>
      <c r="S18" s="56">
        <f t="shared" si="1"/>
        <v>0.15083139071286789</v>
      </c>
      <c r="T18" s="56">
        <f t="shared" si="0"/>
        <v>1.519429856830222</v>
      </c>
      <c r="U18" s="56">
        <f t="shared" si="0"/>
        <v>0</v>
      </c>
      <c r="V18" s="56">
        <f t="shared" si="0"/>
        <v>0</v>
      </c>
      <c r="W18" s="56">
        <f t="shared" si="0"/>
        <v>0</v>
      </c>
      <c r="X18" s="56">
        <f t="shared" si="0"/>
        <v>0</v>
      </c>
      <c r="Y18" s="56">
        <f t="shared" si="0"/>
        <v>1.6042444412488794</v>
      </c>
      <c r="Z18" s="56">
        <f t="shared" si="0"/>
        <v>0</v>
      </c>
      <c r="AA18" s="56">
        <f t="shared" si="0"/>
        <v>0.79187441348620669</v>
      </c>
      <c r="AB18" s="56">
        <f t="shared" si="0"/>
        <v>15.991651796965197</v>
      </c>
      <c r="AC18" s="56">
        <f t="shared" si="0"/>
        <v>2.1128862945805955</v>
      </c>
      <c r="AD18" s="56"/>
    </row>
    <row r="19" spans="5:30">
      <c r="E19" s="289" t="s">
        <v>65</v>
      </c>
      <c r="F19" s="180">
        <v>1.8948777296166203E-2</v>
      </c>
      <c r="G19" s="180">
        <v>1.8037923014209298E-2</v>
      </c>
      <c r="H19" s="180">
        <v>1.1735669323204273E-3</v>
      </c>
      <c r="I19" s="180">
        <v>2.9226711695802565E-4</v>
      </c>
      <c r="J19" s="180">
        <v>7.9270362844686808E-4</v>
      </c>
      <c r="K19" s="180">
        <v>0.2063759949801787</v>
      </c>
      <c r="L19" s="180">
        <v>9.3476475232722359E-2</v>
      </c>
      <c r="M19" s="180">
        <v>4.8891040679098656E-2</v>
      </c>
      <c r="N19" s="180">
        <v>5.1441040523092785E-2</v>
      </c>
      <c r="O19" s="75">
        <v>2.1964316333242799E-2</v>
      </c>
      <c r="P19" s="180">
        <v>2.6968760251960624E-2</v>
      </c>
      <c r="R19" s="289" t="s">
        <v>65</v>
      </c>
      <c r="S19" s="56">
        <f t="shared" si="1"/>
        <v>18.948777296166202</v>
      </c>
      <c r="T19" s="56">
        <f t="shared" si="0"/>
        <v>18.037923014209298</v>
      </c>
      <c r="U19" s="56">
        <f t="shared" si="0"/>
        <v>1.1735669323204272</v>
      </c>
      <c r="V19" s="56">
        <f t="shared" si="0"/>
        <v>0.29226711695802565</v>
      </c>
      <c r="W19" s="56">
        <f t="shared" si="0"/>
        <v>0.79270362844686804</v>
      </c>
      <c r="X19" s="56">
        <f t="shared" si="0"/>
        <v>206.37599498017869</v>
      </c>
      <c r="Y19" s="56">
        <f t="shared" si="0"/>
        <v>93.476475232722365</v>
      </c>
      <c r="Z19" s="56">
        <f t="shared" si="0"/>
        <v>48.891040679098658</v>
      </c>
      <c r="AA19" s="56">
        <f t="shared" si="0"/>
        <v>51.441040523092788</v>
      </c>
      <c r="AB19" s="56">
        <f t="shared" si="0"/>
        <v>21.964316333242799</v>
      </c>
      <c r="AC19" s="56">
        <f t="shared" si="0"/>
        <v>26.968760251960624</v>
      </c>
      <c r="AD19" s="56"/>
    </row>
    <row r="20" spans="5:30">
      <c r="E20" s="289" t="s">
        <v>66</v>
      </c>
      <c r="F20" s="180">
        <v>6.9785921279232055E-4</v>
      </c>
      <c r="G20" s="180">
        <v>4.8462747476742541E-4</v>
      </c>
      <c r="H20" s="180">
        <v>1.3714466905843895E-3</v>
      </c>
      <c r="I20" s="180">
        <v>1.9708675100658897E-5</v>
      </c>
      <c r="J20" s="180">
        <v>2.9999804908713529E-4</v>
      </c>
      <c r="K20" s="180">
        <v>1.608981283122819E-3</v>
      </c>
      <c r="L20" s="180">
        <v>2.8245790268371729E-3</v>
      </c>
      <c r="M20" s="180">
        <v>0</v>
      </c>
      <c r="N20" s="180">
        <v>4.2144748978078265E-3</v>
      </c>
      <c r="O20" s="75">
        <v>9.7496920463453892E-4</v>
      </c>
      <c r="P20" s="180">
        <v>1.1596996451170604E-3</v>
      </c>
      <c r="R20" s="289" t="s">
        <v>66</v>
      </c>
      <c r="S20" s="56">
        <f t="shared" si="1"/>
        <v>0.69785921279232055</v>
      </c>
      <c r="T20" s="56">
        <f t="shared" si="0"/>
        <v>0.4846274747674254</v>
      </c>
      <c r="U20" s="56">
        <f t="shared" si="0"/>
        <v>1.3714466905843894</v>
      </c>
      <c r="V20" s="56">
        <f t="shared" si="0"/>
        <v>1.9708675100658896E-2</v>
      </c>
      <c r="W20" s="56">
        <f t="shared" si="0"/>
        <v>0.29999804908713529</v>
      </c>
      <c r="X20" s="56">
        <f t="shared" si="0"/>
        <v>1.608981283122819</v>
      </c>
      <c r="Y20" s="56">
        <f t="shared" si="0"/>
        <v>2.8245790268371729</v>
      </c>
      <c r="Z20" s="56">
        <f t="shared" si="0"/>
        <v>0</v>
      </c>
      <c r="AA20" s="56">
        <f t="shared" si="0"/>
        <v>4.2144748978078264</v>
      </c>
      <c r="AB20" s="56">
        <f t="shared" si="0"/>
        <v>0.97496920463453896</v>
      </c>
      <c r="AC20" s="56">
        <f t="shared" si="0"/>
        <v>1.1596996451170605</v>
      </c>
      <c r="AD20" s="56"/>
    </row>
    <row r="21" spans="5:30" ht="15">
      <c r="E21" s="287" t="s">
        <v>154</v>
      </c>
      <c r="F21" s="288">
        <v>7.1825433527574947E-3</v>
      </c>
      <c r="G21" s="288">
        <v>9.9046695294564946E-2</v>
      </c>
      <c r="H21" s="288">
        <v>2.881365617849498E-3</v>
      </c>
      <c r="I21" s="288">
        <v>4.7848384911336672E-3</v>
      </c>
      <c r="J21" s="288">
        <v>7.06476546169124E-2</v>
      </c>
      <c r="K21" s="288">
        <v>8.5634896349202488E-2</v>
      </c>
      <c r="L21" s="288">
        <v>2.8417359221847762E-2</v>
      </c>
      <c r="M21" s="288">
        <v>1.9736346187085491E-2</v>
      </c>
      <c r="N21" s="288">
        <v>6.645481469646132E-2</v>
      </c>
      <c r="O21" s="288">
        <v>3.0211020174364882E-2</v>
      </c>
      <c r="P21" s="288">
        <v>3.8152891143768991E-2</v>
      </c>
      <c r="R21" s="287" t="s">
        <v>154</v>
      </c>
      <c r="S21" s="300">
        <f t="shared" si="1"/>
        <v>7.1825433527574942</v>
      </c>
      <c r="T21" s="300">
        <f t="shared" si="0"/>
        <v>99.046695294564941</v>
      </c>
      <c r="U21" s="300">
        <f t="shared" si="0"/>
        <v>2.881365617849498</v>
      </c>
      <c r="V21" s="300">
        <f t="shared" si="0"/>
        <v>4.7848384911336668</v>
      </c>
      <c r="W21" s="300">
        <f t="shared" si="0"/>
        <v>70.647654616912405</v>
      </c>
      <c r="X21" s="300">
        <f t="shared" si="0"/>
        <v>85.634896349202492</v>
      </c>
      <c r="Y21" s="300">
        <f t="shared" si="0"/>
        <v>28.417359221847761</v>
      </c>
      <c r="Z21" s="300">
        <f t="shared" si="0"/>
        <v>19.736346187085491</v>
      </c>
      <c r="AA21" s="300">
        <f t="shared" si="0"/>
        <v>66.454814696461327</v>
      </c>
      <c r="AB21" s="300">
        <f t="shared" si="0"/>
        <v>30.211020174364883</v>
      </c>
      <c r="AC21" s="300">
        <f t="shared" si="0"/>
        <v>38.15289114376899</v>
      </c>
      <c r="AD21" s="56"/>
    </row>
    <row r="22" spans="5:30">
      <c r="E22" s="289" t="s">
        <v>41</v>
      </c>
      <c r="F22" s="180">
        <v>7.348509961908233E-4</v>
      </c>
      <c r="G22" s="180">
        <v>1.6968825917406966E-2</v>
      </c>
      <c r="H22" s="180">
        <v>1.4084694100452053E-4</v>
      </c>
      <c r="I22" s="180">
        <v>7.2498623981555725E-5</v>
      </c>
      <c r="J22" s="180">
        <v>3.0840461514894447E-3</v>
      </c>
      <c r="K22" s="180">
        <v>1.4554193642641437E-2</v>
      </c>
      <c r="L22" s="180">
        <v>5.9979052544748977E-4</v>
      </c>
      <c r="M22" s="180">
        <v>1.2051181455015342E-3</v>
      </c>
      <c r="N22" s="180">
        <v>5.4106705214138715E-3</v>
      </c>
      <c r="O22" s="75">
        <v>8.6060953262530966E-4</v>
      </c>
      <c r="P22" s="390">
        <v>4.5709650743749677E-3</v>
      </c>
      <c r="R22" s="289" t="s">
        <v>41</v>
      </c>
      <c r="S22" s="56">
        <f t="shared" si="1"/>
        <v>0.73485099619082328</v>
      </c>
      <c r="T22" s="56">
        <f t="shared" si="0"/>
        <v>16.968825917406967</v>
      </c>
      <c r="U22" s="56">
        <f t="shared" si="0"/>
        <v>0.14084694100452053</v>
      </c>
      <c r="V22" s="56">
        <f t="shared" si="0"/>
        <v>7.2498623981555724E-2</v>
      </c>
      <c r="W22" s="56">
        <f t="shared" si="0"/>
        <v>3.0840461514894448</v>
      </c>
      <c r="X22" s="56">
        <f t="shared" si="0"/>
        <v>14.554193642641437</v>
      </c>
      <c r="Y22" s="56">
        <f t="shared" si="0"/>
        <v>0.59979052544748979</v>
      </c>
      <c r="Z22" s="56">
        <f t="shared" si="0"/>
        <v>1.2051181455015343</v>
      </c>
      <c r="AA22" s="56">
        <f t="shared" si="0"/>
        <v>5.4106705214138717</v>
      </c>
      <c r="AB22" s="56">
        <f t="shared" si="0"/>
        <v>0.8606095326253097</v>
      </c>
      <c r="AC22" s="56">
        <f t="shared" si="0"/>
        <v>4.5709650743749677</v>
      </c>
      <c r="AD22" s="56"/>
    </row>
    <row r="23" spans="5:30">
      <c r="E23" s="289" t="s">
        <v>63</v>
      </c>
      <c r="F23" s="180">
        <v>0</v>
      </c>
      <c r="G23" s="180">
        <v>1.6766027756388981E-3</v>
      </c>
      <c r="H23" s="180">
        <v>3.8787196468457835E-5</v>
      </c>
      <c r="I23" s="180">
        <v>0</v>
      </c>
      <c r="J23" s="180">
        <v>0</v>
      </c>
      <c r="K23" s="180">
        <v>8.7735310704973798E-4</v>
      </c>
      <c r="L23" s="180">
        <v>0</v>
      </c>
      <c r="M23" s="180">
        <v>0</v>
      </c>
      <c r="N23" s="180">
        <v>0</v>
      </c>
      <c r="O23" s="75">
        <v>0</v>
      </c>
      <c r="P23" s="75">
        <v>3.3725927042195541E-4</v>
      </c>
      <c r="R23" s="289" t="s">
        <v>63</v>
      </c>
      <c r="S23" s="56">
        <f t="shared" si="1"/>
        <v>0</v>
      </c>
      <c r="T23" s="56">
        <f t="shared" si="0"/>
        <v>1.6766027756388981</v>
      </c>
      <c r="U23" s="56">
        <f t="shared" si="0"/>
        <v>3.8787196468457838E-2</v>
      </c>
      <c r="V23" s="56">
        <f t="shared" si="0"/>
        <v>0</v>
      </c>
      <c r="W23" s="56">
        <f t="shared" si="0"/>
        <v>0</v>
      </c>
      <c r="X23" s="56">
        <f t="shared" si="0"/>
        <v>0.87735310704973801</v>
      </c>
      <c r="Y23" s="56">
        <f t="shared" si="0"/>
        <v>0</v>
      </c>
      <c r="Z23" s="56">
        <f t="shared" si="0"/>
        <v>0</v>
      </c>
      <c r="AA23" s="56">
        <f t="shared" si="0"/>
        <v>0</v>
      </c>
      <c r="AB23" s="56">
        <f t="shared" si="0"/>
        <v>0</v>
      </c>
      <c r="AC23" s="56">
        <f t="shared" si="0"/>
        <v>0.33725927042195541</v>
      </c>
      <c r="AD23" s="56"/>
    </row>
    <row r="24" spans="5:30">
      <c r="E24" s="289" t="s">
        <v>150</v>
      </c>
      <c r="F24" s="180">
        <v>0</v>
      </c>
      <c r="G24" s="180">
        <v>3.3781398587730029E-3</v>
      </c>
      <c r="H24" s="180">
        <v>0</v>
      </c>
      <c r="I24" s="180">
        <v>0</v>
      </c>
      <c r="J24" s="180">
        <v>0</v>
      </c>
      <c r="K24" s="180">
        <v>0</v>
      </c>
      <c r="L24" s="180">
        <v>0</v>
      </c>
      <c r="M24" s="180">
        <v>0</v>
      </c>
      <c r="N24" s="180">
        <v>0</v>
      </c>
      <c r="O24" s="75">
        <v>0</v>
      </c>
      <c r="P24" s="75">
        <v>6.4164630192435743E-4</v>
      </c>
      <c r="R24" s="289" t="s">
        <v>150</v>
      </c>
      <c r="S24" s="56">
        <f t="shared" si="1"/>
        <v>0</v>
      </c>
      <c r="T24" s="56">
        <f t="shared" si="0"/>
        <v>3.3781398587730029</v>
      </c>
      <c r="U24" s="56">
        <f t="shared" si="0"/>
        <v>0</v>
      </c>
      <c r="V24" s="56">
        <f t="shared" si="0"/>
        <v>0</v>
      </c>
      <c r="W24" s="56">
        <f t="shared" si="0"/>
        <v>0</v>
      </c>
      <c r="X24" s="56">
        <f t="shared" si="0"/>
        <v>0</v>
      </c>
      <c r="Y24" s="56">
        <f t="shared" si="0"/>
        <v>0</v>
      </c>
      <c r="Z24" s="56">
        <f t="shared" si="0"/>
        <v>0</v>
      </c>
      <c r="AA24" s="56">
        <f t="shared" si="0"/>
        <v>0</v>
      </c>
      <c r="AB24" s="56">
        <f t="shared" si="0"/>
        <v>0</v>
      </c>
      <c r="AC24" s="56">
        <f t="shared" si="0"/>
        <v>0.64164630192435745</v>
      </c>
      <c r="AD24" s="56"/>
    </row>
    <row r="25" spans="5:30">
      <c r="E25" s="289" t="s">
        <v>151</v>
      </c>
      <c r="F25" s="180">
        <v>0</v>
      </c>
      <c r="G25" s="180">
        <v>1.7503643436246909E-2</v>
      </c>
      <c r="H25" s="180">
        <v>0</v>
      </c>
      <c r="I25" s="180">
        <v>0</v>
      </c>
      <c r="J25" s="180">
        <v>2.420636157988159E-4</v>
      </c>
      <c r="K25" s="180">
        <v>0</v>
      </c>
      <c r="L25" s="180">
        <v>0</v>
      </c>
      <c r="M25" s="180">
        <v>0</v>
      </c>
      <c r="N25" s="180">
        <v>0</v>
      </c>
      <c r="O25" s="75">
        <v>0</v>
      </c>
      <c r="P25" s="75">
        <v>3.3309313706277911E-3</v>
      </c>
      <c r="R25" s="289" t="s">
        <v>151</v>
      </c>
      <c r="S25" s="56">
        <f t="shared" si="1"/>
        <v>0</v>
      </c>
      <c r="T25" s="56">
        <f t="shared" si="0"/>
        <v>17.503643436246911</v>
      </c>
      <c r="U25" s="56">
        <f t="shared" si="0"/>
        <v>0</v>
      </c>
      <c r="V25" s="56">
        <f t="shared" si="0"/>
        <v>0</v>
      </c>
      <c r="W25" s="56">
        <f t="shared" si="0"/>
        <v>0.24206361579881591</v>
      </c>
      <c r="X25" s="56">
        <f t="shared" si="0"/>
        <v>0</v>
      </c>
      <c r="Y25" s="56">
        <f t="shared" si="0"/>
        <v>0</v>
      </c>
      <c r="Z25" s="56">
        <f t="shared" si="0"/>
        <v>0</v>
      </c>
      <c r="AA25" s="56">
        <f t="shared" si="0"/>
        <v>0</v>
      </c>
      <c r="AB25" s="56">
        <f t="shared" si="0"/>
        <v>0</v>
      </c>
      <c r="AC25" s="56">
        <f t="shared" si="0"/>
        <v>3.3309313706277912</v>
      </c>
      <c r="AD25" s="56"/>
    </row>
    <row r="26" spans="5:30">
      <c r="E26" s="289" t="s">
        <v>33</v>
      </c>
      <c r="F26" s="180">
        <v>3.4188027201362649E-4</v>
      </c>
      <c r="G26" s="180">
        <v>2.2517021377716846E-3</v>
      </c>
      <c r="H26" s="180">
        <v>0</v>
      </c>
      <c r="I26" s="180">
        <v>0</v>
      </c>
      <c r="J26" s="180">
        <v>1.4589494813916694E-2</v>
      </c>
      <c r="K26" s="180">
        <v>1.4568468037081467E-2</v>
      </c>
      <c r="L26" s="180">
        <v>0</v>
      </c>
      <c r="M26" s="180">
        <v>0</v>
      </c>
      <c r="N26" s="180">
        <v>5.3662704132125842E-3</v>
      </c>
      <c r="O26" s="75">
        <v>0</v>
      </c>
      <c r="P26" s="390">
        <v>1.7920264461919635E-3</v>
      </c>
      <c r="R26" s="289" t="s">
        <v>33</v>
      </c>
      <c r="S26" s="56">
        <f t="shared" si="1"/>
        <v>0.34188027201362647</v>
      </c>
      <c r="T26" s="56">
        <f t="shared" si="0"/>
        <v>2.2517021377716846</v>
      </c>
      <c r="U26" s="56">
        <f t="shared" si="0"/>
        <v>0</v>
      </c>
      <c r="V26" s="56">
        <f t="shared" si="0"/>
        <v>0</v>
      </c>
      <c r="W26" s="56">
        <f t="shared" si="0"/>
        <v>14.589494813916694</v>
      </c>
      <c r="X26" s="56">
        <f t="shared" si="0"/>
        <v>14.568468037081468</v>
      </c>
      <c r="Y26" s="56">
        <f t="shared" si="0"/>
        <v>0</v>
      </c>
      <c r="Z26" s="56">
        <f t="shared" si="0"/>
        <v>0</v>
      </c>
      <c r="AA26" s="56">
        <f t="shared" si="0"/>
        <v>5.3662704132125842</v>
      </c>
      <c r="AB26" s="56">
        <f t="shared" si="0"/>
        <v>0</v>
      </c>
      <c r="AC26" s="56">
        <f t="shared" si="0"/>
        <v>1.7920264461919635</v>
      </c>
      <c r="AD26" s="56"/>
    </row>
    <row r="27" spans="5:30">
      <c r="E27" s="289" t="s">
        <v>65</v>
      </c>
      <c r="F27" s="180">
        <v>5.3825356325240426E-3</v>
      </c>
      <c r="G27" s="180">
        <v>5.0148196567849163E-2</v>
      </c>
      <c r="H27" s="180">
        <v>2.5132918698663165E-3</v>
      </c>
      <c r="I27" s="180">
        <v>4.7123398671521108E-3</v>
      </c>
      <c r="J27" s="180">
        <v>5.1512757591526112E-2</v>
      </c>
      <c r="K27" s="180">
        <v>5.03772422340256E-2</v>
      </c>
      <c r="L27" s="180">
        <v>2.7627437906932888E-2</v>
      </c>
      <c r="M27" s="180">
        <v>1.8457760904007445E-2</v>
      </c>
      <c r="N27" s="180">
        <v>5.1455029758032886E-2</v>
      </c>
      <c r="O27" s="75">
        <v>2.9346174394395318E-2</v>
      </c>
      <c r="P27" s="75">
        <v>2.5302382451293272E-2</v>
      </c>
      <c r="R27" s="289" t="s">
        <v>65</v>
      </c>
      <c r="S27" s="56">
        <f t="shared" si="1"/>
        <v>5.3825356325240428</v>
      </c>
      <c r="T27" s="56">
        <f t="shared" si="0"/>
        <v>50.148196567849162</v>
      </c>
      <c r="U27" s="56">
        <f t="shared" si="0"/>
        <v>2.5132918698663165</v>
      </c>
      <c r="V27" s="56">
        <f t="shared" si="0"/>
        <v>4.7123398671521111</v>
      </c>
      <c r="W27" s="56">
        <f t="shared" si="0"/>
        <v>51.51275759152611</v>
      </c>
      <c r="X27" s="56">
        <f t="shared" si="0"/>
        <v>50.377242234025601</v>
      </c>
      <c r="Y27" s="56">
        <f t="shared" si="0"/>
        <v>27.627437906932887</v>
      </c>
      <c r="Z27" s="56">
        <f t="shared" si="0"/>
        <v>18.457760904007447</v>
      </c>
      <c r="AA27" s="56">
        <f t="shared" si="0"/>
        <v>51.455029758032886</v>
      </c>
      <c r="AB27" s="56">
        <f t="shared" si="0"/>
        <v>29.346174394395316</v>
      </c>
      <c r="AC27" s="56">
        <f t="shared" si="0"/>
        <v>25.302382451293273</v>
      </c>
      <c r="AD27" s="56"/>
    </row>
    <row r="28" spans="5:30">
      <c r="E28" s="289" t="s">
        <v>66</v>
      </c>
      <c r="F28" s="180">
        <v>7.2327645202900149E-4</v>
      </c>
      <c r="G28" s="180">
        <v>6.4732552983213665E-3</v>
      </c>
      <c r="H28" s="180">
        <v>1.8843961051020282E-4</v>
      </c>
      <c r="I28" s="180">
        <v>0</v>
      </c>
      <c r="J28" s="180">
        <v>1.1755879622998256E-3</v>
      </c>
      <c r="K28" s="180">
        <v>4.6158596810066277E-4</v>
      </c>
      <c r="L28" s="180">
        <v>1.9013078946737851E-4</v>
      </c>
      <c r="M28" s="180">
        <v>7.346713757651197E-5</v>
      </c>
      <c r="N28" s="180">
        <v>4.2228440038019777E-3</v>
      </c>
      <c r="O28" s="75">
        <v>4.2362473442521337E-6</v>
      </c>
      <c r="P28" s="75">
        <v>1.9682565995587848E-3</v>
      </c>
      <c r="R28" s="289" t="s">
        <v>66</v>
      </c>
      <c r="S28" s="56">
        <f t="shared" si="1"/>
        <v>0.72327645202900148</v>
      </c>
      <c r="T28" s="56">
        <f t="shared" ref="T28:T44" si="2">G28*1000</f>
        <v>6.4732552983213667</v>
      </c>
      <c r="U28" s="56">
        <f t="shared" ref="U28:U44" si="3">H28*1000</f>
        <v>0.18843961051020283</v>
      </c>
      <c r="V28" s="56">
        <f t="shared" ref="V28:V44" si="4">I28*1000</f>
        <v>0</v>
      </c>
      <c r="W28" s="56">
        <f t="shared" ref="W28:W44" si="5">J28*1000</f>
        <v>1.1755879622998255</v>
      </c>
      <c r="X28" s="56">
        <f t="shared" ref="X28:X44" si="6">K28*1000</f>
        <v>0.46158596810066277</v>
      </c>
      <c r="Y28" s="56">
        <f t="shared" ref="Y28:Y44" si="7">L28*1000</f>
        <v>0.19013078946737852</v>
      </c>
      <c r="Z28" s="56">
        <f t="shared" ref="Z28:Z44" si="8">M28*1000</f>
        <v>7.3467137576511965E-2</v>
      </c>
      <c r="AA28" s="56">
        <f t="shared" ref="AA28:AA44" si="9">N28*1000</f>
        <v>4.2228440038019777</v>
      </c>
      <c r="AB28" s="56">
        <f t="shared" ref="AB28:AB44" si="10">O28*1000</f>
        <v>4.236247344252134E-3</v>
      </c>
      <c r="AC28" s="56">
        <f t="shared" ref="AC28:AC44" si="11">P28*1000</f>
        <v>1.9682565995587848</v>
      </c>
      <c r="AD28" s="56"/>
    </row>
    <row r="29" spans="5:30">
      <c r="E29" s="289" t="s">
        <v>152</v>
      </c>
      <c r="F29" s="180">
        <v>0</v>
      </c>
      <c r="G29" s="180">
        <v>1.3148805892665899E-4</v>
      </c>
      <c r="H29" s="180">
        <v>0</v>
      </c>
      <c r="I29" s="180">
        <v>0</v>
      </c>
      <c r="J29" s="180">
        <v>4.3704481881516203E-5</v>
      </c>
      <c r="K29" s="180">
        <v>4.7960533603035706E-3</v>
      </c>
      <c r="L29" s="180">
        <v>0</v>
      </c>
      <c r="M29" s="180">
        <v>0</v>
      </c>
      <c r="N29" s="180">
        <v>0</v>
      </c>
      <c r="O29" s="75">
        <v>0</v>
      </c>
      <c r="P29" s="75">
        <v>1.1163431517813891E-4</v>
      </c>
      <c r="R29" s="289" t="s">
        <v>152</v>
      </c>
      <c r="S29" s="56">
        <f t="shared" si="1"/>
        <v>0</v>
      </c>
      <c r="T29" s="56">
        <f t="shared" si="2"/>
        <v>0.13148805892665899</v>
      </c>
      <c r="U29" s="56">
        <f t="shared" si="3"/>
        <v>0</v>
      </c>
      <c r="V29" s="56">
        <f t="shared" si="4"/>
        <v>0</v>
      </c>
      <c r="W29" s="56">
        <f t="shared" si="5"/>
        <v>4.3704481881516204E-2</v>
      </c>
      <c r="X29" s="56">
        <f t="shared" si="6"/>
        <v>4.7960533603035707</v>
      </c>
      <c r="Y29" s="56">
        <f t="shared" si="7"/>
        <v>0</v>
      </c>
      <c r="Z29" s="56">
        <f t="shared" si="8"/>
        <v>0</v>
      </c>
      <c r="AA29" s="56">
        <f t="shared" si="9"/>
        <v>0</v>
      </c>
      <c r="AB29" s="56">
        <f t="shared" si="10"/>
        <v>0</v>
      </c>
      <c r="AC29" s="56">
        <f t="shared" si="11"/>
        <v>0.11163431517813892</v>
      </c>
      <c r="AD29" s="56"/>
    </row>
    <row r="30" spans="5:30">
      <c r="E30" s="289" t="s">
        <v>153</v>
      </c>
      <c r="F30" s="180">
        <v>0</v>
      </c>
      <c r="G30" s="180">
        <v>5.1484124363029556E-4</v>
      </c>
      <c r="H30" s="180">
        <v>0</v>
      </c>
      <c r="I30" s="180">
        <v>0</v>
      </c>
      <c r="J30" s="180">
        <v>0</v>
      </c>
      <c r="K30" s="180">
        <v>0</v>
      </c>
      <c r="L30" s="180">
        <v>0</v>
      </c>
      <c r="M30" s="180">
        <v>0</v>
      </c>
      <c r="N30" s="180">
        <v>0</v>
      </c>
      <c r="O30" s="75">
        <v>0</v>
      </c>
      <c r="P30" s="75">
        <v>9.7789314197755997E-5</v>
      </c>
      <c r="R30" s="289" t="s">
        <v>153</v>
      </c>
      <c r="S30" s="56">
        <f t="shared" si="1"/>
        <v>0</v>
      </c>
      <c r="T30" s="56">
        <f t="shared" si="2"/>
        <v>0.5148412436302956</v>
      </c>
      <c r="U30" s="56">
        <f t="shared" si="3"/>
        <v>0</v>
      </c>
      <c r="V30" s="56">
        <f t="shared" si="4"/>
        <v>0</v>
      </c>
      <c r="W30" s="56">
        <f t="shared" si="5"/>
        <v>0</v>
      </c>
      <c r="X30" s="56">
        <f t="shared" si="6"/>
        <v>0</v>
      </c>
      <c r="Y30" s="56">
        <f t="shared" si="7"/>
        <v>0</v>
      </c>
      <c r="Z30" s="56">
        <f t="shared" si="8"/>
        <v>0</v>
      </c>
      <c r="AA30" s="56">
        <f t="shared" si="9"/>
        <v>0</v>
      </c>
      <c r="AB30" s="56">
        <f t="shared" si="10"/>
        <v>0</v>
      </c>
      <c r="AC30" s="56">
        <f t="shared" si="11"/>
        <v>9.7789314197755994E-2</v>
      </c>
      <c r="AD30" s="56"/>
    </row>
    <row r="31" spans="5:30" ht="15">
      <c r="E31" s="287" t="s">
        <v>155</v>
      </c>
      <c r="F31" s="288">
        <v>1.2876629616677052E-2</v>
      </c>
      <c r="G31" s="288">
        <v>0.21475104595310904</v>
      </c>
      <c r="H31" s="288">
        <v>0.11453735295908221</v>
      </c>
      <c r="I31" s="288">
        <v>0.16582513261698112</v>
      </c>
      <c r="J31" s="288">
        <v>5.2537744588992415E-2</v>
      </c>
      <c r="K31" s="288">
        <v>0</v>
      </c>
      <c r="L31" s="288">
        <v>4.9254339839440641E-3</v>
      </c>
      <c r="M31" s="288">
        <v>9.3789815167319573E-3</v>
      </c>
      <c r="N31" s="288">
        <v>0.12757543597929441</v>
      </c>
      <c r="O31" s="288">
        <v>8.6594677426482095E-2</v>
      </c>
      <c r="P31" s="288">
        <v>0.10379738115279299</v>
      </c>
      <c r="R31" s="287" t="s">
        <v>155</v>
      </c>
      <c r="S31" s="300">
        <f t="shared" si="1"/>
        <v>12.876629616677052</v>
      </c>
      <c r="T31" s="300">
        <f t="shared" si="2"/>
        <v>214.75104595310904</v>
      </c>
      <c r="U31" s="300">
        <f t="shared" si="3"/>
        <v>114.53735295908221</v>
      </c>
      <c r="V31" s="300">
        <f t="shared" si="4"/>
        <v>165.82513261698111</v>
      </c>
      <c r="W31" s="300">
        <f t="shared" si="5"/>
        <v>52.537744588992418</v>
      </c>
      <c r="X31" s="300">
        <f t="shared" si="6"/>
        <v>0</v>
      </c>
      <c r="Y31" s="300">
        <f t="shared" si="7"/>
        <v>4.925433983944064</v>
      </c>
      <c r="Z31" s="300">
        <f t="shared" si="8"/>
        <v>9.3789815167319581</v>
      </c>
      <c r="AA31" s="300">
        <f t="shared" si="9"/>
        <v>127.57543597929441</v>
      </c>
      <c r="AB31" s="300">
        <f t="shared" si="10"/>
        <v>86.594677426482093</v>
      </c>
      <c r="AC31" s="300">
        <f t="shared" si="11"/>
        <v>103.79738115279299</v>
      </c>
      <c r="AD31" s="56"/>
    </row>
    <row r="32" spans="5:30">
      <c r="E32" s="289" t="s">
        <v>41</v>
      </c>
      <c r="F32" s="180">
        <v>0</v>
      </c>
      <c r="G32" s="180">
        <v>0</v>
      </c>
      <c r="H32" s="180">
        <v>2.9257138364876829E-2</v>
      </c>
      <c r="I32" s="180">
        <v>0</v>
      </c>
      <c r="J32" s="180">
        <v>0</v>
      </c>
      <c r="K32" s="180">
        <v>0</v>
      </c>
      <c r="L32" s="180">
        <v>6.5690749409326064E-4</v>
      </c>
      <c r="M32" s="180">
        <v>3.4100642696729458E-3</v>
      </c>
      <c r="N32" s="180">
        <v>1.7582628768857526E-2</v>
      </c>
      <c r="O32" s="75">
        <v>6.4037460628744618E-3</v>
      </c>
      <c r="P32" s="75">
        <v>5.3361191614817657E-3</v>
      </c>
      <c r="R32" s="289" t="s">
        <v>41</v>
      </c>
      <c r="S32" s="56">
        <f t="shared" si="1"/>
        <v>0</v>
      </c>
      <c r="T32" s="56">
        <f t="shared" si="2"/>
        <v>0</v>
      </c>
      <c r="U32" s="56">
        <f t="shared" si="3"/>
        <v>29.25713836487683</v>
      </c>
      <c r="V32" s="56">
        <f t="shared" si="4"/>
        <v>0</v>
      </c>
      <c r="W32" s="56">
        <f t="shared" si="5"/>
        <v>0</v>
      </c>
      <c r="X32" s="56">
        <f t="shared" si="6"/>
        <v>0</v>
      </c>
      <c r="Y32" s="56">
        <f t="shared" si="7"/>
        <v>0.65690749409326066</v>
      </c>
      <c r="Z32" s="56">
        <f t="shared" si="8"/>
        <v>3.410064269672946</v>
      </c>
      <c r="AA32" s="56">
        <f t="shared" si="9"/>
        <v>17.582628768857525</v>
      </c>
      <c r="AB32" s="56">
        <f t="shared" si="10"/>
        <v>6.403746062874462</v>
      </c>
      <c r="AC32" s="56">
        <f t="shared" si="11"/>
        <v>5.3361191614817658</v>
      </c>
      <c r="AD32" s="56"/>
    </row>
    <row r="33" spans="5:30">
      <c r="E33" s="289" t="s">
        <v>150</v>
      </c>
      <c r="F33" s="180">
        <v>0</v>
      </c>
      <c r="G33" s="180">
        <v>7.7793788329492519E-2</v>
      </c>
      <c r="H33" s="180">
        <v>1.749808277502703E-2</v>
      </c>
      <c r="I33" s="180">
        <v>8.6338688657886381E-2</v>
      </c>
      <c r="J33" s="180">
        <v>3.6692832403102541E-3</v>
      </c>
      <c r="K33" s="180">
        <v>0</v>
      </c>
      <c r="L33" s="180">
        <v>3.1139085401733417E-3</v>
      </c>
      <c r="M33" s="180">
        <v>0</v>
      </c>
      <c r="N33" s="180">
        <v>2.3649036712331168E-2</v>
      </c>
      <c r="O33" s="75">
        <v>3.4317296178735884E-2</v>
      </c>
      <c r="P33" s="75">
        <v>3.5624680177179235E-2</v>
      </c>
      <c r="R33" s="289" t="s">
        <v>150</v>
      </c>
      <c r="S33" s="56">
        <f t="shared" si="1"/>
        <v>0</v>
      </c>
      <c r="T33" s="56">
        <f t="shared" si="2"/>
        <v>77.793788329492514</v>
      </c>
      <c r="U33" s="56">
        <f t="shared" si="3"/>
        <v>17.498082775027029</v>
      </c>
      <c r="V33" s="56">
        <f t="shared" si="4"/>
        <v>86.338688657886379</v>
      </c>
      <c r="W33" s="56">
        <f t="shared" si="5"/>
        <v>3.669283240310254</v>
      </c>
      <c r="X33" s="56">
        <f t="shared" si="6"/>
        <v>0</v>
      </c>
      <c r="Y33" s="56">
        <f t="shared" si="7"/>
        <v>3.1139085401733415</v>
      </c>
      <c r="Z33" s="56">
        <f t="shared" si="8"/>
        <v>0</v>
      </c>
      <c r="AA33" s="56">
        <f t="shared" si="9"/>
        <v>23.649036712331167</v>
      </c>
      <c r="AB33" s="56">
        <f t="shared" si="10"/>
        <v>34.317296178735887</v>
      </c>
      <c r="AC33" s="56">
        <f t="shared" si="11"/>
        <v>35.624680177179236</v>
      </c>
      <c r="AD33" s="56"/>
    </row>
    <row r="34" spans="5:30">
      <c r="E34" s="289" t="s">
        <v>151</v>
      </c>
      <c r="F34" s="180">
        <v>1.474951396458146E-3</v>
      </c>
      <c r="G34" s="180">
        <v>7.4184957216208935E-2</v>
      </c>
      <c r="H34" s="180">
        <v>3.18877500123977E-2</v>
      </c>
      <c r="I34" s="180">
        <v>2.7846555549722669E-2</v>
      </c>
      <c r="J34" s="180">
        <v>4.7257928925728471E-2</v>
      </c>
      <c r="K34" s="180">
        <v>0</v>
      </c>
      <c r="L34" s="180">
        <v>3.5934194357053545E-4</v>
      </c>
      <c r="M34" s="180">
        <v>0</v>
      </c>
      <c r="N34" s="180">
        <v>1.0141856672083758E-2</v>
      </c>
      <c r="O34" s="75">
        <v>7.7066520776726691E-3</v>
      </c>
      <c r="P34" s="75">
        <v>2.440158397056752E-2</v>
      </c>
      <c r="R34" s="289" t="s">
        <v>151</v>
      </c>
      <c r="S34" s="56">
        <f t="shared" si="1"/>
        <v>1.474951396458146</v>
      </c>
      <c r="T34" s="56">
        <f t="shared" si="2"/>
        <v>74.184957216208929</v>
      </c>
      <c r="U34" s="56">
        <f t="shared" si="3"/>
        <v>31.887750012397699</v>
      </c>
      <c r="V34" s="56">
        <f t="shared" si="4"/>
        <v>27.84655554972267</v>
      </c>
      <c r="W34" s="56">
        <f t="shared" si="5"/>
        <v>47.257928925728471</v>
      </c>
      <c r="X34" s="56">
        <f t="shared" si="6"/>
        <v>0</v>
      </c>
      <c r="Y34" s="56">
        <f t="shared" si="7"/>
        <v>0.35934194357053545</v>
      </c>
      <c r="Z34" s="56">
        <f t="shared" si="8"/>
        <v>0</v>
      </c>
      <c r="AA34" s="56">
        <f t="shared" si="9"/>
        <v>10.141856672083758</v>
      </c>
      <c r="AB34" s="56">
        <f t="shared" si="10"/>
        <v>7.7066520776726692</v>
      </c>
      <c r="AC34" s="56">
        <f t="shared" si="11"/>
        <v>24.401583970567518</v>
      </c>
      <c r="AD34" s="56"/>
    </row>
    <row r="35" spans="5:30">
      <c r="E35" s="289" t="s">
        <v>33</v>
      </c>
      <c r="F35" s="180">
        <v>1.1389455402095664E-2</v>
      </c>
      <c r="G35" s="180">
        <v>6.2772300407407569E-2</v>
      </c>
      <c r="H35" s="180">
        <v>3.5894381806780645E-2</v>
      </c>
      <c r="I35" s="180">
        <v>5.1639888409372066E-2</v>
      </c>
      <c r="J35" s="180">
        <v>1.6105324229536964E-3</v>
      </c>
      <c r="K35" s="180">
        <v>0</v>
      </c>
      <c r="L35" s="180">
        <v>7.952760061069262E-4</v>
      </c>
      <c r="M35" s="180">
        <v>5.9689172470590111E-3</v>
      </c>
      <c r="N35" s="180">
        <v>7.4345068580475571E-2</v>
      </c>
      <c r="O35" s="75">
        <v>3.7698662920588037E-2</v>
      </c>
      <c r="P35" s="75">
        <v>3.8159831140520836E-2</v>
      </c>
      <c r="R35" s="289" t="s">
        <v>33</v>
      </c>
      <c r="S35" s="56">
        <f t="shared" si="1"/>
        <v>11.389455402095663</v>
      </c>
      <c r="T35" s="56">
        <f t="shared" si="2"/>
        <v>62.77230040740757</v>
      </c>
      <c r="U35" s="56">
        <f t="shared" si="3"/>
        <v>35.894381806780643</v>
      </c>
      <c r="V35" s="56">
        <f t="shared" si="4"/>
        <v>51.639888409372062</v>
      </c>
      <c r="W35" s="56">
        <f t="shared" si="5"/>
        <v>1.6105324229536964</v>
      </c>
      <c r="X35" s="56">
        <f t="shared" si="6"/>
        <v>0</v>
      </c>
      <c r="Y35" s="56">
        <f t="shared" si="7"/>
        <v>0.79527600610692617</v>
      </c>
      <c r="Z35" s="56">
        <f t="shared" si="8"/>
        <v>5.9689172470590108</v>
      </c>
      <c r="AA35" s="56">
        <f t="shared" si="9"/>
        <v>74.345068580475569</v>
      </c>
      <c r="AB35" s="56">
        <f t="shared" si="10"/>
        <v>37.698662920588035</v>
      </c>
      <c r="AC35" s="56">
        <f t="shared" si="11"/>
        <v>38.159831140520836</v>
      </c>
      <c r="AD35" s="56"/>
    </row>
    <row r="36" spans="5:30">
      <c r="E36" s="289" t="s">
        <v>66</v>
      </c>
      <c r="F36" s="180">
        <v>1.2222818123243121E-5</v>
      </c>
      <c r="G36" s="180">
        <v>0</v>
      </c>
      <c r="H36" s="180">
        <v>0</v>
      </c>
      <c r="I36" s="180">
        <v>0</v>
      </c>
      <c r="J36" s="180">
        <v>0</v>
      </c>
      <c r="K36" s="180">
        <v>0</v>
      </c>
      <c r="L36" s="180">
        <v>0</v>
      </c>
      <c r="M36" s="180">
        <v>0</v>
      </c>
      <c r="N36" s="180">
        <v>1.8568452455463797E-3</v>
      </c>
      <c r="O36" s="75">
        <v>4.6832018661104155E-4</v>
      </c>
      <c r="P36" s="75">
        <v>2.751667030436356E-4</v>
      </c>
      <c r="R36" s="289" t="s">
        <v>66</v>
      </c>
      <c r="S36" s="56">
        <f t="shared" si="1"/>
        <v>1.222281812324312E-2</v>
      </c>
      <c r="T36" s="56">
        <f t="shared" si="2"/>
        <v>0</v>
      </c>
      <c r="U36" s="56">
        <f t="shared" si="3"/>
        <v>0</v>
      </c>
      <c r="V36" s="56">
        <f t="shared" si="4"/>
        <v>0</v>
      </c>
      <c r="W36" s="56">
        <f t="shared" si="5"/>
        <v>0</v>
      </c>
      <c r="X36" s="56">
        <f t="shared" si="6"/>
        <v>0</v>
      </c>
      <c r="Y36" s="56">
        <f t="shared" si="7"/>
        <v>0</v>
      </c>
      <c r="Z36" s="56">
        <f t="shared" si="8"/>
        <v>0</v>
      </c>
      <c r="AA36" s="56">
        <f t="shared" si="9"/>
        <v>1.8568452455463798</v>
      </c>
      <c r="AB36" s="56">
        <f t="shared" si="10"/>
        <v>0.46832018661104152</v>
      </c>
      <c r="AC36" s="56">
        <f t="shared" si="11"/>
        <v>0.27516670304363561</v>
      </c>
      <c r="AD36" s="56"/>
    </row>
    <row r="37" spans="5:30" ht="15">
      <c r="E37" s="287" t="s">
        <v>9</v>
      </c>
      <c r="F37" s="288">
        <v>7.6968092637645827E-2</v>
      </c>
      <c r="G37" s="288">
        <v>4.3796833226903038E-2</v>
      </c>
      <c r="H37" s="288">
        <v>4.6133381244941776E-2</v>
      </c>
      <c r="I37" s="288">
        <v>6.5181970674544218E-2</v>
      </c>
      <c r="J37" s="288">
        <v>0.10238460857844561</v>
      </c>
      <c r="K37" s="288">
        <v>0.34047392884997379</v>
      </c>
      <c r="L37" s="288">
        <v>0.52752663545710043</v>
      </c>
      <c r="M37" s="288">
        <v>0.52604195117550767</v>
      </c>
      <c r="N37" s="288">
        <v>0.18065183082573877</v>
      </c>
      <c r="O37" s="288">
        <v>0.13908365372188666</v>
      </c>
      <c r="P37" s="288">
        <v>0.13356920570368772</v>
      </c>
      <c r="R37" s="287" t="s">
        <v>9</v>
      </c>
      <c r="S37" s="300">
        <f t="shared" si="1"/>
        <v>76.968092637645825</v>
      </c>
      <c r="T37" s="300">
        <f t="shared" si="2"/>
        <v>43.79683322690304</v>
      </c>
      <c r="U37" s="300">
        <f t="shared" si="3"/>
        <v>46.133381244941774</v>
      </c>
      <c r="V37" s="300">
        <f t="shared" si="4"/>
        <v>65.181970674544218</v>
      </c>
      <c r="W37" s="300">
        <f t="shared" si="5"/>
        <v>102.38460857844561</v>
      </c>
      <c r="X37" s="300">
        <f t="shared" si="6"/>
        <v>340.47392884997379</v>
      </c>
      <c r="Y37" s="300">
        <f t="shared" si="7"/>
        <v>527.52663545710038</v>
      </c>
      <c r="Z37" s="300">
        <f t="shared" si="8"/>
        <v>526.04195117550762</v>
      </c>
      <c r="AA37" s="300">
        <f t="shared" si="9"/>
        <v>180.65183082573876</v>
      </c>
      <c r="AB37" s="300">
        <f t="shared" si="10"/>
        <v>139.08365372188666</v>
      </c>
      <c r="AC37" s="300">
        <f t="shared" si="11"/>
        <v>133.56920570368771</v>
      </c>
      <c r="AD37" s="56"/>
    </row>
    <row r="38" spans="5:30">
      <c r="E38" s="289" t="s">
        <v>41</v>
      </c>
      <c r="F38" s="180">
        <v>2.7861382997756388E-2</v>
      </c>
      <c r="G38" s="180">
        <v>1.1471057534810215E-2</v>
      </c>
      <c r="H38" s="180">
        <v>2.4266716255325459E-2</v>
      </c>
      <c r="I38" s="180">
        <v>1.7238656461116719E-2</v>
      </c>
      <c r="J38" s="180">
        <v>7.4518745959911929E-3</v>
      </c>
      <c r="K38" s="180">
        <v>7.0042139790153973E-2</v>
      </c>
      <c r="L38" s="180">
        <v>0.25621868458147945</v>
      </c>
      <c r="M38" s="180">
        <v>0.1576859754187612</v>
      </c>
      <c r="N38" s="180">
        <v>3.5814286926162023E-2</v>
      </c>
      <c r="O38" s="75">
        <v>8.5636659955323713E-2</v>
      </c>
      <c r="P38" s="75">
        <v>4.7654974618635292E-2</v>
      </c>
      <c r="R38" s="289" t="s">
        <v>41</v>
      </c>
      <c r="S38" s="56">
        <f t="shared" si="1"/>
        <v>27.861382997756387</v>
      </c>
      <c r="T38" s="56">
        <f t="shared" si="2"/>
        <v>11.471057534810216</v>
      </c>
      <c r="U38" s="56">
        <f t="shared" si="3"/>
        <v>24.266716255325459</v>
      </c>
      <c r="V38" s="56">
        <f t="shared" si="4"/>
        <v>17.238656461116719</v>
      </c>
      <c r="W38" s="56">
        <f t="shared" si="5"/>
        <v>7.4518745959911925</v>
      </c>
      <c r="X38" s="56">
        <f t="shared" si="6"/>
        <v>70.042139790153968</v>
      </c>
      <c r="Y38" s="56">
        <f t="shared" si="7"/>
        <v>256.21868458147947</v>
      </c>
      <c r="Z38" s="56">
        <f t="shared" si="8"/>
        <v>157.68597541876119</v>
      </c>
      <c r="AA38" s="56">
        <f t="shared" si="9"/>
        <v>35.814286926162026</v>
      </c>
      <c r="AB38" s="56">
        <f t="shared" si="10"/>
        <v>85.636659955323708</v>
      </c>
      <c r="AC38" s="56">
        <f t="shared" si="11"/>
        <v>47.654974618635293</v>
      </c>
      <c r="AD38" s="56"/>
    </row>
    <row r="39" spans="5:30">
      <c r="E39" s="289" t="s">
        <v>33</v>
      </c>
      <c r="F39" s="180">
        <v>1.1546619742523639E-2</v>
      </c>
      <c r="G39" s="180">
        <v>3.5635404756627293E-3</v>
      </c>
      <c r="H39" s="180">
        <v>6.0445353114569863E-3</v>
      </c>
      <c r="I39" s="180">
        <v>6.4479138558040036E-3</v>
      </c>
      <c r="J39" s="180">
        <v>5.0747450978871247E-2</v>
      </c>
      <c r="K39" s="180">
        <v>4.564054855511504E-2</v>
      </c>
      <c r="L39" s="180">
        <v>7.9481009352222777E-3</v>
      </c>
      <c r="M39" s="180">
        <v>4.1610839354634128E-3</v>
      </c>
      <c r="N39" s="180">
        <v>2.2232083019416642E-2</v>
      </c>
      <c r="O39" s="75">
        <v>1.5360613573435761E-2</v>
      </c>
      <c r="P39" s="75">
        <v>1.1630577313424588E-2</v>
      </c>
      <c r="R39" s="289" t="s">
        <v>33</v>
      </c>
      <c r="S39" s="56">
        <f t="shared" si="1"/>
        <v>11.546619742523639</v>
      </c>
      <c r="T39" s="56">
        <f t="shared" si="2"/>
        <v>3.5635404756627294</v>
      </c>
      <c r="U39" s="56">
        <f t="shared" si="3"/>
        <v>6.0445353114569862</v>
      </c>
      <c r="V39" s="56">
        <f t="shared" si="4"/>
        <v>6.4479138558040034</v>
      </c>
      <c r="W39" s="56">
        <f t="shared" si="5"/>
        <v>50.74745097887125</v>
      </c>
      <c r="X39" s="56">
        <f t="shared" si="6"/>
        <v>45.640548555115039</v>
      </c>
      <c r="Y39" s="56">
        <f t="shared" si="7"/>
        <v>7.9481009352222776</v>
      </c>
      <c r="Z39" s="56">
        <f t="shared" si="8"/>
        <v>4.161083935463413</v>
      </c>
      <c r="AA39" s="56">
        <f t="shared" si="9"/>
        <v>22.232083019416642</v>
      </c>
      <c r="AB39" s="56">
        <f t="shared" si="10"/>
        <v>15.360613573435762</v>
      </c>
      <c r="AC39" s="56">
        <f t="shared" si="11"/>
        <v>11.630577313424588</v>
      </c>
      <c r="AD39" s="56"/>
    </row>
    <row r="40" spans="5:30">
      <c r="E40" s="289" t="s">
        <v>65</v>
      </c>
      <c r="F40" s="180">
        <v>3.4557947785232829E-2</v>
      </c>
      <c r="G40" s="180">
        <v>2.5283529114479387E-2</v>
      </c>
      <c r="H40" s="180">
        <v>1.4413517331724338E-2</v>
      </c>
      <c r="I40" s="180">
        <v>4.1101497807189753E-2</v>
      </c>
      <c r="J40" s="180">
        <v>2.9507446970563365E-2</v>
      </c>
      <c r="K40" s="180">
        <v>0.21833843293953631</v>
      </c>
      <c r="L40" s="180">
        <v>0.22269429287957349</v>
      </c>
      <c r="M40" s="180">
        <v>0.35931576685683642</v>
      </c>
      <c r="N40" s="180">
        <v>0.11680158835570441</v>
      </c>
      <c r="O40" s="75">
        <v>2.9673580763382383E-2</v>
      </c>
      <c r="P40" s="75">
        <v>6.8326236567804205E-2</v>
      </c>
      <c r="R40" s="289" t="s">
        <v>65</v>
      </c>
      <c r="S40" s="56">
        <f t="shared" si="1"/>
        <v>34.557947785232827</v>
      </c>
      <c r="T40" s="56">
        <f t="shared" si="2"/>
        <v>25.283529114479386</v>
      </c>
      <c r="U40" s="56">
        <f t="shared" si="3"/>
        <v>14.413517331724337</v>
      </c>
      <c r="V40" s="56">
        <f t="shared" si="4"/>
        <v>41.101497807189752</v>
      </c>
      <c r="W40" s="56">
        <f t="shared" si="5"/>
        <v>29.507446970563365</v>
      </c>
      <c r="X40" s="56">
        <f t="shared" si="6"/>
        <v>218.33843293953632</v>
      </c>
      <c r="Y40" s="56">
        <f t="shared" si="7"/>
        <v>222.69429287957348</v>
      </c>
      <c r="Z40" s="56">
        <f t="shared" si="8"/>
        <v>359.31576685683643</v>
      </c>
      <c r="AA40" s="56">
        <f t="shared" si="9"/>
        <v>116.80158835570441</v>
      </c>
      <c r="AB40" s="56">
        <f t="shared" si="10"/>
        <v>29.673580763382382</v>
      </c>
      <c r="AC40" s="56">
        <f t="shared" si="11"/>
        <v>68.326236567804202</v>
      </c>
      <c r="AD40" s="56"/>
    </row>
    <row r="41" spans="5:30">
      <c r="E41" s="289" t="s">
        <v>66</v>
      </c>
      <c r="F41" s="180">
        <v>1.798775135338497E-3</v>
      </c>
      <c r="G41" s="180">
        <v>3.3513451045296943E-3</v>
      </c>
      <c r="H41" s="180">
        <v>8.8014670276818224E-4</v>
      </c>
      <c r="I41" s="180">
        <v>5.3249692015031736E-5</v>
      </c>
      <c r="J41" s="180">
        <v>1.1386720881428836E-2</v>
      </c>
      <c r="K41" s="180">
        <v>4.8416605251566849E-3</v>
      </c>
      <c r="L41" s="180">
        <v>1.601946664642941E-2</v>
      </c>
      <c r="M41" s="180">
        <v>3.6366148464767327E-3</v>
      </c>
      <c r="N41" s="180">
        <v>2.346697028960057E-3</v>
      </c>
      <c r="O41" s="75">
        <v>5.4432523598907908E-3</v>
      </c>
      <c r="P41" s="75">
        <v>3.3470059683713485E-3</v>
      </c>
      <c r="R41" s="289" t="s">
        <v>66</v>
      </c>
      <c r="S41" s="56">
        <f t="shared" si="1"/>
        <v>1.7987751353384971</v>
      </c>
      <c r="T41" s="56">
        <f t="shared" si="2"/>
        <v>3.3513451045296945</v>
      </c>
      <c r="U41" s="56">
        <f t="shared" si="3"/>
        <v>0.88014670276818219</v>
      </c>
      <c r="V41" s="56">
        <f t="shared" si="4"/>
        <v>5.3249692015031734E-2</v>
      </c>
      <c r="W41" s="56">
        <f t="shared" si="5"/>
        <v>11.386720881428836</v>
      </c>
      <c r="X41" s="56">
        <f t="shared" si="6"/>
        <v>4.8416605251566844</v>
      </c>
      <c r="Y41" s="56">
        <f t="shared" si="7"/>
        <v>16.019466646429411</v>
      </c>
      <c r="Z41" s="56">
        <f t="shared" si="8"/>
        <v>3.6366148464767325</v>
      </c>
      <c r="AA41" s="56">
        <f t="shared" si="9"/>
        <v>2.3466970289600568</v>
      </c>
      <c r="AB41" s="56">
        <f t="shared" si="10"/>
        <v>5.4432523598907911</v>
      </c>
      <c r="AC41" s="56">
        <f t="shared" si="11"/>
        <v>3.3470059683713487</v>
      </c>
      <c r="AD41" s="56"/>
    </row>
    <row r="42" spans="5:30">
      <c r="E42" s="289" t="s">
        <v>152</v>
      </c>
      <c r="F42" s="180">
        <v>1.8027235844663851E-4</v>
      </c>
      <c r="G42" s="180">
        <v>8.7605116100337934E-5</v>
      </c>
      <c r="H42" s="180">
        <v>1.2721976962408815E-4</v>
      </c>
      <c r="I42" s="180">
        <v>3.4065285841871224E-4</v>
      </c>
      <c r="J42" s="180">
        <v>3.2911151515909753E-3</v>
      </c>
      <c r="K42" s="180">
        <v>1.0967489705117244E-3</v>
      </c>
      <c r="L42" s="180">
        <v>2.525191123977988E-3</v>
      </c>
      <c r="M42" s="180">
        <v>3.9371847811736336E-5</v>
      </c>
      <c r="N42" s="180">
        <v>2.4722534708351341E-3</v>
      </c>
      <c r="O42" s="75">
        <v>3.9614417337407505E-4</v>
      </c>
      <c r="P42" s="75">
        <v>7.014699682081967E-4</v>
      </c>
      <c r="R42" s="289" t="s">
        <v>152</v>
      </c>
      <c r="S42" s="56">
        <f t="shared" si="1"/>
        <v>0.18027235844663853</v>
      </c>
      <c r="T42" s="56">
        <f t="shared" si="2"/>
        <v>8.7605116100337929E-2</v>
      </c>
      <c r="U42" s="56">
        <f t="shared" si="3"/>
        <v>0.12721976962408815</v>
      </c>
      <c r="V42" s="56">
        <f t="shared" si="4"/>
        <v>0.34065285841871223</v>
      </c>
      <c r="W42" s="56">
        <f t="shared" si="5"/>
        <v>3.2911151515909753</v>
      </c>
      <c r="X42" s="56">
        <f t="shared" si="6"/>
        <v>1.0967489705117244</v>
      </c>
      <c r="Y42" s="56">
        <f t="shared" si="7"/>
        <v>2.5251911239779878</v>
      </c>
      <c r="Z42" s="56">
        <f t="shared" si="8"/>
        <v>3.9371847811736332E-2</v>
      </c>
      <c r="AA42" s="56">
        <f t="shared" si="9"/>
        <v>2.4722534708351342</v>
      </c>
      <c r="AB42" s="56">
        <f t="shared" si="10"/>
        <v>0.39614417337407504</v>
      </c>
      <c r="AC42" s="56">
        <f t="shared" si="11"/>
        <v>0.70146996820819674</v>
      </c>
      <c r="AD42" s="56"/>
    </row>
    <row r="43" spans="5:30">
      <c r="E43" s="289" t="s">
        <v>153</v>
      </c>
      <c r="F43" s="180">
        <v>1.0230946183478363E-3</v>
      </c>
      <c r="G43" s="180">
        <v>3.9755881320674475E-5</v>
      </c>
      <c r="H43" s="180">
        <v>4.0124587404271965E-4</v>
      </c>
      <c r="I43" s="180">
        <v>0</v>
      </c>
      <c r="J43" s="180">
        <v>0</v>
      </c>
      <c r="K43" s="180">
        <v>5.1439806950003019E-4</v>
      </c>
      <c r="L43" s="180">
        <v>2.2120899290417797E-2</v>
      </c>
      <c r="M43" s="180">
        <v>1.2031382701582045E-3</v>
      </c>
      <c r="N43" s="180">
        <v>9.8492202466050958E-4</v>
      </c>
      <c r="O43" s="75">
        <v>2.5734028964799127E-3</v>
      </c>
      <c r="P43" s="75">
        <v>1.908941267244061E-3</v>
      </c>
      <c r="R43" s="289" t="s">
        <v>153</v>
      </c>
      <c r="S43" s="56">
        <f t="shared" si="1"/>
        <v>1.0230946183478362</v>
      </c>
      <c r="T43" s="56">
        <f t="shared" si="2"/>
        <v>3.9755881320674473E-2</v>
      </c>
      <c r="U43" s="56">
        <f t="shared" si="3"/>
        <v>0.40124587404271966</v>
      </c>
      <c r="V43" s="56">
        <f t="shared" si="4"/>
        <v>0</v>
      </c>
      <c r="W43" s="56">
        <f t="shared" si="5"/>
        <v>0</v>
      </c>
      <c r="X43" s="56">
        <f t="shared" si="6"/>
        <v>0.5143980695000302</v>
      </c>
      <c r="Y43" s="56">
        <f t="shared" si="7"/>
        <v>22.120899290417796</v>
      </c>
      <c r="Z43" s="56">
        <f t="shared" si="8"/>
        <v>1.2031382701582045</v>
      </c>
      <c r="AA43" s="56">
        <f t="shared" si="9"/>
        <v>0.9849220246605096</v>
      </c>
      <c r="AB43" s="56">
        <f t="shared" si="10"/>
        <v>2.5734028964799127</v>
      </c>
      <c r="AC43" s="56">
        <f t="shared" si="11"/>
        <v>1.9089412672440611</v>
      </c>
      <c r="AD43" s="56"/>
    </row>
    <row r="44" spans="5:30" ht="15">
      <c r="E44" s="290" t="s">
        <v>62</v>
      </c>
      <c r="F44" s="291">
        <v>1.0657131314188799</v>
      </c>
      <c r="G44" s="291">
        <v>1.1976324597956818</v>
      </c>
      <c r="H44" s="291">
        <v>0.9869239749676777</v>
      </c>
      <c r="I44" s="291">
        <v>0.57963351694244103</v>
      </c>
      <c r="J44" s="291">
        <v>1.1483138459161684</v>
      </c>
      <c r="K44" s="291">
        <v>1.1741760426069332</v>
      </c>
      <c r="L44" s="291">
        <v>0.89392354806517882</v>
      </c>
      <c r="M44" s="291">
        <v>1.1012185218038468</v>
      </c>
      <c r="N44" s="291">
        <v>1.0215539317066604</v>
      </c>
      <c r="O44" s="291">
        <v>0.93147186488151401</v>
      </c>
      <c r="P44" s="291">
        <v>0.98936814746516466</v>
      </c>
      <c r="R44" s="290" t="s">
        <v>62</v>
      </c>
      <c r="S44" s="301">
        <f t="shared" si="1"/>
        <v>1065.7131314188798</v>
      </c>
      <c r="T44" s="301">
        <f t="shared" si="2"/>
        <v>1197.6324597956818</v>
      </c>
      <c r="U44" s="301">
        <f t="shared" si="3"/>
        <v>986.92397496767774</v>
      </c>
      <c r="V44" s="301">
        <f t="shared" si="4"/>
        <v>579.63351694244102</v>
      </c>
      <c r="W44" s="301">
        <f t="shared" si="5"/>
        <v>1148.3138459161685</v>
      </c>
      <c r="X44" s="301">
        <f t="shared" si="6"/>
        <v>1174.1760426069332</v>
      </c>
      <c r="Y44" s="301">
        <f t="shared" si="7"/>
        <v>893.92354806517881</v>
      </c>
      <c r="Z44" s="301">
        <f t="shared" si="8"/>
        <v>1101.2185218038469</v>
      </c>
      <c r="AA44" s="301">
        <f t="shared" si="9"/>
        <v>1021.5539317066605</v>
      </c>
      <c r="AB44" s="301">
        <f t="shared" si="10"/>
        <v>931.47186488151397</v>
      </c>
      <c r="AC44" s="301">
        <f t="shared" si="11"/>
        <v>989.36814746516461</v>
      </c>
      <c r="AD44" s="56"/>
    </row>
    <row r="45" spans="5:30">
      <c r="E45" s="289" t="s">
        <v>353</v>
      </c>
      <c r="F45" s="75">
        <v>1.0657131314188799</v>
      </c>
      <c r="G45" s="75">
        <v>1.1976324597956818</v>
      </c>
      <c r="H45" s="75">
        <v>0.9869239749676777</v>
      </c>
      <c r="I45" s="75">
        <v>0.57963351694244103</v>
      </c>
      <c r="J45" s="75">
        <v>1.1483138459161684</v>
      </c>
      <c r="K45" s="75">
        <v>1.1741760426069332</v>
      </c>
      <c r="L45" s="75">
        <v>0.89392354806517882</v>
      </c>
      <c r="M45" s="75">
        <v>1.1012185218038468</v>
      </c>
      <c r="N45" s="75">
        <v>1.0215539317066604</v>
      </c>
      <c r="O45" s="75">
        <v>0.93147186488151401</v>
      </c>
      <c r="P45" s="75">
        <v>0.98936814746516466</v>
      </c>
    </row>
    <row r="47" spans="5:30">
      <c r="E47" s="292" t="s">
        <v>354</v>
      </c>
      <c r="F47" s="293">
        <v>1.0657649503799687</v>
      </c>
      <c r="G47" s="293">
        <v>1.1977060817554266</v>
      </c>
      <c r="H47" s="293">
        <v>0.98692397496767825</v>
      </c>
      <c r="I47" s="293">
        <v>0.57963351694244125</v>
      </c>
      <c r="J47" s="293">
        <v>1.1483138459161677</v>
      </c>
      <c r="K47" s="293">
        <v>1.1741151153078322</v>
      </c>
      <c r="L47" s="293">
        <v>0.90065603905153135</v>
      </c>
      <c r="M47" s="293">
        <v>1.1011914852202362</v>
      </c>
      <c r="N47" s="293">
        <v>1.0215280359665275</v>
      </c>
      <c r="O47" s="294">
        <v>0.93152142876792998</v>
      </c>
      <c r="P47" s="293">
        <v>0.98976085808119341</v>
      </c>
    </row>
    <row r="50" spans="5:29">
      <c r="E50" s="309" t="s">
        <v>370</v>
      </c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</row>
    <row r="51" spans="5:29" ht="15">
      <c r="E51" s="280" t="s">
        <v>350</v>
      </c>
    </row>
    <row r="52" spans="5:29" ht="30">
      <c r="E52" s="311" t="s">
        <v>59</v>
      </c>
      <c r="F52" s="311" t="s">
        <v>31</v>
      </c>
      <c r="G52" s="311" t="s">
        <v>72</v>
      </c>
      <c r="H52" s="311" t="s">
        <v>73</v>
      </c>
      <c r="I52" s="311" t="s">
        <v>16</v>
      </c>
      <c r="J52" s="311" t="s">
        <v>28</v>
      </c>
      <c r="K52" s="311" t="s">
        <v>14</v>
      </c>
      <c r="L52" s="311" t="s">
        <v>13</v>
      </c>
      <c r="M52" s="311" t="s">
        <v>158</v>
      </c>
      <c r="N52" s="311" t="s">
        <v>10</v>
      </c>
      <c r="O52" s="311" t="s">
        <v>9</v>
      </c>
      <c r="P52" s="311" t="s">
        <v>62</v>
      </c>
      <c r="R52" s="311" t="s">
        <v>59</v>
      </c>
      <c r="S52" s="311" t="s">
        <v>31</v>
      </c>
      <c r="T52" s="311" t="s">
        <v>72</v>
      </c>
      <c r="U52" s="311" t="s">
        <v>73</v>
      </c>
      <c r="V52" s="311" t="s">
        <v>16</v>
      </c>
      <c r="W52" s="311" t="s">
        <v>28</v>
      </c>
      <c r="X52" s="311" t="s">
        <v>14</v>
      </c>
      <c r="Y52" s="311" t="s">
        <v>13</v>
      </c>
      <c r="Z52" s="311" t="s">
        <v>158</v>
      </c>
      <c r="AA52" s="311" t="s">
        <v>10</v>
      </c>
      <c r="AB52" s="311" t="s">
        <v>9</v>
      </c>
      <c r="AC52" s="311" t="s">
        <v>62</v>
      </c>
    </row>
    <row r="53" spans="5:29" ht="15">
      <c r="E53" s="287" t="s">
        <v>156</v>
      </c>
      <c r="R53" s="287" t="s">
        <v>156</v>
      </c>
    </row>
    <row r="54" spans="5:29">
      <c r="E54" s="289" t="s">
        <v>156</v>
      </c>
      <c r="F54" s="75">
        <f>F12</f>
        <v>0.89265208505377747</v>
      </c>
      <c r="G54" s="75">
        <f t="shared" ref="G54:P54" si="12">G12</f>
        <v>0.80039535872978607</v>
      </c>
      <c r="H54" s="75">
        <f t="shared" si="12"/>
        <v>0.79658466874815104</v>
      </c>
      <c r="I54" s="75">
        <f t="shared" si="12"/>
        <v>0.34259427849965418</v>
      </c>
      <c r="J54" s="75">
        <f t="shared" si="12"/>
        <v>0.91887021725604701</v>
      </c>
      <c r="K54" s="75">
        <f t="shared" si="12"/>
        <v>0.48270543710831715</v>
      </c>
      <c r="L54" s="75">
        <f t="shared" si="12"/>
        <v>0.17396844578344389</v>
      </c>
      <c r="M54" s="75">
        <f t="shared" si="12"/>
        <v>0.45317444294711062</v>
      </c>
      <c r="N54" s="75">
        <f t="shared" si="12"/>
        <v>0.54300492183257376</v>
      </c>
      <c r="O54" s="75">
        <f t="shared" si="12"/>
        <v>0.60657864790717986</v>
      </c>
      <c r="P54" s="75">
        <f t="shared" si="12"/>
        <v>0.65045444737987124</v>
      </c>
      <c r="R54" s="289" t="s">
        <v>156</v>
      </c>
      <c r="S54" s="56">
        <f>S12</f>
        <v>892.65208505377745</v>
      </c>
      <c r="T54" s="56">
        <f t="shared" ref="T54:AC54" si="13">T12</f>
        <v>800.39535872978604</v>
      </c>
      <c r="U54" s="56">
        <f t="shared" si="13"/>
        <v>796.58466874815099</v>
      </c>
      <c r="V54" s="56">
        <f t="shared" si="13"/>
        <v>342.59427849965419</v>
      </c>
      <c r="W54" s="56">
        <f t="shared" si="13"/>
        <v>918.870217256047</v>
      </c>
      <c r="X54" s="56">
        <f t="shared" si="13"/>
        <v>482.70543710831714</v>
      </c>
      <c r="Y54" s="56">
        <f t="shared" si="13"/>
        <v>173.96844578344388</v>
      </c>
      <c r="Z54" s="56">
        <f t="shared" si="13"/>
        <v>453.17444294711061</v>
      </c>
      <c r="AA54" s="56">
        <f t="shared" si="13"/>
        <v>543.00492183257381</v>
      </c>
      <c r="AB54" s="56">
        <f t="shared" si="13"/>
        <v>606.57864790717986</v>
      </c>
      <c r="AC54" s="56">
        <f t="shared" si="13"/>
        <v>650.45444737987123</v>
      </c>
    </row>
    <row r="55" spans="5:29" ht="15">
      <c r="E55" s="287" t="s">
        <v>157</v>
      </c>
      <c r="R55" s="287" t="s">
        <v>157</v>
      </c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</row>
    <row r="56" spans="5:29">
      <c r="E56" s="289" t="s">
        <v>41</v>
      </c>
      <c r="F56" s="180">
        <f>SUM(F17,F18)</f>
        <v>5.6387144249063513E-2</v>
      </c>
      <c r="G56" s="180">
        <f t="shared" ref="G56:P56" si="14">SUM(G17,G18)</f>
        <v>2.1119976102341828E-2</v>
      </c>
      <c r="H56" s="180">
        <f t="shared" si="14"/>
        <v>2.4242192774748404E-2</v>
      </c>
      <c r="I56" s="180">
        <f t="shared" si="14"/>
        <v>9.3532086806910923E-4</v>
      </c>
      <c r="J56" s="180">
        <f t="shared" si="14"/>
        <v>2.7809191982370225E-3</v>
      </c>
      <c r="K56" s="180">
        <f t="shared" si="14"/>
        <v>5.7376804036138561E-2</v>
      </c>
      <c r="L56" s="180">
        <f t="shared" si="14"/>
        <v>6.2784619359283173E-2</v>
      </c>
      <c r="M56" s="180">
        <f t="shared" si="14"/>
        <v>4.3995759298312467E-2</v>
      </c>
      <c r="N56" s="180">
        <f t="shared" si="14"/>
        <v>4.8211412951691797E-2</v>
      </c>
      <c r="O56" s="180">
        <f t="shared" si="14"/>
        <v>4.6064580113723289E-2</v>
      </c>
      <c r="P56" s="180">
        <f t="shared" si="14"/>
        <v>3.5265762187966468E-2</v>
      </c>
      <c r="R56" s="289" t="s">
        <v>41</v>
      </c>
      <c r="S56" s="56">
        <f>SUM(S17,S18)</f>
        <v>56.38714424906351</v>
      </c>
      <c r="T56" s="56">
        <f t="shared" ref="T56:AC56" si="15">SUM(T17,T18)</f>
        <v>21.11997610234183</v>
      </c>
      <c r="U56" s="56">
        <f t="shared" si="15"/>
        <v>24.242192774748403</v>
      </c>
      <c r="V56" s="56">
        <f t="shared" si="15"/>
        <v>0.93532086806910919</v>
      </c>
      <c r="W56" s="56">
        <f t="shared" si="15"/>
        <v>2.7809191982370223</v>
      </c>
      <c r="X56" s="56">
        <f t="shared" si="15"/>
        <v>57.376804036138559</v>
      </c>
      <c r="Y56" s="56">
        <f t="shared" si="15"/>
        <v>62.78461935928317</v>
      </c>
      <c r="Z56" s="56">
        <f t="shared" si="15"/>
        <v>43.995759298312464</v>
      </c>
      <c r="AA56" s="56">
        <f t="shared" si="15"/>
        <v>48.211412951691791</v>
      </c>
      <c r="AB56" s="56">
        <f t="shared" si="15"/>
        <v>46.064580113723281</v>
      </c>
      <c r="AC56" s="56">
        <f t="shared" si="15"/>
        <v>35.265762187966466</v>
      </c>
    </row>
    <row r="57" spans="5:29">
      <c r="E57" s="289" t="s">
        <v>65</v>
      </c>
      <c r="F57" s="180">
        <f>F19</f>
        <v>1.8948777296166203E-2</v>
      </c>
      <c r="G57" s="180">
        <f t="shared" ref="G57:P57" si="16">G19</f>
        <v>1.8037923014209298E-2</v>
      </c>
      <c r="H57" s="180">
        <f t="shared" si="16"/>
        <v>1.1735669323204273E-3</v>
      </c>
      <c r="I57" s="180">
        <f t="shared" si="16"/>
        <v>2.9226711695802565E-4</v>
      </c>
      <c r="J57" s="180">
        <f t="shared" si="16"/>
        <v>7.9270362844686808E-4</v>
      </c>
      <c r="K57" s="180">
        <f t="shared" si="16"/>
        <v>0.2063759949801787</v>
      </c>
      <c r="L57" s="180">
        <f t="shared" si="16"/>
        <v>9.3476475232722359E-2</v>
      </c>
      <c r="M57" s="180">
        <f t="shared" si="16"/>
        <v>4.8891040679098656E-2</v>
      </c>
      <c r="N57" s="180">
        <f t="shared" si="16"/>
        <v>5.1441040523092785E-2</v>
      </c>
      <c r="O57" s="180">
        <f t="shared" si="16"/>
        <v>2.1964316333242799E-2</v>
      </c>
      <c r="P57" s="180">
        <f t="shared" si="16"/>
        <v>2.6968760251960624E-2</v>
      </c>
      <c r="R57" s="289" t="s">
        <v>65</v>
      </c>
      <c r="S57" s="56">
        <f>S19</f>
        <v>18.948777296166202</v>
      </c>
      <c r="T57" s="56">
        <f t="shared" ref="T57:AC57" si="17">T19</f>
        <v>18.037923014209298</v>
      </c>
      <c r="U57" s="56">
        <f t="shared" si="17"/>
        <v>1.1735669323204272</v>
      </c>
      <c r="V57" s="56">
        <f t="shared" si="17"/>
        <v>0.29226711695802565</v>
      </c>
      <c r="W57" s="56">
        <f t="shared" si="17"/>
        <v>0.79270362844686804</v>
      </c>
      <c r="X57" s="56">
        <f t="shared" si="17"/>
        <v>206.37599498017869</v>
      </c>
      <c r="Y57" s="56">
        <f t="shared" si="17"/>
        <v>93.476475232722365</v>
      </c>
      <c r="Z57" s="56">
        <f t="shared" si="17"/>
        <v>48.891040679098658</v>
      </c>
      <c r="AA57" s="56">
        <f t="shared" si="17"/>
        <v>51.441040523092788</v>
      </c>
      <c r="AB57" s="56">
        <f t="shared" si="17"/>
        <v>21.964316333242799</v>
      </c>
      <c r="AC57" s="56">
        <f t="shared" si="17"/>
        <v>26.968760251960624</v>
      </c>
    </row>
    <row r="58" spans="5:29" ht="15">
      <c r="E58" s="287" t="s">
        <v>154</v>
      </c>
      <c r="R58" s="287" t="s">
        <v>154</v>
      </c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</row>
    <row r="59" spans="5:29">
      <c r="E59" s="289" t="s">
        <v>41</v>
      </c>
      <c r="F59" s="180">
        <f>SUM(F22:F25,F30)</f>
        <v>7.348509961908233E-4</v>
      </c>
      <c r="G59" s="180">
        <f t="shared" ref="G59:P59" si="18">SUM(G22:G25,G30)</f>
        <v>4.0042053231696073E-2</v>
      </c>
      <c r="H59" s="180">
        <f t="shared" si="18"/>
        <v>1.7963413747297836E-4</v>
      </c>
      <c r="I59" s="180">
        <f t="shared" si="18"/>
        <v>7.2498623981555725E-5</v>
      </c>
      <c r="J59" s="180">
        <f t="shared" si="18"/>
        <v>3.3261097672882605E-3</v>
      </c>
      <c r="K59" s="180">
        <f t="shared" si="18"/>
        <v>1.5431546749691175E-2</v>
      </c>
      <c r="L59" s="180">
        <f t="shared" si="18"/>
        <v>5.9979052544748977E-4</v>
      </c>
      <c r="M59" s="180">
        <f t="shared" si="18"/>
        <v>1.2051181455015342E-3</v>
      </c>
      <c r="N59" s="180">
        <f t="shared" si="18"/>
        <v>5.4106705214138715E-3</v>
      </c>
      <c r="O59" s="180">
        <f t="shared" si="18"/>
        <v>8.6060953262530966E-4</v>
      </c>
      <c r="P59" s="180">
        <f t="shared" si="18"/>
        <v>8.9785913315468258E-3</v>
      </c>
      <c r="R59" s="289" t="s">
        <v>41</v>
      </c>
      <c r="S59" s="56">
        <f>SUM(S22:S25,S30)</f>
        <v>0.73485099619082328</v>
      </c>
      <c r="T59" s="56">
        <f t="shared" ref="T59:AC59" si="19">SUM(T22:T25,T30)</f>
        <v>40.042053231696073</v>
      </c>
      <c r="U59" s="56">
        <f t="shared" si="19"/>
        <v>0.17963413747297835</v>
      </c>
      <c r="V59" s="56">
        <f t="shared" si="19"/>
        <v>7.2498623981555724E-2</v>
      </c>
      <c r="W59" s="56">
        <f t="shared" si="19"/>
        <v>3.3261097672882607</v>
      </c>
      <c r="X59" s="56">
        <f t="shared" si="19"/>
        <v>15.431546749691174</v>
      </c>
      <c r="Y59" s="56">
        <f t="shared" si="19"/>
        <v>0.59979052544748979</v>
      </c>
      <c r="Z59" s="56">
        <f t="shared" si="19"/>
        <v>1.2051181455015343</v>
      </c>
      <c r="AA59" s="56">
        <f t="shared" si="19"/>
        <v>5.4106705214138717</v>
      </c>
      <c r="AB59" s="56">
        <f t="shared" si="19"/>
        <v>0.8606095326253097</v>
      </c>
      <c r="AC59" s="56">
        <f t="shared" si="19"/>
        <v>8.9785913315468289</v>
      </c>
    </row>
    <row r="60" spans="5:29">
      <c r="E60" s="289" t="s">
        <v>65</v>
      </c>
      <c r="F60" s="180">
        <f>F27</f>
        <v>5.3825356325240426E-3</v>
      </c>
      <c r="G60" s="180">
        <f t="shared" ref="G60:P60" si="20">G27</f>
        <v>5.0148196567849163E-2</v>
      </c>
      <c r="H60" s="180">
        <f t="shared" si="20"/>
        <v>2.5132918698663165E-3</v>
      </c>
      <c r="I60" s="180">
        <f t="shared" si="20"/>
        <v>4.7123398671521108E-3</v>
      </c>
      <c r="J60" s="180">
        <f t="shared" si="20"/>
        <v>5.1512757591526112E-2</v>
      </c>
      <c r="K60" s="180">
        <f t="shared" si="20"/>
        <v>5.03772422340256E-2</v>
      </c>
      <c r="L60" s="180">
        <f t="shared" si="20"/>
        <v>2.7627437906932888E-2</v>
      </c>
      <c r="M60" s="180">
        <f t="shared" si="20"/>
        <v>1.8457760904007445E-2</v>
      </c>
      <c r="N60" s="180">
        <f t="shared" si="20"/>
        <v>5.1455029758032886E-2</v>
      </c>
      <c r="O60" s="180">
        <f t="shared" si="20"/>
        <v>2.9346174394395318E-2</v>
      </c>
      <c r="P60" s="180">
        <f t="shared" si="20"/>
        <v>2.5302382451293272E-2</v>
      </c>
      <c r="R60" s="289" t="s">
        <v>65</v>
      </c>
      <c r="S60" s="56">
        <f>S27</f>
        <v>5.3825356325240428</v>
      </c>
      <c r="T60" s="56">
        <f t="shared" ref="T60:AC60" si="21">T27</f>
        <v>50.148196567849162</v>
      </c>
      <c r="U60" s="56">
        <f t="shared" si="21"/>
        <v>2.5132918698663165</v>
      </c>
      <c r="V60" s="56">
        <f t="shared" si="21"/>
        <v>4.7123398671521111</v>
      </c>
      <c r="W60" s="56">
        <f t="shared" si="21"/>
        <v>51.51275759152611</v>
      </c>
      <c r="X60" s="56">
        <f t="shared" si="21"/>
        <v>50.377242234025601</v>
      </c>
      <c r="Y60" s="56">
        <f t="shared" si="21"/>
        <v>27.627437906932887</v>
      </c>
      <c r="Z60" s="56">
        <f t="shared" si="21"/>
        <v>18.457760904007447</v>
      </c>
      <c r="AA60" s="56">
        <f t="shared" si="21"/>
        <v>51.455029758032886</v>
      </c>
      <c r="AB60" s="56">
        <f t="shared" si="21"/>
        <v>29.346174394395316</v>
      </c>
      <c r="AC60" s="56">
        <f t="shared" si="21"/>
        <v>25.302382451293273</v>
      </c>
    </row>
    <row r="61" spans="5:29" ht="15">
      <c r="E61" s="287" t="s">
        <v>155</v>
      </c>
      <c r="R61" s="287" t="s">
        <v>155</v>
      </c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</row>
    <row r="62" spans="5:29">
      <c r="E62" s="289" t="s">
        <v>156</v>
      </c>
      <c r="F62" s="180">
        <f>SUM(F32:F34)</f>
        <v>1.474951396458146E-3</v>
      </c>
      <c r="G62" s="180">
        <f t="shared" ref="G62:P62" si="22">SUM(G32:G34)</f>
        <v>0.15197874554570145</v>
      </c>
      <c r="H62" s="180">
        <f t="shared" si="22"/>
        <v>7.8642971152301566E-2</v>
      </c>
      <c r="I62" s="180">
        <f t="shared" si="22"/>
        <v>0.11418524420760905</v>
      </c>
      <c r="J62" s="180">
        <f t="shared" si="22"/>
        <v>5.0927212166038724E-2</v>
      </c>
      <c r="K62" s="180">
        <f t="shared" si="22"/>
        <v>0</v>
      </c>
      <c r="L62" s="180">
        <f t="shared" si="22"/>
        <v>4.1301579778371374E-3</v>
      </c>
      <c r="M62" s="180">
        <f t="shared" si="22"/>
        <v>3.4100642696729458E-3</v>
      </c>
      <c r="N62" s="180">
        <f t="shared" si="22"/>
        <v>5.1373522153272455E-2</v>
      </c>
      <c r="O62" s="180">
        <f t="shared" si="22"/>
        <v>4.8427694319283017E-2</v>
      </c>
      <c r="P62" s="180">
        <f t="shared" si="22"/>
        <v>6.5362383309228528E-2</v>
      </c>
      <c r="R62" s="289" t="s">
        <v>156</v>
      </c>
      <c r="S62" s="56">
        <f>SUM(S32:S34)</f>
        <v>1.474951396458146</v>
      </c>
      <c r="T62" s="56">
        <f t="shared" ref="T62:AC62" si="23">SUM(T32:T34)</f>
        <v>151.97874554570143</v>
      </c>
      <c r="U62" s="56">
        <f t="shared" si="23"/>
        <v>78.642971152301556</v>
      </c>
      <c r="V62" s="56">
        <f t="shared" si="23"/>
        <v>114.18524420760905</v>
      </c>
      <c r="W62" s="56">
        <f t="shared" si="23"/>
        <v>50.927212166038728</v>
      </c>
      <c r="X62" s="56">
        <f t="shared" si="23"/>
        <v>0</v>
      </c>
      <c r="Y62" s="56">
        <f t="shared" si="23"/>
        <v>4.1301579778371371</v>
      </c>
      <c r="Z62" s="56">
        <f t="shared" si="23"/>
        <v>3.410064269672946</v>
      </c>
      <c r="AA62" s="56">
        <f t="shared" si="23"/>
        <v>51.373522153272447</v>
      </c>
      <c r="AB62" s="56">
        <f t="shared" si="23"/>
        <v>48.42769431928302</v>
      </c>
      <c r="AC62" s="56">
        <f t="shared" si="23"/>
        <v>65.36238330922852</v>
      </c>
    </row>
    <row r="63" spans="5:29">
      <c r="E63" s="289" t="s">
        <v>33</v>
      </c>
      <c r="F63" s="180">
        <f>F35</f>
        <v>1.1389455402095664E-2</v>
      </c>
      <c r="G63" s="180">
        <f t="shared" ref="G63:P63" si="24">G35</f>
        <v>6.2772300407407569E-2</v>
      </c>
      <c r="H63" s="180">
        <f t="shared" si="24"/>
        <v>3.5894381806780645E-2</v>
      </c>
      <c r="I63" s="180">
        <f t="shared" si="24"/>
        <v>5.1639888409372066E-2</v>
      </c>
      <c r="J63" s="180">
        <f t="shared" si="24"/>
        <v>1.6105324229536964E-3</v>
      </c>
      <c r="K63" s="180">
        <f t="shared" si="24"/>
        <v>0</v>
      </c>
      <c r="L63" s="180">
        <f t="shared" si="24"/>
        <v>7.952760061069262E-4</v>
      </c>
      <c r="M63" s="180">
        <f t="shared" si="24"/>
        <v>5.9689172470590111E-3</v>
      </c>
      <c r="N63" s="180">
        <f t="shared" si="24"/>
        <v>7.4345068580475571E-2</v>
      </c>
      <c r="O63" s="180">
        <f t="shared" si="24"/>
        <v>3.7698662920588037E-2</v>
      </c>
      <c r="P63" s="180">
        <f t="shared" si="24"/>
        <v>3.8159831140520836E-2</v>
      </c>
      <c r="R63" s="289" t="s">
        <v>33</v>
      </c>
      <c r="S63" s="56">
        <f>S35</f>
        <v>11.389455402095663</v>
      </c>
      <c r="T63" s="56">
        <f t="shared" ref="T63:AC63" si="25">T35</f>
        <v>62.77230040740757</v>
      </c>
      <c r="U63" s="56">
        <f t="shared" si="25"/>
        <v>35.894381806780643</v>
      </c>
      <c r="V63" s="56">
        <f t="shared" si="25"/>
        <v>51.639888409372062</v>
      </c>
      <c r="W63" s="56">
        <f t="shared" si="25"/>
        <v>1.6105324229536964</v>
      </c>
      <c r="X63" s="56">
        <f t="shared" si="25"/>
        <v>0</v>
      </c>
      <c r="Y63" s="56">
        <f t="shared" si="25"/>
        <v>0.79527600610692617</v>
      </c>
      <c r="Z63" s="56">
        <f t="shared" si="25"/>
        <v>5.9689172470590108</v>
      </c>
      <c r="AA63" s="56">
        <f t="shared" si="25"/>
        <v>74.345068580475569</v>
      </c>
      <c r="AB63" s="56">
        <f t="shared" si="25"/>
        <v>37.698662920588035</v>
      </c>
      <c r="AC63" s="56">
        <f t="shared" si="25"/>
        <v>38.159831140520836</v>
      </c>
    </row>
    <row r="64" spans="5:29" ht="15">
      <c r="E64" s="287" t="s">
        <v>9</v>
      </c>
      <c r="R64" s="287" t="s">
        <v>9</v>
      </c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</row>
    <row r="65" spans="2:29">
      <c r="E65" s="289" t="s">
        <v>41</v>
      </c>
      <c r="F65" s="180">
        <f>SUM(F38,F43,F42,F39)</f>
        <v>4.0611369717074505E-2</v>
      </c>
      <c r="G65" s="180">
        <f t="shared" ref="G65:P65" si="26">SUM(G38,G43,G42,G39)</f>
        <v>1.5161959007893959E-2</v>
      </c>
      <c r="H65" s="180">
        <f t="shared" si="26"/>
        <v>3.0839717210449251E-2</v>
      </c>
      <c r="I65" s="180">
        <f t="shared" si="26"/>
        <v>2.4027223175339434E-2</v>
      </c>
      <c r="J65" s="180">
        <f t="shared" si="26"/>
        <v>6.1490440726453419E-2</v>
      </c>
      <c r="K65" s="180">
        <f t="shared" si="26"/>
        <v>0.11729383538528076</v>
      </c>
      <c r="L65" s="180">
        <f t="shared" si="26"/>
        <v>0.2888128759310975</v>
      </c>
      <c r="M65" s="180">
        <f t="shared" si="26"/>
        <v>0.16308956947219455</v>
      </c>
      <c r="N65" s="180">
        <f t="shared" si="26"/>
        <v>6.1503545441074309E-2</v>
      </c>
      <c r="O65" s="180">
        <f t="shared" si="26"/>
        <v>0.10396682059861347</v>
      </c>
      <c r="P65" s="180">
        <f t="shared" si="26"/>
        <v>6.1895963167512141E-2</v>
      </c>
      <c r="R65" s="289" t="s">
        <v>41</v>
      </c>
      <c r="S65" s="56">
        <f>SUM(S38,S43,S42,S39)</f>
        <v>40.611369717074503</v>
      </c>
      <c r="T65" s="56">
        <f t="shared" ref="T65:AC65" si="27">SUM(T38,T43,T42,T39)</f>
        <v>15.161959007893959</v>
      </c>
      <c r="U65" s="56">
        <f t="shared" si="27"/>
        <v>30.839717210449251</v>
      </c>
      <c r="V65" s="56">
        <f t="shared" si="27"/>
        <v>24.027223175339433</v>
      </c>
      <c r="W65" s="56">
        <f t="shared" si="27"/>
        <v>61.490440726453414</v>
      </c>
      <c r="X65" s="56">
        <f t="shared" si="27"/>
        <v>117.29383538528077</v>
      </c>
      <c r="Y65" s="56">
        <f t="shared" si="27"/>
        <v>288.81287593109755</v>
      </c>
      <c r="Z65" s="56">
        <f t="shared" si="27"/>
        <v>163.08956947219454</v>
      </c>
      <c r="AA65" s="56">
        <f t="shared" si="27"/>
        <v>61.503545441074316</v>
      </c>
      <c r="AB65" s="56">
        <f t="shared" si="27"/>
        <v>103.96682059861345</v>
      </c>
      <c r="AC65" s="56">
        <f t="shared" si="27"/>
        <v>61.895963167512136</v>
      </c>
    </row>
    <row r="66" spans="2:29">
      <c r="E66" s="289" t="s">
        <v>65</v>
      </c>
      <c r="F66" s="180">
        <f>F40</f>
        <v>3.4557947785232829E-2</v>
      </c>
      <c r="G66" s="180">
        <f t="shared" ref="G66:P66" si="28">G40</f>
        <v>2.5283529114479387E-2</v>
      </c>
      <c r="H66" s="180">
        <f t="shared" si="28"/>
        <v>1.4413517331724338E-2</v>
      </c>
      <c r="I66" s="180">
        <f t="shared" si="28"/>
        <v>4.1101497807189753E-2</v>
      </c>
      <c r="J66" s="180">
        <f t="shared" si="28"/>
        <v>2.9507446970563365E-2</v>
      </c>
      <c r="K66" s="180">
        <f t="shared" si="28"/>
        <v>0.21833843293953631</v>
      </c>
      <c r="L66" s="180">
        <f t="shared" si="28"/>
        <v>0.22269429287957349</v>
      </c>
      <c r="M66" s="180">
        <f t="shared" si="28"/>
        <v>0.35931576685683642</v>
      </c>
      <c r="N66" s="180">
        <f t="shared" si="28"/>
        <v>0.11680158835570441</v>
      </c>
      <c r="O66" s="180">
        <f t="shared" si="28"/>
        <v>2.9673580763382383E-2</v>
      </c>
      <c r="P66" s="180">
        <f t="shared" si="28"/>
        <v>6.8326236567804205E-2</v>
      </c>
      <c r="R66" s="289" t="s">
        <v>65</v>
      </c>
      <c r="S66" s="56">
        <f>S40</f>
        <v>34.557947785232827</v>
      </c>
      <c r="T66" s="56">
        <f t="shared" ref="T66:AC66" si="29">T40</f>
        <v>25.283529114479386</v>
      </c>
      <c r="U66" s="56">
        <f t="shared" si="29"/>
        <v>14.413517331724337</v>
      </c>
      <c r="V66" s="56">
        <f t="shared" si="29"/>
        <v>41.101497807189752</v>
      </c>
      <c r="W66" s="56">
        <f t="shared" si="29"/>
        <v>29.507446970563365</v>
      </c>
      <c r="X66" s="56">
        <f t="shared" si="29"/>
        <v>218.33843293953632</v>
      </c>
      <c r="Y66" s="56">
        <f t="shared" si="29"/>
        <v>222.69429287957348</v>
      </c>
      <c r="Z66" s="56">
        <f t="shared" si="29"/>
        <v>359.31576685683643</v>
      </c>
      <c r="AA66" s="56">
        <f t="shared" si="29"/>
        <v>116.80158835570441</v>
      </c>
      <c r="AB66" s="56">
        <f t="shared" si="29"/>
        <v>29.673580763382382</v>
      </c>
      <c r="AC66" s="56">
        <f t="shared" si="29"/>
        <v>68.326236567804202</v>
      </c>
    </row>
    <row r="69" spans="2:29">
      <c r="E69" s="309" t="s">
        <v>373</v>
      </c>
      <c r="F69" s="309"/>
      <c r="G69" s="309"/>
      <c r="H69" s="309"/>
      <c r="I69" s="309"/>
      <c r="J69" s="309"/>
      <c r="K69" s="309"/>
      <c r="L69" s="309"/>
      <c r="M69" s="309"/>
      <c r="N69" s="309"/>
      <c r="O69" s="309"/>
      <c r="P69" s="309"/>
    </row>
    <row r="70" spans="2:29">
      <c r="E70" s="289" t="s">
        <v>372</v>
      </c>
      <c r="F70" s="27">
        <f>1-[3]Results_Com!$AF$269</f>
        <v>0.91425513337815911</v>
      </c>
    </row>
    <row r="71" spans="2:29">
      <c r="E71" s="289" t="s">
        <v>371</v>
      </c>
      <c r="F71" s="27">
        <f>1-[3]Results_Com!$AF$273</f>
        <v>0.81674131104385872</v>
      </c>
    </row>
    <row r="72" spans="2:29">
      <c r="E72" s="289" t="s">
        <v>708</v>
      </c>
      <c r="F72" s="554">
        <f>((P47*1000)-(SUM('CBSA Hrs_Plus'!AK16:AL16)))/(P47*1000)</f>
        <v>0.9999489285117894</v>
      </c>
    </row>
    <row r="73" spans="2:29" ht="15">
      <c r="E73" s="280" t="s">
        <v>350</v>
      </c>
    </row>
    <row r="74" spans="2:29" ht="39">
      <c r="B74" s="315" t="s">
        <v>381</v>
      </c>
      <c r="C74" s="315" t="s">
        <v>380</v>
      </c>
      <c r="D74" s="316" t="s">
        <v>400</v>
      </c>
      <c r="E74" s="311" t="s">
        <v>59</v>
      </c>
      <c r="F74" s="311" t="s">
        <v>31</v>
      </c>
      <c r="G74" s="311" t="s">
        <v>72</v>
      </c>
      <c r="H74" s="311" t="s">
        <v>73</v>
      </c>
      <c r="I74" s="311" t="s">
        <v>16</v>
      </c>
      <c r="J74" s="311" t="s">
        <v>28</v>
      </c>
      <c r="K74" s="311" t="s">
        <v>14</v>
      </c>
      <c r="L74" s="311" t="s">
        <v>13</v>
      </c>
      <c r="M74" s="311" t="s">
        <v>158</v>
      </c>
      <c r="N74" s="311" t="s">
        <v>10</v>
      </c>
      <c r="O74" s="311" t="s">
        <v>9</v>
      </c>
      <c r="P74" s="311" t="s">
        <v>62</v>
      </c>
    </row>
    <row r="75" spans="2:29" ht="15">
      <c r="B75" s="153" t="s">
        <v>382</v>
      </c>
      <c r="C75" s="153"/>
      <c r="D75" s="314"/>
      <c r="E75" s="287" t="s">
        <v>156</v>
      </c>
    </row>
    <row r="76" spans="2:29">
      <c r="B76" s="153" t="s">
        <v>382</v>
      </c>
      <c r="C76" s="153" t="s">
        <v>388</v>
      </c>
      <c r="D76" s="317" t="str">
        <f>CONCATENATE(B76,"_",C76)</f>
        <v>LF_LF2018</v>
      </c>
      <c r="E76" s="289" t="s">
        <v>156</v>
      </c>
      <c r="F76" s="75">
        <f>F54*$F$70*$F$72</f>
        <v>0.81607007103945928</v>
      </c>
      <c r="G76" s="75">
        <f t="shared" ref="G76:P76" si="30">G54*$F$70*$F$72</f>
        <v>0.73172819309431125</v>
      </c>
      <c r="H76" s="75">
        <f t="shared" si="30"/>
        <v>0.72824442814703627</v>
      </c>
      <c r="I76" s="75">
        <f t="shared" si="30"/>
        <v>0.31320258124539285</v>
      </c>
      <c r="J76" s="75">
        <f t="shared" si="30"/>
        <v>0.84003890880623489</v>
      </c>
      <c r="K76" s="75">
        <f t="shared" si="30"/>
        <v>0.4412933851248283</v>
      </c>
      <c r="L76" s="75">
        <f t="shared" si="30"/>
        <v>0.15904342160424845</v>
      </c>
      <c r="M76" s="75">
        <f t="shared" si="30"/>
        <v>0.41429590099129854</v>
      </c>
      <c r="N76" s="75">
        <f t="shared" si="30"/>
        <v>0.49641968304817025</v>
      </c>
      <c r="O76" s="75">
        <f t="shared" si="30"/>
        <v>0.55453932005189865</v>
      </c>
      <c r="P76" s="75">
        <f t="shared" si="30"/>
        <v>0.59465094628580284</v>
      </c>
    </row>
    <row r="77" spans="2:29" ht="15">
      <c r="B77" s="153" t="s">
        <v>383</v>
      </c>
      <c r="C77" s="153"/>
      <c r="D77" s="317"/>
      <c r="E77" s="287" t="s">
        <v>157</v>
      </c>
    </row>
    <row r="78" spans="2:29">
      <c r="B78" s="153" t="s">
        <v>383</v>
      </c>
      <c r="C78" s="153" t="s">
        <v>41</v>
      </c>
      <c r="D78" s="317" t="str">
        <f t="shared" ref="D78:D88" si="31">CONCATENATE(B78,"_",C78)</f>
        <v>CAN_CFL</v>
      </c>
      <c r="E78" s="289" t="s">
        <v>41</v>
      </c>
      <c r="F78" s="180">
        <f>F56*$F$72</f>
        <v>5.6384264473690771E-2</v>
      </c>
      <c r="G78" s="180">
        <f t="shared" ref="G78:P78" si="32">G56*$F$72</f>
        <v>2.1118897473731309E-2</v>
      </c>
      <c r="H78" s="180">
        <f t="shared" si="32"/>
        <v>2.4240954689885907E-2</v>
      </c>
      <c r="I78" s="180">
        <f t="shared" si="32"/>
        <v>9.3527309984042253E-4</v>
      </c>
      <c r="J78" s="180">
        <f t="shared" si="32"/>
        <v>2.780777172554975E-3</v>
      </c>
      <c r="K78" s="180">
        <f t="shared" si="32"/>
        <v>5.7373873717367664E-2</v>
      </c>
      <c r="L78" s="180">
        <f t="shared" si="32"/>
        <v>6.2781412855335755E-2</v>
      </c>
      <c r="M78" s="180">
        <f t="shared" si="32"/>
        <v>4.3993512369410147E-2</v>
      </c>
      <c r="N78" s="180">
        <f t="shared" si="32"/>
        <v>4.8208950723083621E-2</v>
      </c>
      <c r="O78" s="180">
        <f t="shared" si="32"/>
        <v>4.6062227527063085E-2</v>
      </c>
      <c r="P78" s="180">
        <f t="shared" si="32"/>
        <v>3.5263961113008647E-2</v>
      </c>
    </row>
    <row r="79" spans="2:29">
      <c r="B79" s="153" t="s">
        <v>383</v>
      </c>
      <c r="C79" s="153" t="s">
        <v>389</v>
      </c>
      <c r="D79" s="317" t="str">
        <f t="shared" si="31"/>
        <v>CAN_INC_HAL</v>
      </c>
      <c r="E79" s="289" t="s">
        <v>65</v>
      </c>
      <c r="F79" s="180">
        <f>F57*$F$71*$F$72</f>
        <v>1.5475458816469737E-2</v>
      </c>
      <c r="G79" s="180">
        <f t="shared" ref="G79:P79" si="33">G57*$F$71*$F$72</f>
        <v>1.4731564489785074E-2</v>
      </c>
      <c r="H79" s="180">
        <f t="shared" si="33"/>
        <v>9.5845164284927287E-4</v>
      </c>
      <c r="I79" s="180">
        <f t="shared" si="33"/>
        <v>2.3869443717655471E-4</v>
      </c>
      <c r="J79" s="180">
        <f t="shared" si="33"/>
        <v>6.4740073535919586E-4</v>
      </c>
      <c r="K79" s="180">
        <f t="shared" si="33"/>
        <v>0.16854719231250326</v>
      </c>
      <c r="L79" s="180">
        <f t="shared" si="33"/>
        <v>7.6342199824440862E-2</v>
      </c>
      <c r="M79" s="180">
        <f t="shared" si="33"/>
        <v>3.9929293309960354E-2</v>
      </c>
      <c r="N79" s="180">
        <f t="shared" si="33"/>
        <v>4.2011877159616955E-2</v>
      </c>
      <c r="O79" s="180">
        <f t="shared" si="33"/>
        <v>1.7938248338365562E-2</v>
      </c>
      <c r="P79" s="180">
        <f t="shared" si="33"/>
        <v>2.2025375679247835E-2</v>
      </c>
    </row>
    <row r="80" spans="2:29" ht="15">
      <c r="B80" s="153" t="s">
        <v>385</v>
      </c>
      <c r="C80" s="153"/>
      <c r="D80" s="317"/>
      <c r="E80" s="287" t="s">
        <v>154</v>
      </c>
    </row>
    <row r="81" spans="2:27">
      <c r="B81" s="153" t="s">
        <v>385</v>
      </c>
      <c r="C81" s="153" t="s">
        <v>41</v>
      </c>
      <c r="D81" s="317" t="str">
        <f t="shared" si="31"/>
        <v>DISP_CFL</v>
      </c>
      <c r="E81" s="289" t="s">
        <v>41</v>
      </c>
      <c r="F81" s="180">
        <f>F56*$F$72</f>
        <v>5.6384264473690771E-2</v>
      </c>
      <c r="G81" s="180">
        <f t="shared" ref="G81:P81" si="34">G56*$F$72</f>
        <v>2.1118897473731309E-2</v>
      </c>
      <c r="H81" s="180">
        <f t="shared" si="34"/>
        <v>2.4240954689885907E-2</v>
      </c>
      <c r="I81" s="180">
        <f t="shared" si="34"/>
        <v>9.3527309984042253E-4</v>
      </c>
      <c r="J81" s="180">
        <f t="shared" si="34"/>
        <v>2.780777172554975E-3</v>
      </c>
      <c r="K81" s="180">
        <f t="shared" si="34"/>
        <v>5.7373873717367664E-2</v>
      </c>
      <c r="L81" s="180">
        <f t="shared" si="34"/>
        <v>6.2781412855335755E-2</v>
      </c>
      <c r="M81" s="180">
        <f t="shared" si="34"/>
        <v>4.3993512369410147E-2</v>
      </c>
      <c r="N81" s="180">
        <f t="shared" si="34"/>
        <v>4.8208950723083621E-2</v>
      </c>
      <c r="O81" s="180">
        <f t="shared" si="34"/>
        <v>4.6062227527063085E-2</v>
      </c>
      <c r="P81" s="180">
        <f t="shared" si="34"/>
        <v>3.5263961113008647E-2</v>
      </c>
    </row>
    <row r="82" spans="2:27">
      <c r="B82" s="153" t="s">
        <v>385</v>
      </c>
      <c r="C82" s="153" t="s">
        <v>389</v>
      </c>
      <c r="D82" s="317" t="str">
        <f t="shared" si="31"/>
        <v>DISP_INC_HAL</v>
      </c>
      <c r="E82" s="289" t="s">
        <v>65</v>
      </c>
      <c r="F82" s="180">
        <f>F60*$F$71*$F$72</f>
        <v>4.3959146918761743E-3</v>
      </c>
      <c r="G82" s="180">
        <f t="shared" ref="G82:P82" si="35">G60*$F$71*$F$72</f>
        <v>4.0956012019994333E-2</v>
      </c>
      <c r="H82" s="180">
        <f t="shared" si="35"/>
        <v>2.0526044619118338E-3</v>
      </c>
      <c r="I82" s="180">
        <f t="shared" si="35"/>
        <v>3.8485660791462034E-3</v>
      </c>
      <c r="J82" s="180">
        <f t="shared" si="35"/>
        <v>4.2070448460637129E-2</v>
      </c>
      <c r="K82" s="180">
        <f t="shared" si="35"/>
        <v>4.1143073523678873E-2</v>
      </c>
      <c r="L82" s="180">
        <f t="shared" si="35"/>
        <v>2.256331745583489E-2</v>
      </c>
      <c r="M82" s="180">
        <f t="shared" si="35"/>
        <v>1.5074445925965092E-2</v>
      </c>
      <c r="N82" s="180">
        <f t="shared" si="35"/>
        <v>4.2023302162180753E-2</v>
      </c>
      <c r="O82" s="180">
        <f t="shared" si="35"/>
        <v>2.3967008855673665E-2</v>
      </c>
      <c r="P82" s="180">
        <f t="shared" si="35"/>
        <v>2.0664445597910894E-2</v>
      </c>
    </row>
    <row r="83" spans="2:27" ht="15">
      <c r="B83" s="153" t="s">
        <v>386</v>
      </c>
      <c r="C83" s="153"/>
      <c r="D83" s="317"/>
      <c r="E83" s="287" t="s">
        <v>155</v>
      </c>
    </row>
    <row r="84" spans="2:27">
      <c r="B84" s="153" t="s">
        <v>386</v>
      </c>
      <c r="C84" s="153" t="s">
        <v>388</v>
      </c>
      <c r="D84" s="317" t="str">
        <f t="shared" si="31"/>
        <v>HIGHBAY_LF2018</v>
      </c>
      <c r="E84" s="289" t="s">
        <v>156</v>
      </c>
      <c r="F84" s="180">
        <f>F62*$F$70*$F$72</f>
        <v>1.3484130167184167E-3</v>
      </c>
      <c r="G84" s="180">
        <f t="shared" ref="G84:P84" si="36">G62*$F$70*$F$72</f>
        <v>0.13894025203167104</v>
      </c>
      <c r="H84" s="180">
        <f t="shared" si="36"/>
        <v>7.189606805337434E-2</v>
      </c>
      <c r="I84" s="180">
        <f t="shared" si="36"/>
        <v>0.10438911409314384</v>
      </c>
      <c r="J84" s="180">
        <f t="shared" si="36"/>
        <v>4.6558087239192483E-2</v>
      </c>
      <c r="K84" s="180">
        <f t="shared" si="36"/>
        <v>0</v>
      </c>
      <c r="L84" s="180">
        <f t="shared" si="36"/>
        <v>3.7758252860348026E-3</v>
      </c>
      <c r="M84" s="180">
        <f t="shared" si="36"/>
        <v>3.1175095397144243E-3</v>
      </c>
      <c r="N84" s="180">
        <f t="shared" si="36"/>
        <v>4.6966107596827684E-2</v>
      </c>
      <c r="O84" s="180">
        <f t="shared" si="36"/>
        <v>4.4273006925238542E-2</v>
      </c>
      <c r="P84" s="180">
        <f t="shared" si="36"/>
        <v>5.9754842545690155E-2</v>
      </c>
    </row>
    <row r="85" spans="2:27">
      <c r="B85" s="153" t="s">
        <v>386</v>
      </c>
      <c r="C85" s="153" t="s">
        <v>33</v>
      </c>
      <c r="D85" s="317" t="str">
        <f t="shared" si="31"/>
        <v>HIGHBAY_HID</v>
      </c>
      <c r="E85" s="289" t="s">
        <v>33</v>
      </c>
      <c r="F85" s="180">
        <f>F63*$F$72</f>
        <v>1.1388873725658371E-2</v>
      </c>
      <c r="G85" s="180">
        <f t="shared" ref="G85:P85" si="37">G63*$F$72</f>
        <v>6.2769094532607358E-2</v>
      </c>
      <c r="H85" s="180">
        <f t="shared" si="37"/>
        <v>3.5892548627283374E-2</v>
      </c>
      <c r="I85" s="180">
        <f t="shared" si="37"/>
        <v>5.1637251083419967E-2</v>
      </c>
      <c r="J85" s="180">
        <f t="shared" si="37"/>
        <v>1.6104501706660447E-3</v>
      </c>
      <c r="K85" s="180">
        <f t="shared" si="37"/>
        <v>0</v>
      </c>
      <c r="L85" s="180">
        <f t="shared" si="37"/>
        <v>7.9523539017775614E-4</v>
      </c>
      <c r="M85" s="180">
        <f t="shared" si="37"/>
        <v>5.9686124055721981E-3</v>
      </c>
      <c r="N85" s="180">
        <f t="shared" si="37"/>
        <v>7.4341271667182046E-2</v>
      </c>
      <c r="O85" s="180">
        <f t="shared" si="37"/>
        <v>3.7696737593769132E-2</v>
      </c>
      <c r="P85" s="180">
        <f t="shared" si="37"/>
        <v>3.8157882261154623E-2</v>
      </c>
    </row>
    <row r="86" spans="2:27" ht="15">
      <c r="B86" s="153" t="s">
        <v>387</v>
      </c>
      <c r="C86" s="153"/>
      <c r="D86" s="317"/>
      <c r="E86" s="287" t="s">
        <v>9</v>
      </c>
    </row>
    <row r="87" spans="2:27">
      <c r="B87" s="153" t="s">
        <v>387</v>
      </c>
      <c r="C87" s="153" t="s">
        <v>41</v>
      </c>
      <c r="D87" s="317" t="str">
        <f t="shared" si="31"/>
        <v>OTHER_CFL</v>
      </c>
      <c r="E87" s="289" t="s">
        <v>41</v>
      </c>
      <c r="F87" s="180">
        <f>F65*$F$72</f>
        <v>4.0609295633984785E-2</v>
      </c>
      <c r="G87" s="180">
        <f t="shared" ref="G87:P87" si="38">G65*$F$72</f>
        <v>1.5161184664083237E-2</v>
      </c>
      <c r="H87" s="180">
        <f t="shared" si="38"/>
        <v>3.0838142180195319E-2</v>
      </c>
      <c r="I87" s="180">
        <f t="shared" si="38"/>
        <v>2.40259960692943E-2</v>
      </c>
      <c r="J87" s="180">
        <f t="shared" si="38"/>
        <v>6.1487300318134791E-2</v>
      </c>
      <c r="K87" s="180">
        <f t="shared" si="38"/>
        <v>0.11728784501454971</v>
      </c>
      <c r="L87" s="180">
        <f t="shared" si="38"/>
        <v>0.28879812582770931</v>
      </c>
      <c r="M87" s="180">
        <f t="shared" si="38"/>
        <v>0.16308124024516998</v>
      </c>
      <c r="N87" s="180">
        <f t="shared" si="38"/>
        <v>6.1500404363478402E-2</v>
      </c>
      <c r="O87" s="180">
        <f t="shared" si="38"/>
        <v>0.10396151085836097</v>
      </c>
      <c r="P87" s="180">
        <f t="shared" si="38"/>
        <v>6.1892802048558945E-2</v>
      </c>
    </row>
    <row r="88" spans="2:27">
      <c r="B88" s="153" t="s">
        <v>387</v>
      </c>
      <c r="C88" s="153" t="s">
        <v>389</v>
      </c>
      <c r="D88" s="317" t="str">
        <f t="shared" si="31"/>
        <v>OTHER_INC_HAL</v>
      </c>
      <c r="E88" s="289" t="s">
        <v>65</v>
      </c>
      <c r="F88" s="180">
        <f>F66*$F$71*$F$72</f>
        <v>2.8223462093265789E-2</v>
      </c>
      <c r="G88" s="180">
        <f t="shared" ref="G88:P88" si="39">G66*$F$71*$F$72</f>
        <v>2.0649048085298018E-2</v>
      </c>
      <c r="H88" s="180">
        <f t="shared" si="39"/>
        <v>1.1771513822831321E-2</v>
      </c>
      <c r="I88" s="180">
        <f t="shared" si="39"/>
        <v>3.3567576771250433E-2</v>
      </c>
      <c r="J88" s="180">
        <f t="shared" si="39"/>
        <v>2.4098720103935552E-2</v>
      </c>
      <c r="K88" s="180">
        <f t="shared" si="39"/>
        <v>0.1783169105951741</v>
      </c>
      <c r="L88" s="180">
        <f t="shared" si="39"/>
        <v>0.18187433966084759</v>
      </c>
      <c r="M88" s="180">
        <f t="shared" si="39"/>
        <v>0.29345304265232208</v>
      </c>
      <c r="N88" s="180">
        <f t="shared" si="39"/>
        <v>9.5391810355102316E-2</v>
      </c>
      <c r="O88" s="180">
        <f t="shared" si="39"/>
        <v>2.4234401505886211E-2</v>
      </c>
      <c r="P88" s="180">
        <f t="shared" si="39"/>
        <v>5.5802009995829981E-2</v>
      </c>
    </row>
    <row r="91" spans="2:27">
      <c r="E91" s="309" t="s">
        <v>374</v>
      </c>
      <c r="F91" s="309"/>
      <c r="G91" s="309"/>
      <c r="H91" s="309"/>
      <c r="I91" s="309"/>
      <c r="J91" s="309"/>
      <c r="K91" s="309"/>
      <c r="L91" s="309"/>
      <c r="M91" s="309"/>
      <c r="N91" s="309"/>
      <c r="O91" s="309"/>
      <c r="P91" s="309"/>
    </row>
    <row r="92" spans="2:27" ht="15">
      <c r="F92" s="319" t="s">
        <v>156</v>
      </c>
      <c r="G92" s="319" t="s">
        <v>157</v>
      </c>
      <c r="H92" s="319" t="s">
        <v>157</v>
      </c>
      <c r="I92" s="319" t="s">
        <v>154</v>
      </c>
      <c r="J92" s="319" t="s">
        <v>154</v>
      </c>
      <c r="K92" s="319" t="s">
        <v>155</v>
      </c>
      <c r="L92" s="319" t="s">
        <v>155</v>
      </c>
      <c r="M92" s="319" t="s">
        <v>9</v>
      </c>
      <c r="N92" s="319" t="s">
        <v>9</v>
      </c>
    </row>
    <row r="93" spans="2:27">
      <c r="F93" s="318" t="s">
        <v>156</v>
      </c>
      <c r="G93" s="318" t="s">
        <v>41</v>
      </c>
      <c r="H93" s="318" t="s">
        <v>65</v>
      </c>
      <c r="I93" s="318" t="s">
        <v>41</v>
      </c>
      <c r="J93" s="318" t="s">
        <v>65</v>
      </c>
      <c r="K93" s="318" t="s">
        <v>156</v>
      </c>
      <c r="L93" s="318" t="s">
        <v>33</v>
      </c>
      <c r="M93" s="318" t="s">
        <v>41</v>
      </c>
      <c r="N93" s="318" t="s">
        <v>65</v>
      </c>
    </row>
    <row r="94" spans="2:27">
      <c r="R94" t="s">
        <v>541</v>
      </c>
      <c r="S94">
        <v>1000</v>
      </c>
    </row>
    <row r="95" spans="2:27">
      <c r="E95" s="309" t="s">
        <v>401</v>
      </c>
      <c r="F95" s="309"/>
      <c r="G95" s="309"/>
      <c r="H95" s="309"/>
      <c r="I95" s="309"/>
      <c r="J95" s="309"/>
      <c r="K95" s="309"/>
      <c r="L95" s="309"/>
      <c r="M95" s="309"/>
      <c r="N95" s="309"/>
      <c r="O95" s="309"/>
      <c r="P95" s="309"/>
      <c r="R95" s="309" t="s">
        <v>402</v>
      </c>
      <c r="S95" s="309"/>
      <c r="T95" s="309"/>
      <c r="U95" s="309"/>
      <c r="V95" s="309"/>
      <c r="W95" s="309"/>
      <c r="X95" s="309"/>
      <c r="Y95" s="309"/>
      <c r="Z95" s="309"/>
      <c r="AA95" s="309"/>
    </row>
    <row r="96" spans="2:27" ht="15">
      <c r="E96" s="312" t="s">
        <v>198</v>
      </c>
      <c r="F96" s="317" t="s">
        <v>391</v>
      </c>
      <c r="G96" s="317" t="s">
        <v>392</v>
      </c>
      <c r="H96" s="317" t="s">
        <v>393</v>
      </c>
      <c r="I96" s="317" t="s">
        <v>394</v>
      </c>
      <c r="J96" s="317" t="s">
        <v>395</v>
      </c>
      <c r="K96" s="317" t="s">
        <v>396</v>
      </c>
      <c r="L96" s="317" t="s">
        <v>397</v>
      </c>
      <c r="M96" s="317" t="s">
        <v>398</v>
      </c>
      <c r="N96" s="317" t="s">
        <v>399</v>
      </c>
      <c r="R96" s="312" t="s">
        <v>198</v>
      </c>
      <c r="S96" s="391" t="s">
        <v>391</v>
      </c>
      <c r="T96" s="391" t="s">
        <v>392</v>
      </c>
      <c r="U96" s="391" t="s">
        <v>393</v>
      </c>
      <c r="V96" s="391" t="s">
        <v>394</v>
      </c>
      <c r="W96" s="391" t="s">
        <v>395</v>
      </c>
      <c r="X96" s="391" t="s">
        <v>396</v>
      </c>
      <c r="Y96" s="391" t="s">
        <v>397</v>
      </c>
      <c r="Z96" s="391" t="s">
        <v>398</v>
      </c>
      <c r="AA96" s="391" t="s">
        <v>399</v>
      </c>
    </row>
    <row r="97" spans="3:27">
      <c r="C97" s="153"/>
      <c r="D97" s="153" t="s">
        <v>31</v>
      </c>
      <c r="E97" s="313" t="s">
        <v>23</v>
      </c>
      <c r="F97" s="87">
        <f t="shared" ref="F97:N104" si="40">INDEX($D$74:$P$88,MATCH(F$96,$D$74:$D$88,0),MATCH($D97,$D$74:$P$74,0))</f>
        <v>0.81607007103945928</v>
      </c>
      <c r="G97" s="151">
        <f t="shared" si="40"/>
        <v>5.6384264473690771E-2</v>
      </c>
      <c r="H97" s="151">
        <f t="shared" si="40"/>
        <v>1.5475458816469737E-2</v>
      </c>
      <c r="I97" s="151">
        <f t="shared" si="40"/>
        <v>5.6384264473690771E-2</v>
      </c>
      <c r="J97" s="151">
        <f t="shared" si="40"/>
        <v>4.3959146918761743E-3</v>
      </c>
      <c r="K97" s="151">
        <f t="shared" si="40"/>
        <v>1.3484130167184167E-3</v>
      </c>
      <c r="L97" s="151">
        <f t="shared" si="40"/>
        <v>1.1388873725658371E-2</v>
      </c>
      <c r="M97" s="151">
        <f t="shared" si="40"/>
        <v>4.0609295633984785E-2</v>
      </c>
      <c r="N97" s="151">
        <f t="shared" si="40"/>
        <v>2.8223462093265789E-2</v>
      </c>
      <c r="R97" s="313" t="s">
        <v>23</v>
      </c>
      <c r="S97" s="392">
        <f>F97*$S$94</f>
        <v>816.07007103945932</v>
      </c>
      <c r="T97" s="392">
        <f t="shared" ref="T97:AA112" si="41">G97*$S$94</f>
        <v>56.38426447369077</v>
      </c>
      <c r="U97" s="392">
        <f t="shared" si="41"/>
        <v>15.475458816469736</v>
      </c>
      <c r="V97" s="392">
        <f t="shared" si="41"/>
        <v>56.38426447369077</v>
      </c>
      <c r="W97" s="392">
        <f t="shared" si="41"/>
        <v>4.3959146918761745</v>
      </c>
      <c r="X97" s="392">
        <f t="shared" si="41"/>
        <v>1.3484130167184167</v>
      </c>
      <c r="Y97" s="392">
        <f t="shared" si="41"/>
        <v>11.388873725658371</v>
      </c>
      <c r="Z97" s="392">
        <f t="shared" si="41"/>
        <v>40.609295633984786</v>
      </c>
      <c r="AA97" s="392">
        <f t="shared" si="41"/>
        <v>28.223462093265788</v>
      </c>
    </row>
    <row r="98" spans="3:27">
      <c r="C98" s="153"/>
      <c r="D98" s="153" t="s">
        <v>31</v>
      </c>
      <c r="E98" s="313" t="s">
        <v>22</v>
      </c>
      <c r="F98" s="87">
        <f t="shared" si="40"/>
        <v>0.81607007103945928</v>
      </c>
      <c r="G98" s="151">
        <f t="shared" si="40"/>
        <v>5.6384264473690771E-2</v>
      </c>
      <c r="H98" s="151">
        <f t="shared" si="40"/>
        <v>1.5475458816469737E-2</v>
      </c>
      <c r="I98" s="151">
        <f t="shared" si="40"/>
        <v>5.6384264473690771E-2</v>
      </c>
      <c r="J98" s="151">
        <f t="shared" si="40"/>
        <v>4.3959146918761743E-3</v>
      </c>
      <c r="K98" s="151">
        <f t="shared" si="40"/>
        <v>1.3484130167184167E-3</v>
      </c>
      <c r="L98" s="151">
        <f t="shared" si="40"/>
        <v>1.1388873725658371E-2</v>
      </c>
      <c r="M98" s="151">
        <f t="shared" si="40"/>
        <v>4.0609295633984785E-2</v>
      </c>
      <c r="N98" s="151">
        <f t="shared" si="40"/>
        <v>2.8223462093265789E-2</v>
      </c>
      <c r="R98" s="313" t="s">
        <v>22</v>
      </c>
      <c r="S98" s="392">
        <f t="shared" ref="S98:S115" si="42">F98*$S$94</f>
        <v>816.07007103945932</v>
      </c>
      <c r="T98" s="392">
        <f t="shared" si="41"/>
        <v>56.38426447369077</v>
      </c>
      <c r="U98" s="392">
        <f t="shared" si="41"/>
        <v>15.475458816469736</v>
      </c>
      <c r="V98" s="392">
        <f t="shared" si="41"/>
        <v>56.38426447369077</v>
      </c>
      <c r="W98" s="392">
        <f t="shared" si="41"/>
        <v>4.3959146918761745</v>
      </c>
      <c r="X98" s="392">
        <f t="shared" si="41"/>
        <v>1.3484130167184167</v>
      </c>
      <c r="Y98" s="392">
        <f t="shared" si="41"/>
        <v>11.388873725658371</v>
      </c>
      <c r="Z98" s="392">
        <f t="shared" si="41"/>
        <v>40.609295633984786</v>
      </c>
      <c r="AA98" s="392">
        <f t="shared" si="41"/>
        <v>28.223462093265788</v>
      </c>
    </row>
    <row r="99" spans="3:27">
      <c r="C99" s="153"/>
      <c r="D99" s="153" t="s">
        <v>31</v>
      </c>
      <c r="E99" s="313" t="s">
        <v>21</v>
      </c>
      <c r="F99" s="87">
        <f t="shared" si="40"/>
        <v>0.81607007103945928</v>
      </c>
      <c r="G99" s="151">
        <f t="shared" si="40"/>
        <v>5.6384264473690771E-2</v>
      </c>
      <c r="H99" s="151">
        <f t="shared" si="40"/>
        <v>1.5475458816469737E-2</v>
      </c>
      <c r="I99" s="151">
        <f t="shared" si="40"/>
        <v>5.6384264473690771E-2</v>
      </c>
      <c r="J99" s="151">
        <f t="shared" si="40"/>
        <v>4.3959146918761743E-3</v>
      </c>
      <c r="K99" s="151">
        <f t="shared" si="40"/>
        <v>1.3484130167184167E-3</v>
      </c>
      <c r="L99" s="151">
        <f t="shared" si="40"/>
        <v>1.1388873725658371E-2</v>
      </c>
      <c r="M99" s="151">
        <f t="shared" si="40"/>
        <v>4.0609295633984785E-2</v>
      </c>
      <c r="N99" s="151">
        <f t="shared" si="40"/>
        <v>2.8223462093265789E-2</v>
      </c>
      <c r="R99" s="313" t="s">
        <v>21</v>
      </c>
      <c r="S99" s="392">
        <f t="shared" si="42"/>
        <v>816.07007103945932</v>
      </c>
      <c r="T99" s="392">
        <f t="shared" si="41"/>
        <v>56.38426447369077</v>
      </c>
      <c r="U99" s="392">
        <f t="shared" si="41"/>
        <v>15.475458816469736</v>
      </c>
      <c r="V99" s="392">
        <f t="shared" si="41"/>
        <v>56.38426447369077</v>
      </c>
      <c r="W99" s="392">
        <f t="shared" si="41"/>
        <v>4.3959146918761745</v>
      </c>
      <c r="X99" s="392">
        <f t="shared" si="41"/>
        <v>1.3484130167184167</v>
      </c>
      <c r="Y99" s="392">
        <f t="shared" si="41"/>
        <v>11.388873725658371</v>
      </c>
      <c r="Z99" s="392">
        <f t="shared" si="41"/>
        <v>40.609295633984786</v>
      </c>
      <c r="AA99" s="392">
        <f t="shared" si="41"/>
        <v>28.223462093265788</v>
      </c>
    </row>
    <row r="100" spans="3:27">
      <c r="C100" s="153"/>
      <c r="D100" s="153" t="s">
        <v>72</v>
      </c>
      <c r="E100" s="313" t="s">
        <v>375</v>
      </c>
      <c r="F100" s="87">
        <f t="shared" si="40"/>
        <v>0.73172819309431125</v>
      </c>
      <c r="G100" s="151">
        <f t="shared" si="40"/>
        <v>2.1118897473731309E-2</v>
      </c>
      <c r="H100" s="151">
        <f t="shared" si="40"/>
        <v>1.4731564489785074E-2</v>
      </c>
      <c r="I100" s="151">
        <f t="shared" si="40"/>
        <v>2.1118897473731309E-2</v>
      </c>
      <c r="J100" s="151">
        <f t="shared" si="40"/>
        <v>4.0956012019994333E-2</v>
      </c>
      <c r="K100" s="151">
        <f t="shared" si="40"/>
        <v>0.13894025203167104</v>
      </c>
      <c r="L100" s="151">
        <f t="shared" si="40"/>
        <v>6.2769094532607358E-2</v>
      </c>
      <c r="M100" s="151">
        <f t="shared" si="40"/>
        <v>1.5161184664083237E-2</v>
      </c>
      <c r="N100" s="151">
        <f t="shared" si="40"/>
        <v>2.0649048085298018E-2</v>
      </c>
      <c r="R100" s="313" t="s">
        <v>375</v>
      </c>
      <c r="S100" s="392">
        <f t="shared" si="42"/>
        <v>731.72819309431122</v>
      </c>
      <c r="T100" s="392">
        <f t="shared" si="41"/>
        <v>21.118897473731309</v>
      </c>
      <c r="U100" s="392">
        <f t="shared" si="41"/>
        <v>14.731564489785075</v>
      </c>
      <c r="V100" s="392">
        <f t="shared" si="41"/>
        <v>21.118897473731309</v>
      </c>
      <c r="W100" s="392">
        <f t="shared" si="41"/>
        <v>40.956012019994333</v>
      </c>
      <c r="X100" s="392">
        <f t="shared" si="41"/>
        <v>138.94025203167104</v>
      </c>
      <c r="Y100" s="392">
        <f t="shared" si="41"/>
        <v>62.769094532607362</v>
      </c>
      <c r="Z100" s="392">
        <f t="shared" si="41"/>
        <v>15.161184664083237</v>
      </c>
      <c r="AA100" s="392">
        <f t="shared" si="41"/>
        <v>20.64904808529802</v>
      </c>
    </row>
    <row r="101" spans="3:27">
      <c r="C101" s="153"/>
      <c r="D101" s="153" t="s">
        <v>72</v>
      </c>
      <c r="E101" s="313" t="s">
        <v>376</v>
      </c>
      <c r="F101" s="87">
        <f t="shared" si="40"/>
        <v>0.73172819309431125</v>
      </c>
      <c r="G101" s="151">
        <f t="shared" si="40"/>
        <v>2.1118897473731309E-2</v>
      </c>
      <c r="H101" s="151">
        <f t="shared" si="40"/>
        <v>1.4731564489785074E-2</v>
      </c>
      <c r="I101" s="151">
        <f t="shared" si="40"/>
        <v>2.1118897473731309E-2</v>
      </c>
      <c r="J101" s="151">
        <f t="shared" si="40"/>
        <v>4.0956012019994333E-2</v>
      </c>
      <c r="K101" s="151">
        <f t="shared" si="40"/>
        <v>0.13894025203167104</v>
      </c>
      <c r="L101" s="151">
        <f t="shared" si="40"/>
        <v>6.2769094532607358E-2</v>
      </c>
      <c r="M101" s="151">
        <f t="shared" si="40"/>
        <v>1.5161184664083237E-2</v>
      </c>
      <c r="N101" s="151">
        <f t="shared" si="40"/>
        <v>2.0649048085298018E-2</v>
      </c>
      <c r="R101" s="313" t="s">
        <v>376</v>
      </c>
      <c r="S101" s="392">
        <f t="shared" si="42"/>
        <v>731.72819309431122</v>
      </c>
      <c r="T101" s="392">
        <f t="shared" si="41"/>
        <v>21.118897473731309</v>
      </c>
      <c r="U101" s="392">
        <f t="shared" si="41"/>
        <v>14.731564489785075</v>
      </c>
      <c r="V101" s="392">
        <f t="shared" si="41"/>
        <v>21.118897473731309</v>
      </c>
      <c r="W101" s="392">
        <f t="shared" si="41"/>
        <v>40.956012019994333</v>
      </c>
      <c r="X101" s="392">
        <f t="shared" si="41"/>
        <v>138.94025203167104</v>
      </c>
      <c r="Y101" s="392">
        <f t="shared" si="41"/>
        <v>62.769094532607362</v>
      </c>
      <c r="Z101" s="392">
        <f t="shared" si="41"/>
        <v>15.161184664083237</v>
      </c>
      <c r="AA101" s="392">
        <f t="shared" si="41"/>
        <v>20.64904808529802</v>
      </c>
    </row>
    <row r="102" spans="3:27">
      <c r="C102" s="153"/>
      <c r="D102" s="153" t="s">
        <v>72</v>
      </c>
      <c r="E102" s="313" t="s">
        <v>377</v>
      </c>
      <c r="F102" s="87">
        <f t="shared" si="40"/>
        <v>0.73172819309431125</v>
      </c>
      <c r="G102" s="151">
        <f t="shared" si="40"/>
        <v>2.1118897473731309E-2</v>
      </c>
      <c r="H102" s="151">
        <f t="shared" si="40"/>
        <v>1.4731564489785074E-2</v>
      </c>
      <c r="I102" s="151">
        <f t="shared" si="40"/>
        <v>2.1118897473731309E-2</v>
      </c>
      <c r="J102" s="151">
        <f t="shared" si="40"/>
        <v>4.0956012019994333E-2</v>
      </c>
      <c r="K102" s="151">
        <f t="shared" si="40"/>
        <v>0.13894025203167104</v>
      </c>
      <c r="L102" s="151">
        <f t="shared" si="40"/>
        <v>6.2769094532607358E-2</v>
      </c>
      <c r="M102" s="151">
        <f t="shared" si="40"/>
        <v>1.5161184664083237E-2</v>
      </c>
      <c r="N102" s="151">
        <f t="shared" si="40"/>
        <v>2.0649048085298018E-2</v>
      </c>
      <c r="R102" s="313" t="s">
        <v>377</v>
      </c>
      <c r="S102" s="392">
        <f t="shared" si="42"/>
        <v>731.72819309431122</v>
      </c>
      <c r="T102" s="392">
        <f t="shared" si="41"/>
        <v>21.118897473731309</v>
      </c>
      <c r="U102" s="392">
        <f t="shared" si="41"/>
        <v>14.731564489785075</v>
      </c>
      <c r="V102" s="392">
        <f t="shared" si="41"/>
        <v>21.118897473731309</v>
      </c>
      <c r="W102" s="392">
        <f t="shared" si="41"/>
        <v>40.956012019994333</v>
      </c>
      <c r="X102" s="392">
        <f t="shared" si="41"/>
        <v>138.94025203167104</v>
      </c>
      <c r="Y102" s="392">
        <f t="shared" si="41"/>
        <v>62.769094532607362</v>
      </c>
      <c r="Z102" s="392">
        <f t="shared" si="41"/>
        <v>15.161184664083237</v>
      </c>
      <c r="AA102" s="392">
        <f t="shared" si="41"/>
        <v>20.64904808529802</v>
      </c>
    </row>
    <row r="103" spans="3:27">
      <c r="C103" s="153"/>
      <c r="D103" s="153" t="s">
        <v>72</v>
      </c>
      <c r="E103" s="313" t="s">
        <v>378</v>
      </c>
      <c r="F103" s="87">
        <f t="shared" si="40"/>
        <v>0.73172819309431125</v>
      </c>
      <c r="G103" s="151">
        <f t="shared" si="40"/>
        <v>2.1118897473731309E-2</v>
      </c>
      <c r="H103" s="151">
        <f t="shared" si="40"/>
        <v>1.4731564489785074E-2</v>
      </c>
      <c r="I103" s="151">
        <f t="shared" si="40"/>
        <v>2.1118897473731309E-2</v>
      </c>
      <c r="J103" s="151">
        <f t="shared" si="40"/>
        <v>4.0956012019994333E-2</v>
      </c>
      <c r="K103" s="151">
        <f t="shared" si="40"/>
        <v>0.13894025203167104</v>
      </c>
      <c r="L103" s="151">
        <f t="shared" si="40"/>
        <v>6.2769094532607358E-2</v>
      </c>
      <c r="M103" s="151">
        <f t="shared" si="40"/>
        <v>1.5161184664083237E-2</v>
      </c>
      <c r="N103" s="151">
        <f t="shared" si="40"/>
        <v>2.0649048085298018E-2</v>
      </c>
      <c r="R103" s="313" t="s">
        <v>378</v>
      </c>
      <c r="S103" s="392">
        <f t="shared" si="42"/>
        <v>731.72819309431122</v>
      </c>
      <c r="T103" s="392">
        <f t="shared" si="41"/>
        <v>21.118897473731309</v>
      </c>
      <c r="U103" s="392">
        <f t="shared" si="41"/>
        <v>14.731564489785075</v>
      </c>
      <c r="V103" s="392">
        <f t="shared" si="41"/>
        <v>21.118897473731309</v>
      </c>
      <c r="W103" s="392">
        <f t="shared" si="41"/>
        <v>40.956012019994333</v>
      </c>
      <c r="X103" s="392">
        <f t="shared" si="41"/>
        <v>138.94025203167104</v>
      </c>
      <c r="Y103" s="392">
        <f t="shared" si="41"/>
        <v>62.769094532607362</v>
      </c>
      <c r="Z103" s="392">
        <f t="shared" si="41"/>
        <v>15.161184664083237</v>
      </c>
      <c r="AA103" s="392">
        <f t="shared" si="41"/>
        <v>20.64904808529802</v>
      </c>
    </row>
    <row r="104" spans="3:27">
      <c r="C104" s="153"/>
      <c r="D104" s="153" t="s">
        <v>73</v>
      </c>
      <c r="E104" s="313" t="s">
        <v>73</v>
      </c>
      <c r="F104" s="87">
        <f t="shared" si="40"/>
        <v>0.72824442814703627</v>
      </c>
      <c r="G104" s="151">
        <f t="shared" si="40"/>
        <v>2.4240954689885907E-2</v>
      </c>
      <c r="H104" s="151">
        <f t="shared" si="40"/>
        <v>9.5845164284927287E-4</v>
      </c>
      <c r="I104" s="151">
        <f t="shared" si="40"/>
        <v>2.4240954689885907E-2</v>
      </c>
      <c r="J104" s="151">
        <f t="shared" si="40"/>
        <v>2.0526044619118338E-3</v>
      </c>
      <c r="K104" s="151">
        <f t="shared" si="40"/>
        <v>7.189606805337434E-2</v>
      </c>
      <c r="L104" s="151">
        <f t="shared" si="40"/>
        <v>3.5892548627283374E-2</v>
      </c>
      <c r="M104" s="151">
        <f t="shared" si="40"/>
        <v>3.0838142180195319E-2</v>
      </c>
      <c r="N104" s="151">
        <f t="shared" si="40"/>
        <v>1.1771513822831321E-2</v>
      </c>
      <c r="R104" s="313" t="s">
        <v>73</v>
      </c>
      <c r="S104" s="392">
        <f t="shared" si="42"/>
        <v>728.24442814703627</v>
      </c>
      <c r="T104" s="392">
        <f t="shared" si="41"/>
        <v>24.240954689885907</v>
      </c>
      <c r="U104" s="392">
        <f t="shared" si="41"/>
        <v>0.95845164284927287</v>
      </c>
      <c r="V104" s="392">
        <f t="shared" si="41"/>
        <v>24.240954689885907</v>
      </c>
      <c r="W104" s="392">
        <f t="shared" si="41"/>
        <v>2.0526044619118338</v>
      </c>
      <c r="X104" s="392">
        <f t="shared" si="41"/>
        <v>71.896068053374336</v>
      </c>
      <c r="Y104" s="392">
        <f t="shared" si="41"/>
        <v>35.892548627283375</v>
      </c>
      <c r="Z104" s="392">
        <f t="shared" si="41"/>
        <v>30.838142180195319</v>
      </c>
      <c r="AA104" s="392">
        <f t="shared" si="41"/>
        <v>11.771513822831322</v>
      </c>
    </row>
    <row r="105" spans="3:27">
      <c r="C105" s="153">
        <v>1</v>
      </c>
      <c r="D105" s="153" t="s">
        <v>62</v>
      </c>
      <c r="E105" s="313" t="s">
        <v>17</v>
      </c>
      <c r="F105" s="87">
        <f t="shared" ref="F105:N105" si="43">INDEX($D$74:$P$88,MATCH(F$96,$D$74:$D$88,0),MATCH($D105,$D$74:$P$74,0))*$C$105</f>
        <v>0.59465094628580284</v>
      </c>
      <c r="G105" s="151">
        <f t="shared" si="43"/>
        <v>3.5263961113008647E-2</v>
      </c>
      <c r="H105" s="151">
        <f t="shared" si="43"/>
        <v>2.2025375679247835E-2</v>
      </c>
      <c r="I105" s="151">
        <f t="shared" si="43"/>
        <v>3.5263961113008647E-2</v>
      </c>
      <c r="J105" s="151">
        <f t="shared" si="43"/>
        <v>2.0664445597910894E-2</v>
      </c>
      <c r="K105" s="151">
        <f t="shared" si="43"/>
        <v>5.9754842545690155E-2</v>
      </c>
      <c r="L105" s="151">
        <f t="shared" si="43"/>
        <v>3.8157882261154623E-2</v>
      </c>
      <c r="M105" s="151">
        <f t="shared" si="43"/>
        <v>6.1892802048558945E-2</v>
      </c>
      <c r="N105" s="151">
        <f t="shared" si="43"/>
        <v>5.5802009995829981E-2</v>
      </c>
      <c r="R105" s="313" t="s">
        <v>17</v>
      </c>
      <c r="S105" s="392">
        <f t="shared" si="42"/>
        <v>594.65094628580289</v>
      </c>
      <c r="T105" s="392">
        <f t="shared" si="41"/>
        <v>35.263961113008648</v>
      </c>
      <c r="U105" s="392">
        <f t="shared" si="41"/>
        <v>22.025375679247833</v>
      </c>
      <c r="V105" s="392">
        <f t="shared" si="41"/>
        <v>35.263961113008648</v>
      </c>
      <c r="W105" s="392">
        <f t="shared" si="41"/>
        <v>20.664445597910895</v>
      </c>
      <c r="X105" s="392">
        <f t="shared" si="41"/>
        <v>59.754842545690153</v>
      </c>
      <c r="Y105" s="392">
        <f t="shared" si="41"/>
        <v>38.157882261154626</v>
      </c>
      <c r="Z105" s="392">
        <f t="shared" si="41"/>
        <v>61.892802048558949</v>
      </c>
      <c r="AA105" s="392">
        <f t="shared" si="41"/>
        <v>55.802009995829984</v>
      </c>
    </row>
    <row r="106" spans="3:27">
      <c r="C106" s="153"/>
      <c r="D106" s="153" t="s">
        <v>16</v>
      </c>
      <c r="E106" s="313" t="s">
        <v>16</v>
      </c>
      <c r="F106" s="87">
        <f t="shared" ref="F106:N110" si="44">INDEX($D$74:$P$88,MATCH(F$96,$D$74:$D$88,0),MATCH($D106,$D$74:$P$74,0))</f>
        <v>0.31320258124539285</v>
      </c>
      <c r="G106" s="151">
        <f t="shared" si="44"/>
        <v>9.3527309984042253E-4</v>
      </c>
      <c r="H106" s="151">
        <f t="shared" si="44"/>
        <v>2.3869443717655471E-4</v>
      </c>
      <c r="I106" s="151">
        <f t="shared" si="44"/>
        <v>9.3527309984042253E-4</v>
      </c>
      <c r="J106" s="151">
        <f t="shared" si="44"/>
        <v>3.8485660791462034E-3</v>
      </c>
      <c r="K106" s="151">
        <f t="shared" si="44"/>
        <v>0.10438911409314384</v>
      </c>
      <c r="L106" s="151">
        <f t="shared" si="44"/>
        <v>5.1637251083419967E-2</v>
      </c>
      <c r="M106" s="151">
        <f t="shared" si="44"/>
        <v>2.40259960692943E-2</v>
      </c>
      <c r="N106" s="151">
        <f t="shared" si="44"/>
        <v>3.3567576771250433E-2</v>
      </c>
      <c r="R106" s="313" t="s">
        <v>16</v>
      </c>
      <c r="S106" s="392">
        <f t="shared" si="42"/>
        <v>313.20258124539288</v>
      </c>
      <c r="T106" s="392">
        <f t="shared" si="41"/>
        <v>0.93527309984042251</v>
      </c>
      <c r="U106" s="392">
        <f t="shared" si="41"/>
        <v>0.23869443717655472</v>
      </c>
      <c r="V106" s="392">
        <f t="shared" si="41"/>
        <v>0.93527309984042251</v>
      </c>
      <c r="W106" s="392">
        <f t="shared" si="41"/>
        <v>3.8485660791462033</v>
      </c>
      <c r="X106" s="392">
        <f t="shared" si="41"/>
        <v>104.38911409314385</v>
      </c>
      <c r="Y106" s="392">
        <f t="shared" si="41"/>
        <v>51.637251083419969</v>
      </c>
      <c r="Z106" s="392">
        <f t="shared" si="41"/>
        <v>24.025996069294301</v>
      </c>
      <c r="AA106" s="392">
        <f t="shared" si="41"/>
        <v>33.567576771250437</v>
      </c>
    </row>
    <row r="107" spans="3:27">
      <c r="C107" s="153"/>
      <c r="D107" s="153" t="s">
        <v>28</v>
      </c>
      <c r="E107" s="313" t="s">
        <v>15</v>
      </c>
      <c r="F107" s="87">
        <f t="shared" si="44"/>
        <v>0.84003890880623489</v>
      </c>
      <c r="G107" s="151">
        <f t="shared" si="44"/>
        <v>2.780777172554975E-3</v>
      </c>
      <c r="H107" s="151">
        <f t="shared" si="44"/>
        <v>6.4740073535919586E-4</v>
      </c>
      <c r="I107" s="151">
        <f t="shared" si="44"/>
        <v>2.780777172554975E-3</v>
      </c>
      <c r="J107" s="151">
        <f t="shared" si="44"/>
        <v>4.2070448460637129E-2</v>
      </c>
      <c r="K107" s="151">
        <f t="shared" si="44"/>
        <v>4.6558087239192483E-2</v>
      </c>
      <c r="L107" s="151">
        <f t="shared" si="44"/>
        <v>1.6104501706660447E-3</v>
      </c>
      <c r="M107" s="151">
        <f t="shared" si="44"/>
        <v>6.1487300318134791E-2</v>
      </c>
      <c r="N107" s="151">
        <f t="shared" si="44"/>
        <v>2.4098720103935552E-2</v>
      </c>
      <c r="R107" s="313" t="s">
        <v>15</v>
      </c>
      <c r="S107" s="392">
        <f t="shared" si="42"/>
        <v>840.03890880623487</v>
      </c>
      <c r="T107" s="392">
        <f t="shared" si="41"/>
        <v>2.7807771725549748</v>
      </c>
      <c r="U107" s="392">
        <f t="shared" si="41"/>
        <v>0.64740073535919584</v>
      </c>
      <c r="V107" s="392">
        <f t="shared" si="41"/>
        <v>2.7807771725549748</v>
      </c>
      <c r="W107" s="392">
        <f t="shared" si="41"/>
        <v>42.070448460637131</v>
      </c>
      <c r="X107" s="392">
        <f t="shared" si="41"/>
        <v>46.558087239192481</v>
      </c>
      <c r="Y107" s="392">
        <f t="shared" si="41"/>
        <v>1.6104501706660448</v>
      </c>
      <c r="Z107" s="392">
        <f t="shared" si="41"/>
        <v>61.487300318134793</v>
      </c>
      <c r="AA107" s="392">
        <f t="shared" si="41"/>
        <v>24.098720103935552</v>
      </c>
    </row>
    <row r="108" spans="3:27">
      <c r="C108" s="153"/>
      <c r="D108" s="153" t="s">
        <v>28</v>
      </c>
      <c r="E108" s="313" t="s">
        <v>54</v>
      </c>
      <c r="F108" s="87">
        <f t="shared" si="44"/>
        <v>0.84003890880623489</v>
      </c>
      <c r="G108" s="151">
        <f t="shared" si="44"/>
        <v>2.780777172554975E-3</v>
      </c>
      <c r="H108" s="151">
        <f t="shared" si="44"/>
        <v>6.4740073535919586E-4</v>
      </c>
      <c r="I108" s="151">
        <f t="shared" si="44"/>
        <v>2.780777172554975E-3</v>
      </c>
      <c r="J108" s="151">
        <f t="shared" si="44"/>
        <v>4.2070448460637129E-2</v>
      </c>
      <c r="K108" s="151">
        <f t="shared" si="44"/>
        <v>4.6558087239192483E-2</v>
      </c>
      <c r="L108" s="151">
        <f t="shared" si="44"/>
        <v>1.6104501706660447E-3</v>
      </c>
      <c r="M108" s="151">
        <f t="shared" si="44"/>
        <v>6.1487300318134791E-2</v>
      </c>
      <c r="N108" s="151">
        <f t="shared" si="44"/>
        <v>2.4098720103935552E-2</v>
      </c>
      <c r="R108" s="313" t="s">
        <v>54</v>
      </c>
      <c r="S108" s="392">
        <f t="shared" si="42"/>
        <v>840.03890880623487</v>
      </c>
      <c r="T108" s="392">
        <f t="shared" si="41"/>
        <v>2.7807771725549748</v>
      </c>
      <c r="U108" s="392">
        <f t="shared" si="41"/>
        <v>0.64740073535919584</v>
      </c>
      <c r="V108" s="392">
        <f t="shared" si="41"/>
        <v>2.7807771725549748</v>
      </c>
      <c r="W108" s="392">
        <f t="shared" si="41"/>
        <v>42.070448460637131</v>
      </c>
      <c r="X108" s="392">
        <f t="shared" si="41"/>
        <v>46.558087239192481</v>
      </c>
      <c r="Y108" s="392">
        <f t="shared" si="41"/>
        <v>1.6104501706660448</v>
      </c>
      <c r="Z108" s="392">
        <f t="shared" si="41"/>
        <v>61.487300318134793</v>
      </c>
      <c r="AA108" s="392">
        <f t="shared" si="41"/>
        <v>24.098720103935552</v>
      </c>
    </row>
    <row r="109" spans="3:27">
      <c r="C109" s="153"/>
      <c r="D109" s="153" t="s">
        <v>14</v>
      </c>
      <c r="E109" s="313" t="s">
        <v>14</v>
      </c>
      <c r="F109" s="87">
        <f t="shared" si="44"/>
        <v>0.4412933851248283</v>
      </c>
      <c r="G109" s="151">
        <f t="shared" si="44"/>
        <v>5.7373873717367664E-2</v>
      </c>
      <c r="H109" s="151">
        <f t="shared" si="44"/>
        <v>0.16854719231250326</v>
      </c>
      <c r="I109" s="151">
        <f t="shared" si="44"/>
        <v>5.7373873717367664E-2</v>
      </c>
      <c r="J109" s="151">
        <f t="shared" si="44"/>
        <v>4.1143073523678873E-2</v>
      </c>
      <c r="K109" s="151">
        <f t="shared" si="44"/>
        <v>0</v>
      </c>
      <c r="L109" s="151">
        <f t="shared" si="44"/>
        <v>0</v>
      </c>
      <c r="M109" s="151">
        <f t="shared" si="44"/>
        <v>0.11728784501454971</v>
      </c>
      <c r="N109" s="151">
        <f t="shared" si="44"/>
        <v>0.1783169105951741</v>
      </c>
      <c r="R109" s="313" t="s">
        <v>14</v>
      </c>
      <c r="S109" s="392">
        <f t="shared" si="42"/>
        <v>441.29338512482832</v>
      </c>
      <c r="T109" s="392">
        <f t="shared" si="41"/>
        <v>57.373873717367665</v>
      </c>
      <c r="U109" s="392">
        <f t="shared" si="41"/>
        <v>168.54719231250326</v>
      </c>
      <c r="V109" s="392">
        <f t="shared" si="41"/>
        <v>57.373873717367665</v>
      </c>
      <c r="W109" s="392">
        <f t="shared" si="41"/>
        <v>41.143073523678872</v>
      </c>
      <c r="X109" s="392">
        <f t="shared" si="41"/>
        <v>0</v>
      </c>
      <c r="Y109" s="392">
        <f t="shared" si="41"/>
        <v>0</v>
      </c>
      <c r="Z109" s="392">
        <f t="shared" si="41"/>
        <v>117.28784501454972</v>
      </c>
      <c r="AA109" s="392">
        <f t="shared" si="41"/>
        <v>178.31691059517411</v>
      </c>
    </row>
    <row r="110" spans="3:27">
      <c r="C110" s="153"/>
      <c r="D110" s="153" t="s">
        <v>13</v>
      </c>
      <c r="E110" s="313" t="s">
        <v>13</v>
      </c>
      <c r="F110" s="87">
        <f t="shared" si="44"/>
        <v>0.15904342160424845</v>
      </c>
      <c r="G110" s="151">
        <f t="shared" si="44"/>
        <v>6.2781412855335755E-2</v>
      </c>
      <c r="H110" s="151">
        <f t="shared" si="44"/>
        <v>7.6342199824440862E-2</v>
      </c>
      <c r="I110" s="151">
        <f t="shared" si="44"/>
        <v>6.2781412855335755E-2</v>
      </c>
      <c r="J110" s="151">
        <f t="shared" si="44"/>
        <v>2.256331745583489E-2</v>
      </c>
      <c r="K110" s="151">
        <f t="shared" si="44"/>
        <v>3.7758252860348026E-3</v>
      </c>
      <c r="L110" s="151">
        <f t="shared" si="44"/>
        <v>7.9523539017775614E-4</v>
      </c>
      <c r="M110" s="151">
        <f t="shared" si="44"/>
        <v>0.28879812582770931</v>
      </c>
      <c r="N110" s="151">
        <f t="shared" si="44"/>
        <v>0.18187433966084759</v>
      </c>
      <c r="R110" s="313" t="s">
        <v>13</v>
      </c>
      <c r="S110" s="392">
        <f t="shared" si="42"/>
        <v>159.04342160424844</v>
      </c>
      <c r="T110" s="392">
        <f t="shared" si="41"/>
        <v>62.781412855335752</v>
      </c>
      <c r="U110" s="392">
        <f t="shared" si="41"/>
        <v>76.342199824440868</v>
      </c>
      <c r="V110" s="392">
        <f t="shared" si="41"/>
        <v>62.781412855335752</v>
      </c>
      <c r="W110" s="392">
        <f t="shared" si="41"/>
        <v>22.563317455834891</v>
      </c>
      <c r="X110" s="392">
        <f t="shared" si="41"/>
        <v>3.7758252860348027</v>
      </c>
      <c r="Y110" s="392">
        <f t="shared" si="41"/>
        <v>0.79523539017775613</v>
      </c>
      <c r="Z110" s="392">
        <f t="shared" si="41"/>
        <v>288.79812582770933</v>
      </c>
      <c r="AA110" s="392">
        <f t="shared" si="41"/>
        <v>181.8743396608476</v>
      </c>
    </row>
    <row r="111" spans="3:27">
      <c r="C111" s="153">
        <v>1.1000000000000001</v>
      </c>
      <c r="D111" s="153" t="s">
        <v>62</v>
      </c>
      <c r="E111" s="313" t="s">
        <v>12</v>
      </c>
      <c r="F111" s="87">
        <f t="shared" ref="F111:N111" si="45">INDEX($D$74:$P$88,MATCH(F$96,$D$74:$D$88,0),MATCH($D111,$D$74:$P$74,0))*$C$111</f>
        <v>0.65411604091438313</v>
      </c>
      <c r="G111" s="151">
        <f t="shared" si="45"/>
        <v>3.8790357224309513E-2</v>
      </c>
      <c r="H111" s="151">
        <f t="shared" si="45"/>
        <v>2.4227913247172619E-2</v>
      </c>
      <c r="I111" s="151">
        <f t="shared" si="45"/>
        <v>3.8790357224309513E-2</v>
      </c>
      <c r="J111" s="151">
        <f t="shared" si="45"/>
        <v>2.2730890157701987E-2</v>
      </c>
      <c r="K111" s="151">
        <f t="shared" si="45"/>
        <v>6.573032680025917E-2</v>
      </c>
      <c r="L111" s="151">
        <f t="shared" si="45"/>
        <v>4.197367048727009E-2</v>
      </c>
      <c r="M111" s="151">
        <f t="shared" si="45"/>
        <v>6.8082082253414847E-2</v>
      </c>
      <c r="N111" s="151">
        <f t="shared" si="45"/>
        <v>6.1382210995412981E-2</v>
      </c>
      <c r="R111" s="313" t="s">
        <v>12</v>
      </c>
      <c r="S111" s="392">
        <f t="shared" si="42"/>
        <v>654.11604091438312</v>
      </c>
      <c r="T111" s="392">
        <f t="shared" si="41"/>
        <v>38.79035722430951</v>
      </c>
      <c r="U111" s="392">
        <f t="shared" si="41"/>
        <v>24.227913247172619</v>
      </c>
      <c r="V111" s="392">
        <f t="shared" si="41"/>
        <v>38.79035722430951</v>
      </c>
      <c r="W111" s="392">
        <f t="shared" si="41"/>
        <v>22.730890157701985</v>
      </c>
      <c r="X111" s="392">
        <f t="shared" si="41"/>
        <v>65.730326800259164</v>
      </c>
      <c r="Y111" s="392">
        <f t="shared" si="41"/>
        <v>41.973670487270091</v>
      </c>
      <c r="Z111" s="392">
        <f t="shared" si="41"/>
        <v>68.082082253414853</v>
      </c>
      <c r="AA111" s="392">
        <f t="shared" si="41"/>
        <v>61.382210995412983</v>
      </c>
    </row>
    <row r="112" spans="3:27">
      <c r="C112" s="153"/>
      <c r="D112" s="153" t="s">
        <v>158</v>
      </c>
      <c r="E112" s="313" t="s">
        <v>158</v>
      </c>
      <c r="F112" s="87">
        <f t="shared" ref="F112:N115" si="46">INDEX($D$74:$P$88,MATCH(F$96,$D$74:$D$88,0),MATCH($D112,$D$74:$P$74,0))</f>
        <v>0.41429590099129854</v>
      </c>
      <c r="G112" s="151">
        <f t="shared" si="46"/>
        <v>4.3993512369410147E-2</v>
      </c>
      <c r="H112" s="151">
        <f t="shared" si="46"/>
        <v>3.9929293309960354E-2</v>
      </c>
      <c r="I112" s="151">
        <f t="shared" si="46"/>
        <v>4.3993512369410147E-2</v>
      </c>
      <c r="J112" s="151">
        <f t="shared" si="46"/>
        <v>1.5074445925965092E-2</v>
      </c>
      <c r="K112" s="151">
        <f t="shared" si="46"/>
        <v>3.1175095397144243E-3</v>
      </c>
      <c r="L112" s="151">
        <f t="shared" si="46"/>
        <v>5.9686124055721981E-3</v>
      </c>
      <c r="M112" s="151">
        <f t="shared" si="46"/>
        <v>0.16308124024516998</v>
      </c>
      <c r="N112" s="151">
        <f t="shared" si="46"/>
        <v>0.29345304265232208</v>
      </c>
      <c r="R112" s="313" t="s">
        <v>158</v>
      </c>
      <c r="S112" s="392">
        <f t="shared" si="42"/>
        <v>414.29590099129854</v>
      </c>
      <c r="T112" s="392">
        <f t="shared" si="41"/>
        <v>43.993512369410148</v>
      </c>
      <c r="U112" s="392">
        <f t="shared" si="41"/>
        <v>39.92929330996035</v>
      </c>
      <c r="V112" s="392">
        <f t="shared" si="41"/>
        <v>43.993512369410148</v>
      </c>
      <c r="W112" s="392">
        <f t="shared" si="41"/>
        <v>15.074445925965092</v>
      </c>
      <c r="X112" s="392">
        <f t="shared" si="41"/>
        <v>3.1175095397144243</v>
      </c>
      <c r="Y112" s="392">
        <f t="shared" si="41"/>
        <v>5.9686124055721983</v>
      </c>
      <c r="Z112" s="392">
        <f t="shared" si="41"/>
        <v>163.08124024516999</v>
      </c>
      <c r="AA112" s="392">
        <f t="shared" si="41"/>
        <v>293.4530426523221</v>
      </c>
    </row>
    <row r="113" spans="3:27">
      <c r="C113" s="153"/>
      <c r="D113" s="153" t="s">
        <v>10</v>
      </c>
      <c r="E113" s="313" t="s">
        <v>10</v>
      </c>
      <c r="F113" s="87">
        <f t="shared" si="46"/>
        <v>0.49641968304817025</v>
      </c>
      <c r="G113" s="151">
        <f t="shared" si="46"/>
        <v>4.8208950723083621E-2</v>
      </c>
      <c r="H113" s="151">
        <f t="shared" si="46"/>
        <v>4.2011877159616955E-2</v>
      </c>
      <c r="I113" s="151">
        <f t="shared" si="46"/>
        <v>4.8208950723083621E-2</v>
      </c>
      <c r="J113" s="151">
        <f t="shared" si="46"/>
        <v>4.2023302162180753E-2</v>
      </c>
      <c r="K113" s="151">
        <f t="shared" si="46"/>
        <v>4.6966107596827684E-2</v>
      </c>
      <c r="L113" s="151">
        <f t="shared" si="46"/>
        <v>7.4341271667182046E-2</v>
      </c>
      <c r="M113" s="151">
        <f t="shared" si="46"/>
        <v>6.1500404363478402E-2</v>
      </c>
      <c r="N113" s="151">
        <f t="shared" si="46"/>
        <v>9.5391810355102316E-2</v>
      </c>
      <c r="R113" s="313" t="s">
        <v>10</v>
      </c>
      <c r="S113" s="392">
        <f t="shared" si="42"/>
        <v>496.41968304817027</v>
      </c>
      <c r="T113" s="392">
        <f t="shared" ref="T113:T115" si="47">G113*$S$94</f>
        <v>48.208950723083618</v>
      </c>
      <c r="U113" s="392">
        <f t="shared" ref="U113:U115" si="48">H113*$S$94</f>
        <v>42.011877159616958</v>
      </c>
      <c r="V113" s="392">
        <f t="shared" ref="V113:V115" si="49">I113*$S$94</f>
        <v>48.208950723083618</v>
      </c>
      <c r="W113" s="392">
        <f t="shared" ref="W113:W115" si="50">J113*$S$94</f>
        <v>42.023302162180755</v>
      </c>
      <c r="X113" s="392">
        <f t="shared" ref="X113:X115" si="51">K113*$S$94</f>
        <v>46.966107596827683</v>
      </c>
      <c r="Y113" s="392">
        <f t="shared" ref="Y113:Y115" si="52">L113*$S$94</f>
        <v>74.341271667182042</v>
      </c>
      <c r="Z113" s="392">
        <f t="shared" ref="Z113:Z115" si="53">M113*$S$94</f>
        <v>61.500404363478403</v>
      </c>
      <c r="AA113" s="392">
        <f t="shared" ref="AA113:AA115" si="54">N113*$S$94</f>
        <v>95.391810355102322</v>
      </c>
    </row>
    <row r="114" spans="3:27">
      <c r="C114" s="153"/>
      <c r="D114" s="153" t="s">
        <v>9</v>
      </c>
      <c r="E114" s="313" t="s">
        <v>9</v>
      </c>
      <c r="F114" s="87">
        <f t="shared" si="46"/>
        <v>0.55453932005189865</v>
      </c>
      <c r="G114" s="151">
        <f t="shared" si="46"/>
        <v>4.6062227527063085E-2</v>
      </c>
      <c r="H114" s="151">
        <f t="shared" si="46"/>
        <v>1.7938248338365562E-2</v>
      </c>
      <c r="I114" s="151">
        <f t="shared" si="46"/>
        <v>4.6062227527063085E-2</v>
      </c>
      <c r="J114" s="151">
        <f t="shared" si="46"/>
        <v>2.3967008855673665E-2</v>
      </c>
      <c r="K114" s="151">
        <f t="shared" si="46"/>
        <v>4.4273006925238542E-2</v>
      </c>
      <c r="L114" s="151">
        <f t="shared" si="46"/>
        <v>3.7696737593769132E-2</v>
      </c>
      <c r="M114" s="151">
        <f t="shared" si="46"/>
        <v>0.10396151085836097</v>
      </c>
      <c r="N114" s="151">
        <f t="shared" si="46"/>
        <v>2.4234401505886211E-2</v>
      </c>
      <c r="R114" s="313" t="s">
        <v>9</v>
      </c>
      <c r="S114" s="392">
        <f t="shared" si="42"/>
        <v>554.5393200518987</v>
      </c>
      <c r="T114" s="392">
        <f t="shared" si="47"/>
        <v>46.062227527063087</v>
      </c>
      <c r="U114" s="392">
        <f t="shared" si="48"/>
        <v>17.938248338365561</v>
      </c>
      <c r="V114" s="392">
        <f t="shared" si="49"/>
        <v>46.062227527063087</v>
      </c>
      <c r="W114" s="392">
        <f t="shared" si="50"/>
        <v>23.967008855673665</v>
      </c>
      <c r="X114" s="392">
        <f t="shared" si="51"/>
        <v>44.273006925238541</v>
      </c>
      <c r="Y114" s="392">
        <f t="shared" si="52"/>
        <v>37.696737593769129</v>
      </c>
      <c r="Z114" s="392">
        <f t="shared" si="53"/>
        <v>103.96151085836097</v>
      </c>
      <c r="AA114" s="392">
        <f t="shared" si="54"/>
        <v>24.234401505886211</v>
      </c>
    </row>
    <row r="115" spans="3:27">
      <c r="C115" s="153"/>
      <c r="D115" s="153" t="s">
        <v>62</v>
      </c>
      <c r="E115" s="313" t="s">
        <v>379</v>
      </c>
      <c r="F115" s="87">
        <f t="shared" si="46"/>
        <v>0.59465094628580284</v>
      </c>
      <c r="G115" s="151">
        <f t="shared" si="46"/>
        <v>3.5263961113008647E-2</v>
      </c>
      <c r="H115" s="151">
        <f t="shared" si="46"/>
        <v>2.2025375679247835E-2</v>
      </c>
      <c r="I115" s="151">
        <f t="shared" si="46"/>
        <v>3.5263961113008647E-2</v>
      </c>
      <c r="J115" s="151">
        <f t="shared" si="46"/>
        <v>2.0664445597910894E-2</v>
      </c>
      <c r="K115" s="151">
        <f t="shared" si="46"/>
        <v>5.9754842545690155E-2</v>
      </c>
      <c r="L115" s="151">
        <f t="shared" si="46"/>
        <v>3.8157882261154623E-2</v>
      </c>
      <c r="M115" s="151">
        <f t="shared" si="46"/>
        <v>6.1892802048558945E-2</v>
      </c>
      <c r="N115" s="151">
        <f t="shared" si="46"/>
        <v>5.5802009995829981E-2</v>
      </c>
      <c r="R115" s="313" t="s">
        <v>379</v>
      </c>
      <c r="S115" s="392">
        <f t="shared" si="42"/>
        <v>594.65094628580289</v>
      </c>
      <c r="T115" s="392">
        <f t="shared" si="47"/>
        <v>35.263961113008648</v>
      </c>
      <c r="U115" s="392">
        <f t="shared" si="48"/>
        <v>22.025375679247833</v>
      </c>
      <c r="V115" s="392">
        <f t="shared" si="49"/>
        <v>35.263961113008648</v>
      </c>
      <c r="W115" s="392">
        <f t="shared" si="50"/>
        <v>20.664445597910895</v>
      </c>
      <c r="X115" s="392">
        <f t="shared" si="51"/>
        <v>59.754842545690153</v>
      </c>
      <c r="Y115" s="392">
        <f t="shared" si="52"/>
        <v>38.157882261154626</v>
      </c>
      <c r="Z115" s="392">
        <f t="shared" si="53"/>
        <v>61.892802048558949</v>
      </c>
      <c r="AA115" s="392">
        <f t="shared" si="54"/>
        <v>55.802009995829984</v>
      </c>
    </row>
    <row r="116" spans="3:27">
      <c r="F116" s="87"/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BG223"/>
  <sheetViews>
    <sheetView topLeftCell="B1" zoomScale="90" zoomScaleNormal="90" workbookViewId="0">
      <selection activeCell="D15" sqref="D15"/>
    </sheetView>
  </sheetViews>
  <sheetFormatPr defaultRowHeight="12.75"/>
  <cols>
    <col min="1" max="1" width="23" customWidth="1"/>
    <col min="2" max="2" width="37.28515625" customWidth="1"/>
    <col min="3" max="3" width="15.85546875" customWidth="1"/>
    <col min="4" max="4" width="10" bestFit="1" customWidth="1"/>
    <col min="5" max="5" width="14" customWidth="1"/>
    <col min="7" max="7" width="10" customWidth="1"/>
    <col min="8" max="8" width="10.85546875" customWidth="1"/>
    <col min="9" max="9" width="9.85546875" customWidth="1"/>
    <col min="10" max="10" width="7.28515625" customWidth="1"/>
    <col min="11" max="11" width="10.7109375" customWidth="1"/>
    <col min="13" max="13" width="10.7109375" customWidth="1"/>
    <col min="14" max="14" width="9.7109375" customWidth="1"/>
    <col min="15" max="15" width="8.7109375" customWidth="1"/>
    <col min="16" max="16" width="9.7109375" customWidth="1"/>
    <col min="18" max="18" width="11.5703125" bestFit="1" customWidth="1"/>
    <col min="19" max="20" width="10.28515625" customWidth="1"/>
    <col min="23" max="23" width="11.42578125" customWidth="1"/>
    <col min="24" max="24" width="11.7109375" bestFit="1" customWidth="1"/>
    <col min="25" max="25" width="13" bestFit="1" customWidth="1"/>
    <col min="27" max="27" width="11.140625" customWidth="1"/>
    <col min="28" max="28" width="16.28515625" customWidth="1"/>
    <col min="29" max="29" width="16.85546875" customWidth="1"/>
    <col min="33" max="33" width="17.140625" customWidth="1"/>
    <col min="37" max="37" width="15.85546875" customWidth="1"/>
    <col min="38" max="38" width="16.28515625" customWidth="1"/>
    <col min="39" max="39" width="11" customWidth="1"/>
    <col min="42" max="42" width="13.42578125" customWidth="1"/>
    <col min="44" max="44" width="11.140625" customWidth="1"/>
    <col min="48" max="48" width="29.140625" customWidth="1"/>
    <col min="49" max="59" width="14" customWidth="1"/>
  </cols>
  <sheetData>
    <row r="1" spans="1:59">
      <c r="A1" s="323" t="s">
        <v>410</v>
      </c>
      <c r="B1" s="322"/>
      <c r="C1" s="322"/>
    </row>
    <row r="4" spans="1: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59">
      <c r="A5" s="1"/>
      <c r="B5" s="1"/>
      <c r="C5" s="1"/>
      <c r="D5" s="512" t="s">
        <v>31</v>
      </c>
      <c r="E5" s="512"/>
      <c r="F5" s="512"/>
      <c r="G5" s="512" t="s">
        <v>30</v>
      </c>
      <c r="H5" s="512"/>
      <c r="I5" s="512"/>
      <c r="J5" s="512"/>
      <c r="K5" s="513" t="s">
        <v>29</v>
      </c>
      <c r="L5" s="514"/>
      <c r="M5" s="9" t="s">
        <v>16</v>
      </c>
      <c r="N5" s="513" t="s">
        <v>28</v>
      </c>
      <c r="O5" s="514"/>
      <c r="P5" s="9" t="s">
        <v>14</v>
      </c>
      <c r="Q5" s="9" t="s">
        <v>13</v>
      </c>
      <c r="R5" s="512" t="s">
        <v>27</v>
      </c>
      <c r="S5" s="512"/>
      <c r="T5" s="9" t="s">
        <v>10</v>
      </c>
      <c r="U5" s="9" t="s">
        <v>9</v>
      </c>
      <c r="W5" s="133" t="s">
        <v>8</v>
      </c>
      <c r="AB5" t="s">
        <v>297</v>
      </c>
      <c r="AG5" s="83" t="s">
        <v>235</v>
      </c>
      <c r="AH5" s="83" t="s">
        <v>235</v>
      </c>
      <c r="AI5" s="83" t="s">
        <v>235</v>
      </c>
      <c r="AJ5" s="83" t="s">
        <v>235</v>
      </c>
      <c r="AK5" s="83" t="s">
        <v>235</v>
      </c>
      <c r="AP5" s="83" t="s">
        <v>235</v>
      </c>
      <c r="AQ5" s="83" t="s">
        <v>235</v>
      </c>
      <c r="AR5" s="83" t="s">
        <v>235</v>
      </c>
      <c r="AV5" t="s">
        <v>626</v>
      </c>
    </row>
    <row r="6" spans="1:59" ht="51.75">
      <c r="A6" s="9" t="s">
        <v>705</v>
      </c>
      <c r="B6" s="9" t="s">
        <v>25</v>
      </c>
      <c r="C6" s="9" t="s">
        <v>26</v>
      </c>
      <c r="D6" s="9" t="s">
        <v>23</v>
      </c>
      <c r="E6" s="9" t="s">
        <v>22</v>
      </c>
      <c r="F6" s="9" t="s">
        <v>21</v>
      </c>
      <c r="G6" s="11" t="s">
        <v>375</v>
      </c>
      <c r="H6" s="11" t="s">
        <v>376</v>
      </c>
      <c r="I6" s="11" t="s">
        <v>377</v>
      </c>
      <c r="J6" s="11" t="s">
        <v>378</v>
      </c>
      <c r="K6" s="9" t="s">
        <v>73</v>
      </c>
      <c r="L6" s="9" t="s">
        <v>17</v>
      </c>
      <c r="M6" s="9" t="s">
        <v>16</v>
      </c>
      <c r="N6" s="9" t="s">
        <v>15</v>
      </c>
      <c r="O6" s="9" t="s">
        <v>54</v>
      </c>
      <c r="P6" s="9" t="s">
        <v>14</v>
      </c>
      <c r="Q6" s="9" t="s">
        <v>13</v>
      </c>
      <c r="R6" s="9" t="s">
        <v>12</v>
      </c>
      <c r="S6" s="9" t="s">
        <v>158</v>
      </c>
      <c r="T6" s="10" t="s">
        <v>10</v>
      </c>
      <c r="U6" s="9" t="s">
        <v>9</v>
      </c>
      <c r="W6" s="11" t="s">
        <v>180</v>
      </c>
      <c r="AB6" s="60" t="s">
        <v>59</v>
      </c>
      <c r="AC6" s="60" t="s">
        <v>296</v>
      </c>
      <c r="AD6" s="60"/>
      <c r="AG6" s="76"/>
      <c r="AH6" s="78" t="s">
        <v>6</v>
      </c>
      <c r="AI6" s="78" t="s">
        <v>5</v>
      </c>
      <c r="AJ6" s="78" t="s">
        <v>4</v>
      </c>
      <c r="AK6" s="78" t="s">
        <v>2</v>
      </c>
      <c r="AL6" s="78" t="s">
        <v>181</v>
      </c>
      <c r="AM6" s="78" t="s">
        <v>230</v>
      </c>
      <c r="AN6" s="78" t="s">
        <v>182</v>
      </c>
      <c r="AP6" s="76"/>
      <c r="AQ6" s="78" t="s">
        <v>6</v>
      </c>
      <c r="AR6" s="78" t="s">
        <v>5</v>
      </c>
      <c r="AV6" s="311" t="s">
        <v>59</v>
      </c>
      <c r="AW6" s="311" t="s">
        <v>31</v>
      </c>
      <c r="AX6" s="311" t="s">
        <v>72</v>
      </c>
      <c r="AY6" s="311" t="s">
        <v>73</v>
      </c>
      <c r="AZ6" s="311" t="s">
        <v>16</v>
      </c>
      <c r="BA6" s="311" t="s">
        <v>28</v>
      </c>
      <c r="BB6" s="311" t="s">
        <v>14</v>
      </c>
      <c r="BC6" s="311" t="s">
        <v>13</v>
      </c>
      <c r="BD6" s="311" t="s">
        <v>158</v>
      </c>
      <c r="BE6" s="311" t="s">
        <v>10</v>
      </c>
      <c r="BF6" s="311" t="s">
        <v>9</v>
      </c>
      <c r="BG6" s="311" t="s">
        <v>62</v>
      </c>
    </row>
    <row r="7" spans="1:59" s="138" customFormat="1" ht="15">
      <c r="B7" s="136" t="s">
        <v>6</v>
      </c>
      <c r="C7" s="487" t="s">
        <v>7</v>
      </c>
      <c r="D7" s="5">
        <f>VLOOKUP($C7,[1]!V_PRE2013,MATCH(D$6,[1]!BLDGTYPE,0),FALSE)</f>
        <v>3300</v>
      </c>
      <c r="E7" s="5">
        <f>VLOOKUP($C7,[1]!V_PRE2013,MATCH(E$6,[1]!BLDGTYPE,0),FALSE)</f>
        <v>2800</v>
      </c>
      <c r="F7" s="5">
        <f>VLOOKUP($C7,[1]!V_PRE2013,MATCH(F$6,[1]!BLDGTYPE,0),FALSE)</f>
        <v>2600</v>
      </c>
      <c r="G7" s="5">
        <f>VLOOKUP($C7,[1]!V_PRE2013,MATCH(G$6,[1]!BLDGTYPE,0),FALSE)</f>
        <v>6200</v>
      </c>
      <c r="H7" s="5">
        <f>VLOOKUP($C7,[1]!V_PRE2013,MATCH(H$6,[1]!BLDGTYPE,0),FALSE)</f>
        <v>3800</v>
      </c>
      <c r="I7" s="5">
        <f>VLOOKUP($C7,[1]!V_PRE2013,MATCH(I$6,[1]!BLDGTYPE,0),FALSE)</f>
        <v>3800</v>
      </c>
      <c r="J7" s="5">
        <f>VLOOKUP($C7,[1]!V_PRE2013,MATCH(J$6,[1]!BLDGTYPE,0),FALSE)</f>
        <v>2800</v>
      </c>
      <c r="K7" s="5">
        <f>VLOOKUP($C7,[1]!V_PRE2013,MATCH(K$6,[1]!BLDGTYPE,0),FALSE)</f>
        <v>2700</v>
      </c>
      <c r="L7" s="5">
        <f>VLOOKUP($C7,[1]!V_PRE2013,MATCH(L$6,[1]!BLDGTYPE,0),FALSE)</f>
        <v>3600</v>
      </c>
      <c r="M7" s="5">
        <f>VLOOKUP($C7,[1]!V_PRE2013,MATCH(M$6,[1]!BLDGTYPE,0),FALSE)</f>
        <v>2700</v>
      </c>
      <c r="N7" s="5">
        <f>VLOOKUP($C7,[1]!V_PRE2013,MATCH(N$6,[1]!BLDGTYPE,0),FALSE)</f>
        <v>7300</v>
      </c>
      <c r="O7" s="5">
        <f>VLOOKUP($C7,[1]!V_PRE2013,MATCH(O$6,[1]!BLDGTYPE,0),FALSE)</f>
        <v>6800</v>
      </c>
      <c r="P7" s="5">
        <f>VLOOKUP($C7,[1]!V_PRE2013,MATCH(P$6,[1]!BLDGTYPE,0),FALSE)</f>
        <v>5400</v>
      </c>
      <c r="Q7" s="5">
        <f>VLOOKUP($C7,[1]!V_PRE2013,MATCH(Q$6,[1]!BLDGTYPE,0),FALSE)</f>
        <v>3000</v>
      </c>
      <c r="R7" s="5">
        <f>VLOOKUP($C7,[1]!V_PRE2013,MATCH(R$6,[1]!BLDGTYPE,0),FALSE)</f>
        <v>6400</v>
      </c>
      <c r="S7" s="5">
        <f>VLOOKUP($C7,[1]!V_PRE2013,MATCH(S$6,[1]!BLDGTYPE,0),FALSE)</f>
        <v>5700</v>
      </c>
      <c r="T7" s="5">
        <f>VLOOKUP($C7,[1]!V_PRE2013,MATCH(T$6,[1]!BLDGTYPE,0),FALSE)</f>
        <v>3000</v>
      </c>
      <c r="U7" s="5">
        <f>VLOOKUP($C7,[1]!V_PRE2013,MATCH(U$6,[1]!BLDGTYPE,0),FALSE)</f>
        <v>4100</v>
      </c>
      <c r="W7" s="139">
        <f>SUMPRODUCT(D7:U7,$D$34:$U$34)/SUM($D$34:$U$34)</f>
        <v>3625.7987458942966</v>
      </c>
      <c r="X7" s="135"/>
      <c r="AB7" s="138" t="s">
        <v>10</v>
      </c>
      <c r="AC7" s="139">
        <v>368872051.45900011</v>
      </c>
      <c r="AD7" s="161">
        <f>AC7/1000000</f>
        <v>368.87205145900009</v>
      </c>
      <c r="AG7" s="140" t="s">
        <v>23</v>
      </c>
      <c r="AH7" s="141">
        <v>3300</v>
      </c>
      <c r="AI7" s="147">
        <v>0.86</v>
      </c>
      <c r="AJ7" s="147">
        <v>0.67</v>
      </c>
      <c r="AK7" s="142">
        <v>0.65</v>
      </c>
      <c r="AL7" s="148">
        <f>AI7*AH7/1000</f>
        <v>2.8380000000000001</v>
      </c>
      <c r="AN7" s="142">
        <v>0.6</v>
      </c>
      <c r="AP7" s="140" t="s">
        <v>23</v>
      </c>
      <c r="AQ7" s="141">
        <v>3300</v>
      </c>
      <c r="AR7" s="147">
        <v>0.86</v>
      </c>
      <c r="AV7" s="287" t="s">
        <v>156</v>
      </c>
      <c r="AW7"/>
      <c r="AX7"/>
      <c r="AY7"/>
      <c r="AZ7"/>
      <c r="BA7"/>
      <c r="BB7"/>
      <c r="BC7"/>
      <c r="BD7"/>
      <c r="BE7"/>
      <c r="BF7"/>
      <c r="BG7"/>
    </row>
    <row r="8" spans="1:59" s="138" customFormat="1" ht="15">
      <c r="B8" s="136" t="s">
        <v>707</v>
      </c>
      <c r="C8" s="487" t="s">
        <v>706</v>
      </c>
      <c r="D8" s="5">
        <f>VLOOKUP($C8,[1]!V_PRE2013,MATCH(D$6,[1]!BLDGTYPE,0),FALSE)</f>
        <v>1</v>
      </c>
      <c r="E8" s="5">
        <f>VLOOKUP($C8,[1]!V_PRE2013,MATCH(E$6,[1]!BLDGTYPE,0),FALSE)</f>
        <v>1</v>
      </c>
      <c r="F8" s="5">
        <f>VLOOKUP($C8,[1]!V_PRE2013,MATCH(F$6,[1]!BLDGTYPE,0),FALSE)</f>
        <v>1</v>
      </c>
      <c r="G8" s="5">
        <f>VLOOKUP($C8,[1]!V_PRE2013,MATCH(G$6,[1]!BLDGTYPE,0),FALSE)</f>
        <v>1</v>
      </c>
      <c r="H8" s="5">
        <f>VLOOKUP($C8,[1]!V_PRE2013,MATCH(H$6,[1]!BLDGTYPE,0),FALSE)</f>
        <v>1</v>
      </c>
      <c r="I8" s="5">
        <f>VLOOKUP($C8,[1]!V_PRE2013,MATCH(I$6,[1]!BLDGTYPE,0),FALSE)</f>
        <v>1</v>
      </c>
      <c r="J8" s="5">
        <f>VLOOKUP($C8,[1]!V_PRE2013,MATCH(J$6,[1]!BLDGTYPE,0),FALSE)</f>
        <v>1</v>
      </c>
      <c r="K8" s="5">
        <f>VLOOKUP($C8,[1]!V_PRE2013,MATCH(K$6,[1]!BLDGTYPE,0),FALSE)</f>
        <v>1</v>
      </c>
      <c r="L8" s="5">
        <f>VLOOKUP($C8,[1]!V_PRE2013,MATCH(L$6,[1]!BLDGTYPE,0),FALSE)</f>
        <v>1</v>
      </c>
      <c r="M8" s="5">
        <f>VLOOKUP($C8,[1]!V_PRE2013,MATCH(M$6,[1]!BLDGTYPE,0),FALSE)</f>
        <v>1</v>
      </c>
      <c r="N8" s="5">
        <f>VLOOKUP($C8,[1]!V_PRE2013,MATCH(N$6,[1]!BLDGTYPE,0),FALSE)</f>
        <v>1</v>
      </c>
      <c r="O8" s="5">
        <f>VLOOKUP($C8,[1]!V_PRE2013,MATCH(O$6,[1]!BLDGTYPE,0),FALSE)</f>
        <v>1</v>
      </c>
      <c r="P8" s="5">
        <f>VLOOKUP($C8,[1]!V_PRE2013,MATCH(P$6,[1]!BLDGTYPE,0),FALSE)</f>
        <v>1</v>
      </c>
      <c r="Q8" s="5">
        <f>VLOOKUP($C8,[1]!V_PRE2013,MATCH(Q$6,[1]!BLDGTYPE,0),FALSE)</f>
        <v>1</v>
      </c>
      <c r="R8" s="5">
        <f>VLOOKUP($C8,[1]!V_PRE2013,MATCH(R$6,[1]!BLDGTYPE,0),FALSE)</f>
        <v>1</v>
      </c>
      <c r="S8" s="5">
        <f>VLOOKUP($C8,[1]!V_PRE2013,MATCH(S$6,[1]!BLDGTYPE,0),FALSE)</f>
        <v>1</v>
      </c>
      <c r="T8" s="5">
        <f>VLOOKUP($C8,[1]!V_PRE2013,MATCH(T$6,[1]!BLDGTYPE,0),FALSE)</f>
        <v>1</v>
      </c>
      <c r="U8" s="5">
        <f>VLOOKUP($C8,[1]!V_PRE2013,MATCH(U$6,[1]!BLDGTYPE,0),FALSE)</f>
        <v>1</v>
      </c>
      <c r="W8" s="139"/>
      <c r="X8" s="135"/>
      <c r="AC8" s="139"/>
      <c r="AD8" s="161"/>
      <c r="AG8" s="140"/>
      <c r="AH8" s="141"/>
      <c r="AI8" s="147"/>
      <c r="AJ8" s="147"/>
      <c r="AK8" s="142"/>
      <c r="AL8" s="148"/>
      <c r="AN8" s="142"/>
      <c r="AP8" s="140"/>
      <c r="AQ8" s="141"/>
      <c r="AR8" s="147"/>
      <c r="AV8" s="504"/>
      <c r="AW8"/>
      <c r="AX8"/>
      <c r="AY8"/>
      <c r="AZ8"/>
      <c r="BA8"/>
      <c r="BB8"/>
      <c r="BC8"/>
      <c r="BD8"/>
      <c r="BE8"/>
      <c r="BF8"/>
      <c r="BG8"/>
    </row>
    <row r="9" spans="1:59" s="138" customFormat="1">
      <c r="A9" s="136"/>
      <c r="B9" s="135" t="s">
        <v>5</v>
      </c>
      <c r="C9" s="135"/>
      <c r="D9" s="142">
        <v>0.86</v>
      </c>
      <c r="E9" s="143">
        <v>1.1299999999999999</v>
      </c>
      <c r="F9" s="143">
        <v>1.42</v>
      </c>
      <c r="G9" s="143">
        <v>1.2</v>
      </c>
      <c r="H9" s="143">
        <v>1.1000000000000001</v>
      </c>
      <c r="I9" s="143">
        <v>1.24</v>
      </c>
      <c r="J9" s="143">
        <v>1.44</v>
      </c>
      <c r="K9" s="142">
        <v>0.98</v>
      </c>
      <c r="L9" s="144">
        <v>0.98</v>
      </c>
      <c r="M9" s="142">
        <v>0.57999999999999996</v>
      </c>
      <c r="N9" s="142">
        <v>1.1499999999999999</v>
      </c>
      <c r="O9" s="142">
        <v>1.1499999999999999</v>
      </c>
      <c r="P9" s="142">
        <v>1.2</v>
      </c>
      <c r="Q9" s="142">
        <v>0.9</v>
      </c>
      <c r="R9" s="145">
        <v>1.1000000000000001</v>
      </c>
      <c r="S9" s="142">
        <v>0.95</v>
      </c>
      <c r="T9" s="142">
        <v>1</v>
      </c>
      <c r="U9" s="142">
        <v>1</v>
      </c>
      <c r="W9" s="146">
        <f>SUMPRODUCT(D9:U9,$D$34:$U$34)/SUM($D$34:$U$34)</f>
        <v>0.99059420722603775</v>
      </c>
      <c r="AB9" s="138" t="s">
        <v>28</v>
      </c>
      <c r="AC9" s="139">
        <v>77120837.687360033</v>
      </c>
      <c r="AD9" s="161">
        <f t="shared" ref="AD9:AD13" si="0">AC9/1000000</f>
        <v>77.120837687360037</v>
      </c>
      <c r="AG9" s="140" t="s">
        <v>22</v>
      </c>
      <c r="AH9" s="141">
        <v>2800</v>
      </c>
      <c r="AI9" s="149">
        <v>1.1299999999999999</v>
      </c>
      <c r="AJ9" s="147">
        <v>0.9</v>
      </c>
      <c r="AK9" s="142">
        <v>0.75</v>
      </c>
      <c r="AL9" s="148">
        <f t="shared" ref="AL9:AL12" si="1">AI9*AH9/1000</f>
        <v>3.1639999999999997</v>
      </c>
      <c r="AN9" s="142">
        <v>0.6</v>
      </c>
      <c r="AP9" s="140" t="s">
        <v>22</v>
      </c>
      <c r="AQ9" s="141">
        <v>2800</v>
      </c>
      <c r="AR9" s="149">
        <v>1.1299999999999999</v>
      </c>
      <c r="AV9" s="289" t="s">
        <v>156</v>
      </c>
      <c r="AW9" s="75">
        <v>0.8161117510811331</v>
      </c>
      <c r="AX9" s="75">
        <v>0.7317655654507601</v>
      </c>
      <c r="AY9" s="75">
        <v>0.72828162257333751</v>
      </c>
      <c r="AZ9" s="75">
        <v>0.31321857778429552</v>
      </c>
      <c r="BA9" s="75">
        <v>0.84008181303464524</v>
      </c>
      <c r="BB9" s="75">
        <v>0.44131592378582707</v>
      </c>
      <c r="BC9" s="75">
        <v>0.15905154460333354</v>
      </c>
      <c r="BD9" s="75">
        <v>0.4143170607801836</v>
      </c>
      <c r="BE9" s="75">
        <v>0.49644503723503658</v>
      </c>
      <c r="BF9" s="75">
        <v>0.55456764264672209</v>
      </c>
      <c r="BG9" s="75">
        <v>0.59468131754570097</v>
      </c>
    </row>
    <row r="10" spans="1:59" s="138" customFormat="1" ht="15">
      <c r="A10" s="136"/>
      <c r="B10" s="135" t="s">
        <v>4</v>
      </c>
      <c r="C10" s="135"/>
      <c r="D10" s="142">
        <v>0.67</v>
      </c>
      <c r="E10" s="142">
        <v>0.9</v>
      </c>
      <c r="F10" s="142">
        <v>1.1000000000000001</v>
      </c>
      <c r="G10" s="142">
        <v>0.8</v>
      </c>
      <c r="H10" s="142">
        <v>0.7</v>
      </c>
      <c r="I10" s="142">
        <v>0.9</v>
      </c>
      <c r="J10" s="142">
        <v>1.1599999999999999</v>
      </c>
      <c r="K10" s="142">
        <v>0.75</v>
      </c>
      <c r="L10" s="142"/>
      <c r="M10" s="142">
        <v>0.4</v>
      </c>
      <c r="N10" s="142">
        <v>0.98</v>
      </c>
      <c r="O10" s="142">
        <v>0.98</v>
      </c>
      <c r="P10" s="142">
        <v>0.79</v>
      </c>
      <c r="Q10" s="142">
        <v>0.64</v>
      </c>
      <c r="R10" s="142"/>
      <c r="S10" s="142">
        <v>0.75</v>
      </c>
      <c r="T10" s="142">
        <v>0.81</v>
      </c>
      <c r="U10" s="142">
        <v>0.73</v>
      </c>
      <c r="X10" s="142"/>
      <c r="AB10" s="138" t="s">
        <v>12</v>
      </c>
      <c r="AC10" s="139">
        <v>103754034.99999991</v>
      </c>
      <c r="AD10" s="161">
        <f t="shared" si="0"/>
        <v>103.75403499999992</v>
      </c>
      <c r="AG10" s="140" t="s">
        <v>21</v>
      </c>
      <c r="AH10" s="141">
        <v>2600</v>
      </c>
      <c r="AI10" s="149">
        <v>1.42</v>
      </c>
      <c r="AJ10" s="147">
        <v>1.1000000000000001</v>
      </c>
      <c r="AK10" s="142">
        <v>0.8</v>
      </c>
      <c r="AL10" s="148">
        <f t="shared" si="1"/>
        <v>3.6920000000000002</v>
      </c>
      <c r="AN10" s="142">
        <v>0.6</v>
      </c>
      <c r="AP10" s="140" t="s">
        <v>21</v>
      </c>
      <c r="AQ10" s="141">
        <v>2600</v>
      </c>
      <c r="AR10" s="149">
        <v>1.42</v>
      </c>
      <c r="AV10" s="287" t="s">
        <v>157</v>
      </c>
      <c r="AW10"/>
      <c r="AX10"/>
      <c r="AY10"/>
      <c r="AZ10"/>
      <c r="BA10"/>
      <c r="BB10"/>
      <c r="BC10"/>
      <c r="BD10"/>
      <c r="BE10"/>
      <c r="BF10"/>
      <c r="BG10"/>
    </row>
    <row r="11" spans="1:59" s="138" customFormat="1">
      <c r="A11" s="136"/>
      <c r="B11" s="135" t="s">
        <v>3</v>
      </c>
      <c r="C11" s="135"/>
      <c r="D11" s="142">
        <v>1.06</v>
      </c>
      <c r="E11" s="142">
        <v>1.4</v>
      </c>
      <c r="F11" s="142">
        <v>1.8</v>
      </c>
      <c r="G11" s="135">
        <v>1.6</v>
      </c>
      <c r="H11" s="135">
        <v>1.4</v>
      </c>
      <c r="I11" s="135">
        <v>1.5</v>
      </c>
      <c r="J11" s="135">
        <v>1.8</v>
      </c>
      <c r="K11" s="135">
        <v>1.1000000000000001</v>
      </c>
      <c r="L11" s="135"/>
      <c r="M11" s="135">
        <v>0.93</v>
      </c>
      <c r="N11" s="135">
        <v>1.3</v>
      </c>
      <c r="O11" s="135">
        <v>1.3</v>
      </c>
      <c r="P11" s="143">
        <v>1.5</v>
      </c>
      <c r="Q11" s="143">
        <v>1.1000000000000001</v>
      </c>
      <c r="R11" s="135"/>
      <c r="S11" s="142">
        <v>1.3</v>
      </c>
      <c r="T11" s="142">
        <v>1.3</v>
      </c>
      <c r="U11" s="142">
        <v>1.1000000000000001</v>
      </c>
      <c r="AB11" s="138" t="s">
        <v>13</v>
      </c>
      <c r="AC11" s="139">
        <v>171040928.8844001</v>
      </c>
      <c r="AD11" s="161">
        <f t="shared" si="0"/>
        <v>171.0409288844001</v>
      </c>
      <c r="AG11" s="140" t="s">
        <v>50</v>
      </c>
      <c r="AH11" s="141">
        <v>6200</v>
      </c>
      <c r="AI11" s="149">
        <v>1.2</v>
      </c>
      <c r="AJ11" s="147">
        <v>0.8</v>
      </c>
      <c r="AK11" s="142">
        <v>0.8</v>
      </c>
      <c r="AL11" s="148">
        <f t="shared" si="1"/>
        <v>7.44</v>
      </c>
      <c r="AN11" s="142">
        <v>1.2</v>
      </c>
      <c r="AP11" s="140" t="s">
        <v>50</v>
      </c>
      <c r="AQ11" s="141">
        <v>6200</v>
      </c>
      <c r="AR11" s="149">
        <v>1.2</v>
      </c>
      <c r="AV11" s="289" t="s">
        <v>41</v>
      </c>
      <c r="AW11" s="180">
        <v>5.6387144249063513E-2</v>
      </c>
      <c r="AX11" s="180">
        <v>2.1119976102341828E-2</v>
      </c>
      <c r="AY11" s="180">
        <v>2.4242192774748404E-2</v>
      </c>
      <c r="AZ11" s="180">
        <v>9.3532086806910923E-4</v>
      </c>
      <c r="BA11" s="180">
        <v>2.7809191982370225E-3</v>
      </c>
      <c r="BB11" s="180">
        <v>5.7376804036138561E-2</v>
      </c>
      <c r="BC11" s="180">
        <v>6.2784619359283173E-2</v>
      </c>
      <c r="BD11" s="180">
        <v>4.3995759298312467E-2</v>
      </c>
      <c r="BE11" s="180">
        <v>4.8211412951691797E-2</v>
      </c>
      <c r="BF11" s="180">
        <v>4.6064580113723289E-2</v>
      </c>
      <c r="BG11" s="180">
        <v>3.5265762187966468E-2</v>
      </c>
    </row>
    <row r="12" spans="1:59" s="138" customFormat="1">
      <c r="A12" s="136"/>
      <c r="B12" s="135" t="s">
        <v>55</v>
      </c>
      <c r="C12" s="135"/>
      <c r="D12" s="142">
        <v>0.83</v>
      </c>
      <c r="E12" s="143">
        <v>1.1000000000000001</v>
      </c>
      <c r="F12" s="143">
        <v>1.3</v>
      </c>
      <c r="G12" s="142">
        <v>1.2</v>
      </c>
      <c r="H12" s="142">
        <v>1</v>
      </c>
      <c r="I12" s="142">
        <v>1.3</v>
      </c>
      <c r="J12" s="143">
        <v>1.45</v>
      </c>
      <c r="K12" s="142">
        <v>0.97</v>
      </c>
      <c r="L12" s="142">
        <f>L9</f>
        <v>0.98</v>
      </c>
      <c r="M12" s="142">
        <v>0.57999999999999996</v>
      </c>
      <c r="N12" s="142">
        <v>1.1000000000000001</v>
      </c>
      <c r="O12" s="142">
        <v>1.1000000000000001</v>
      </c>
      <c r="P12" s="142">
        <v>1.1000000000000001</v>
      </c>
      <c r="Q12" s="142">
        <v>0.78</v>
      </c>
      <c r="R12" s="142">
        <f>R9</f>
        <v>1.1000000000000001</v>
      </c>
      <c r="S12" s="142">
        <v>0.95</v>
      </c>
      <c r="T12" s="142">
        <v>0.98</v>
      </c>
      <c r="U12" s="142">
        <v>0.87</v>
      </c>
      <c r="X12" s="142"/>
      <c r="AB12" s="138" t="s">
        <v>31</v>
      </c>
      <c r="AC12" s="139">
        <v>734358126.13499999</v>
      </c>
      <c r="AD12" s="161">
        <f t="shared" si="0"/>
        <v>734.35812613500002</v>
      </c>
      <c r="AG12" s="140" t="s">
        <v>51</v>
      </c>
      <c r="AH12" s="141">
        <v>3800</v>
      </c>
      <c r="AI12" s="149">
        <v>1.1000000000000001</v>
      </c>
      <c r="AJ12" s="147">
        <v>0.7</v>
      </c>
      <c r="AK12" s="142">
        <v>0.7</v>
      </c>
      <c r="AL12" s="148">
        <f t="shared" si="1"/>
        <v>4.18</v>
      </c>
      <c r="AN12" s="142">
        <v>1.2</v>
      </c>
      <c r="AP12" s="140" t="s">
        <v>51</v>
      </c>
      <c r="AQ12" s="141">
        <v>3800</v>
      </c>
      <c r="AR12" s="149">
        <v>1.1000000000000001</v>
      </c>
      <c r="AV12" s="289" t="s">
        <v>65</v>
      </c>
      <c r="AW12" s="180">
        <v>1.5476249211548889E-2</v>
      </c>
      <c r="AX12" s="180">
        <v>1.4732316891133494E-2</v>
      </c>
      <c r="AY12" s="180">
        <v>9.585005949011052E-4</v>
      </c>
      <c r="AZ12" s="180">
        <v>2.3870662827930666E-4</v>
      </c>
      <c r="BA12" s="180">
        <v>6.4743380076691891E-4</v>
      </c>
      <c r="BB12" s="180">
        <v>0.16855580070809195</v>
      </c>
      <c r="BC12" s="180">
        <v>7.6346098933332454E-2</v>
      </c>
      <c r="BD12" s="180">
        <v>3.9931332662545664E-2</v>
      </c>
      <c r="BE12" s="180">
        <v>4.2014022878291063E-2</v>
      </c>
      <c r="BF12" s="180">
        <v>1.7939164518194762E-2</v>
      </c>
      <c r="BG12" s="180">
        <v>2.2026500605413824E-2</v>
      </c>
    </row>
    <row r="13" spans="1:59" s="138" customFormat="1" ht="15">
      <c r="A13" s="136"/>
      <c r="B13" s="135" t="s">
        <v>56</v>
      </c>
      <c r="C13" s="135"/>
      <c r="D13" s="150">
        <v>34</v>
      </c>
      <c r="E13" s="150">
        <v>50</v>
      </c>
      <c r="F13" s="150">
        <v>33</v>
      </c>
      <c r="G13" s="150">
        <v>37</v>
      </c>
      <c r="H13" s="150">
        <v>38</v>
      </c>
      <c r="I13" s="150">
        <v>26</v>
      </c>
      <c r="J13" s="150">
        <v>31</v>
      </c>
      <c r="K13" s="150">
        <v>75</v>
      </c>
      <c r="L13" s="150">
        <v>0</v>
      </c>
      <c r="M13" s="150">
        <v>43</v>
      </c>
      <c r="N13" s="150">
        <v>36</v>
      </c>
      <c r="O13" s="150">
        <v>38</v>
      </c>
      <c r="P13" s="150">
        <v>43</v>
      </c>
      <c r="Q13" s="150">
        <v>72</v>
      </c>
      <c r="R13" s="150">
        <v>0</v>
      </c>
      <c r="S13" s="150">
        <v>70</v>
      </c>
      <c r="T13" s="150">
        <v>105</v>
      </c>
      <c r="U13" s="150">
        <v>81</v>
      </c>
      <c r="X13" s="142"/>
      <c r="AB13" s="138" t="s">
        <v>9</v>
      </c>
      <c r="AC13" s="139">
        <v>333434464.10600013</v>
      </c>
      <c r="AD13" s="161">
        <f t="shared" si="0"/>
        <v>333.43446410600012</v>
      </c>
      <c r="AG13" s="140" t="s">
        <v>52</v>
      </c>
      <c r="AH13" s="141">
        <v>3800</v>
      </c>
      <c r="AI13" s="149">
        <v>1.24</v>
      </c>
      <c r="AJ13" s="147">
        <v>0.9</v>
      </c>
      <c r="AK13" s="142">
        <v>0.9</v>
      </c>
      <c r="AL13" s="148">
        <f t="shared" ref="AL13:AL25" si="2">AI13*AH13/1000</f>
        <v>4.7119999999999997</v>
      </c>
      <c r="AN13" s="142">
        <v>1.2</v>
      </c>
      <c r="AP13" s="140" t="s">
        <v>52</v>
      </c>
      <c r="AQ13" s="141">
        <v>3800</v>
      </c>
      <c r="AR13" s="149">
        <v>1.24</v>
      </c>
      <c r="AV13" s="287" t="s">
        <v>154</v>
      </c>
      <c r="AW13"/>
      <c r="AX13"/>
      <c r="AY13"/>
      <c r="AZ13"/>
      <c r="BA13"/>
      <c r="BB13"/>
      <c r="BC13"/>
      <c r="BD13"/>
      <c r="BE13"/>
      <c r="BF13"/>
      <c r="BG13"/>
    </row>
    <row r="14" spans="1:59" s="138" customFormat="1">
      <c r="A14" s="136"/>
      <c r="B14" s="135"/>
      <c r="C14" s="135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X14" s="142"/>
      <c r="AB14" s="138" t="s">
        <v>158</v>
      </c>
      <c r="AC14" s="139">
        <v>125160635.43360004</v>
      </c>
      <c r="AD14" s="161">
        <f t="shared" ref="AD14:AD20" si="3">AC14/1000000</f>
        <v>125.16063543360004</v>
      </c>
      <c r="AG14" s="140" t="s">
        <v>53</v>
      </c>
      <c r="AH14" s="141">
        <v>2800</v>
      </c>
      <c r="AI14" s="149">
        <v>1.44</v>
      </c>
      <c r="AJ14" s="147">
        <v>1.1599999999999999</v>
      </c>
      <c r="AK14" s="142">
        <v>0.9</v>
      </c>
      <c r="AL14" s="148">
        <f t="shared" si="2"/>
        <v>4.032</v>
      </c>
      <c r="AN14" s="142">
        <v>1.2</v>
      </c>
      <c r="AP14" s="140" t="s">
        <v>53</v>
      </c>
      <c r="AQ14" s="141">
        <v>2800</v>
      </c>
      <c r="AR14" s="149">
        <v>1.44</v>
      </c>
      <c r="AV14" s="289" t="s">
        <v>41</v>
      </c>
      <c r="AW14" s="180">
        <v>5.6387144249063513E-2</v>
      </c>
      <c r="AX14" s="180">
        <v>2.1119976102341828E-2</v>
      </c>
      <c r="AY14" s="180">
        <v>2.4242192774748404E-2</v>
      </c>
      <c r="AZ14" s="180">
        <v>9.3532086806910923E-4</v>
      </c>
      <c r="BA14" s="180">
        <v>2.7809191982370225E-3</v>
      </c>
      <c r="BB14" s="180">
        <v>5.7376804036138561E-2</v>
      </c>
      <c r="BC14" s="180">
        <v>6.2784619359283173E-2</v>
      </c>
      <c r="BD14" s="180">
        <v>4.3995759298312467E-2</v>
      </c>
      <c r="BE14" s="180">
        <v>4.8211412951691797E-2</v>
      </c>
      <c r="BF14" s="180">
        <v>4.6064580113723289E-2</v>
      </c>
      <c r="BG14" s="180">
        <v>3.5265762187966468E-2</v>
      </c>
    </row>
    <row r="15" spans="1:59" s="138" customFormat="1">
      <c r="A15" s="136"/>
      <c r="B15" s="135" t="s">
        <v>324</v>
      </c>
      <c r="C15" s="135"/>
      <c r="D15" s="143">
        <f>D9*D7*D8/1000</f>
        <v>2.8380000000000001</v>
      </c>
      <c r="E15" s="143">
        <f t="shared" ref="E15:U15" si="4">E9*E7*E8/1000</f>
        <v>3.1639999999999997</v>
      </c>
      <c r="F15" s="143">
        <f t="shared" si="4"/>
        <v>3.6920000000000002</v>
      </c>
      <c r="G15" s="143">
        <f t="shared" si="4"/>
        <v>7.44</v>
      </c>
      <c r="H15" s="143">
        <f t="shared" si="4"/>
        <v>4.18</v>
      </c>
      <c r="I15" s="143">
        <f t="shared" si="4"/>
        <v>4.7119999999999997</v>
      </c>
      <c r="J15" s="143">
        <f t="shared" si="4"/>
        <v>4.032</v>
      </c>
      <c r="K15" s="143">
        <f t="shared" si="4"/>
        <v>2.6459999999999999</v>
      </c>
      <c r="L15" s="143">
        <f t="shared" si="4"/>
        <v>3.528</v>
      </c>
      <c r="M15" s="143">
        <f t="shared" si="4"/>
        <v>1.5660000000000001</v>
      </c>
      <c r="N15" s="143">
        <f t="shared" si="4"/>
        <v>8.3949999999999996</v>
      </c>
      <c r="O15" s="143">
        <f t="shared" si="4"/>
        <v>7.8199999999999994</v>
      </c>
      <c r="P15" s="143">
        <f t="shared" si="4"/>
        <v>6.48</v>
      </c>
      <c r="Q15" s="143">
        <f t="shared" si="4"/>
        <v>2.7</v>
      </c>
      <c r="R15" s="143">
        <f t="shared" si="4"/>
        <v>7.0400000000000009</v>
      </c>
      <c r="S15" s="143">
        <f t="shared" si="4"/>
        <v>5.415</v>
      </c>
      <c r="T15" s="143">
        <f t="shared" si="4"/>
        <v>3</v>
      </c>
      <c r="U15" s="143">
        <f t="shared" si="4"/>
        <v>4.0999999999999996</v>
      </c>
      <c r="W15" s="183">
        <f t="shared" ref="W15:W17" si="5">SUMPRODUCT(D15:U15,$D$34:$U$34)/SUM($D$34:$U$34)</f>
        <v>3.6700746491489995</v>
      </c>
      <c r="X15" s="142"/>
      <c r="AB15" s="138" t="s">
        <v>14</v>
      </c>
      <c r="AC15" s="139">
        <v>53036739.08199998</v>
      </c>
      <c r="AD15" s="161">
        <f t="shared" si="3"/>
        <v>53.036739081999983</v>
      </c>
      <c r="AG15" s="76" t="s">
        <v>18</v>
      </c>
      <c r="AH15" s="18">
        <v>2700</v>
      </c>
      <c r="AI15" s="68">
        <v>0.98</v>
      </c>
      <c r="AJ15" s="68">
        <v>0.75</v>
      </c>
      <c r="AK15" s="6">
        <v>0.7</v>
      </c>
      <c r="AL15" s="84">
        <f t="shared" si="2"/>
        <v>2.6459999999999999</v>
      </c>
      <c r="AM15"/>
      <c r="AN15" s="6">
        <v>0.46</v>
      </c>
      <c r="AP15" s="76" t="s">
        <v>18</v>
      </c>
      <c r="AQ15" s="18">
        <v>2700</v>
      </c>
      <c r="AR15" s="68">
        <v>0.98</v>
      </c>
      <c r="AV15" s="289" t="s">
        <v>65</v>
      </c>
      <c r="AW15" s="180">
        <v>4.3961392092479717E-3</v>
      </c>
      <c r="AX15" s="180">
        <v>4.0958103811310258E-2</v>
      </c>
      <c r="AY15" s="180">
        <v>2.0527092968304866E-3</v>
      </c>
      <c r="AZ15" s="180">
        <v>3.8487626411820579E-3</v>
      </c>
      <c r="BA15" s="180">
        <v>4.2072597170787526E-2</v>
      </c>
      <c r="BB15" s="180">
        <v>4.1145174868992121E-2</v>
      </c>
      <c r="BC15" s="180">
        <v>2.2564469856891166E-2</v>
      </c>
      <c r="BD15" s="180">
        <v>1.507521583967312E-2</v>
      </c>
      <c r="BE15" s="180">
        <v>4.2025448464376544E-2</v>
      </c>
      <c r="BF15" s="180">
        <v>2.3968232949000148E-2</v>
      </c>
      <c r="BG15" s="180">
        <v>2.066550101580239E-2</v>
      </c>
    </row>
    <row r="16" spans="1:59" s="138" customFormat="1" ht="15">
      <c r="A16" s="136"/>
      <c r="B16" s="135" t="s">
        <v>325</v>
      </c>
      <c r="C16" s="135"/>
      <c r="D16" s="143">
        <f>D12*D7*D8/1000</f>
        <v>2.7389999999999999</v>
      </c>
      <c r="E16" s="143">
        <f t="shared" ref="E16:U16" si="6">E12*E7*E8/1000</f>
        <v>3.0800000000000005</v>
      </c>
      <c r="F16" s="143">
        <f t="shared" si="6"/>
        <v>3.38</v>
      </c>
      <c r="G16" s="143">
        <f t="shared" si="6"/>
        <v>7.44</v>
      </c>
      <c r="H16" s="143">
        <f t="shared" si="6"/>
        <v>3.8</v>
      </c>
      <c r="I16" s="143">
        <f t="shared" si="6"/>
        <v>4.9400000000000004</v>
      </c>
      <c r="J16" s="143">
        <f t="shared" si="6"/>
        <v>4.0599999999999996</v>
      </c>
      <c r="K16" s="143">
        <f t="shared" si="6"/>
        <v>2.6190000000000002</v>
      </c>
      <c r="L16" s="143">
        <f t="shared" si="6"/>
        <v>3.528</v>
      </c>
      <c r="M16" s="143">
        <f t="shared" si="6"/>
        <v>1.5660000000000001</v>
      </c>
      <c r="N16" s="143">
        <f t="shared" si="6"/>
        <v>8.0300000000000011</v>
      </c>
      <c r="O16" s="143">
        <f t="shared" si="6"/>
        <v>7.4800000000000013</v>
      </c>
      <c r="P16" s="143">
        <f t="shared" si="6"/>
        <v>5.9400000000000013</v>
      </c>
      <c r="Q16" s="143">
        <f t="shared" si="6"/>
        <v>2.34</v>
      </c>
      <c r="R16" s="143">
        <f t="shared" si="6"/>
        <v>7.0400000000000009</v>
      </c>
      <c r="S16" s="143">
        <f t="shared" si="6"/>
        <v>5.415</v>
      </c>
      <c r="T16" s="143">
        <f t="shared" si="6"/>
        <v>2.94</v>
      </c>
      <c r="U16" s="143">
        <f t="shared" si="6"/>
        <v>3.5670000000000002</v>
      </c>
      <c r="W16" s="183">
        <f t="shared" si="5"/>
        <v>3.5383908629441625</v>
      </c>
      <c r="X16" s="142"/>
      <c r="AB16" t="s">
        <v>72</v>
      </c>
      <c r="AC16" s="56">
        <v>570929487.82300019</v>
      </c>
      <c r="AD16" s="161">
        <f t="shared" si="3"/>
        <v>570.92948782300016</v>
      </c>
      <c r="AG16" s="76" t="s">
        <v>17</v>
      </c>
      <c r="AH16" s="79">
        <v>3600</v>
      </c>
      <c r="AI16" s="80">
        <v>0.98</v>
      </c>
      <c r="AJ16" s="80"/>
      <c r="AK16" s="25">
        <v>0.7</v>
      </c>
      <c r="AL16" s="26">
        <f t="shared" si="2"/>
        <v>3.528</v>
      </c>
      <c r="AM16"/>
      <c r="AN16" s="6">
        <v>0.6</v>
      </c>
      <c r="AP16" s="76" t="s">
        <v>17</v>
      </c>
      <c r="AQ16" s="79">
        <v>3600</v>
      </c>
      <c r="AR16" s="80">
        <v>0.98</v>
      </c>
      <c r="AV16" s="287" t="s">
        <v>155</v>
      </c>
      <c r="AW16"/>
      <c r="AX16"/>
      <c r="AY16"/>
      <c r="AZ16"/>
      <c r="BA16"/>
      <c r="BB16"/>
      <c r="BC16"/>
      <c r="BD16"/>
      <c r="BE16"/>
      <c r="BF16"/>
      <c r="BG16"/>
    </row>
    <row r="17" spans="1:59" s="138" customFormat="1">
      <c r="A17" s="136"/>
      <c r="B17" s="135" t="s">
        <v>332</v>
      </c>
      <c r="C17" s="135"/>
      <c r="D17" s="143">
        <f>$S$176</f>
        <v>17.731805357230428</v>
      </c>
      <c r="E17" s="143">
        <f>S175</f>
        <v>14.371896640653008</v>
      </c>
      <c r="F17" s="143">
        <f>S174</f>
        <v>15.414112631735692</v>
      </c>
      <c r="G17" s="143">
        <f>S190</f>
        <v>17.009833900111737</v>
      </c>
      <c r="H17" s="143">
        <f>S189</f>
        <v>10.171583395569741</v>
      </c>
      <c r="I17" s="143">
        <f>S188</f>
        <v>12.333063850163656</v>
      </c>
      <c r="J17" s="143">
        <f>S187</f>
        <v>12.875436812066214</v>
      </c>
      <c r="K17" s="143">
        <f>$G$125</f>
        <v>9.5809179430278295</v>
      </c>
      <c r="L17" s="143">
        <f>$G$129</f>
        <v>17.2</v>
      </c>
      <c r="M17" s="143">
        <f>G126</f>
        <v>6.0495189796425546</v>
      </c>
      <c r="N17" s="143">
        <f>K163</f>
        <v>53.093603715590476</v>
      </c>
      <c r="O17" s="143">
        <f>$K$162</f>
        <v>78.902144690538918</v>
      </c>
      <c r="P17" s="143">
        <f>G123</f>
        <v>45.794204797954791</v>
      </c>
      <c r="Q17" s="143">
        <f>G119</f>
        <v>14.289973062869727</v>
      </c>
      <c r="R17" s="143">
        <f>G130</f>
        <v>26.4</v>
      </c>
      <c r="S17" s="143">
        <f>G122</f>
        <v>15.252452894286773</v>
      </c>
      <c r="T17" s="143">
        <f>G117</f>
        <v>12.656658263829003</v>
      </c>
      <c r="U17" s="143">
        <f>G121</f>
        <v>12.887541280192671</v>
      </c>
      <c r="W17" s="183">
        <f t="shared" si="5"/>
        <v>14.655204806104527</v>
      </c>
      <c r="X17" s="142"/>
      <c r="AB17" t="s">
        <v>73</v>
      </c>
      <c r="AC17" s="56">
        <v>245353161.73799995</v>
      </c>
      <c r="AD17" s="161">
        <f t="shared" si="3"/>
        <v>245.35316173799995</v>
      </c>
      <c r="AG17" s="76" t="s">
        <v>16</v>
      </c>
      <c r="AH17" s="18">
        <v>2700</v>
      </c>
      <c r="AI17" s="68">
        <v>0.57999999999999996</v>
      </c>
      <c r="AJ17" s="68">
        <v>0.4</v>
      </c>
      <c r="AK17" s="6">
        <v>0.4</v>
      </c>
      <c r="AL17" s="84">
        <f t="shared" si="2"/>
        <v>1.5660000000000001</v>
      </c>
      <c r="AM17"/>
      <c r="AN17" s="6">
        <v>0.36</v>
      </c>
      <c r="AP17" s="76" t="s">
        <v>16</v>
      </c>
      <c r="AQ17" s="18">
        <v>2700</v>
      </c>
      <c r="AR17" s="68">
        <v>0.57999999999999996</v>
      </c>
      <c r="AV17" s="289" t="s">
        <v>156</v>
      </c>
      <c r="AW17" s="180">
        <v>1.3484818856951443E-3</v>
      </c>
      <c r="AX17" s="180">
        <v>0.13894734827953059</v>
      </c>
      <c r="AY17" s="180">
        <v>7.1899740080102192E-2</v>
      </c>
      <c r="AZ17" s="180">
        <v>0.10439444567284528</v>
      </c>
      <c r="BA17" s="180">
        <v>4.6560465151439544E-2</v>
      </c>
      <c r="BB17" s="180">
        <v>0</v>
      </c>
      <c r="BC17" s="180">
        <v>3.7760181329003599E-3</v>
      </c>
      <c r="BD17" s="180">
        <v>3.117668763697934E-3</v>
      </c>
      <c r="BE17" s="180">
        <v>4.6968506348345922E-2</v>
      </c>
      <c r="BF17" s="180">
        <v>4.4275268129072815E-2</v>
      </c>
      <c r="BG17" s="180">
        <v>5.9757894470293088E-2</v>
      </c>
    </row>
    <row r="18" spans="1:59" s="138" customFormat="1">
      <c r="A18" s="136"/>
      <c r="B18" s="135" t="s">
        <v>333</v>
      </c>
      <c r="C18" s="135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W18" s="183"/>
      <c r="X18" s="142"/>
      <c r="AB18" t="s">
        <v>17</v>
      </c>
      <c r="AC18" s="56">
        <v>123989125.99999999</v>
      </c>
      <c r="AD18" s="161">
        <f t="shared" si="3"/>
        <v>123.98912599999998</v>
      </c>
      <c r="AG18" s="76" t="s">
        <v>15</v>
      </c>
      <c r="AH18" s="18">
        <v>7300</v>
      </c>
      <c r="AI18" s="68">
        <v>1.1499999999999999</v>
      </c>
      <c r="AJ18" s="68">
        <v>0.98</v>
      </c>
      <c r="AK18" s="6">
        <v>0.9</v>
      </c>
      <c r="AL18" s="84">
        <f t="shared" si="2"/>
        <v>8.3949999999999996</v>
      </c>
      <c r="AM18"/>
      <c r="AN18" s="6">
        <v>1.1000000000000001</v>
      </c>
      <c r="AP18" s="76" t="s">
        <v>15</v>
      </c>
      <c r="AQ18" s="18">
        <v>7300</v>
      </c>
      <c r="AR18" s="68">
        <v>1.1499999999999999</v>
      </c>
      <c r="AV18" s="289" t="s">
        <v>33</v>
      </c>
      <c r="AW18" s="180">
        <v>1.1389455402095664E-2</v>
      </c>
      <c r="AX18" s="180">
        <v>6.2772300407407569E-2</v>
      </c>
      <c r="AY18" s="180">
        <v>3.5894381806780645E-2</v>
      </c>
      <c r="AZ18" s="180">
        <v>5.1639888409372066E-2</v>
      </c>
      <c r="BA18" s="180">
        <v>1.6105324229536964E-3</v>
      </c>
      <c r="BB18" s="180">
        <v>0</v>
      </c>
      <c r="BC18" s="180">
        <v>7.952760061069262E-4</v>
      </c>
      <c r="BD18" s="180">
        <v>5.9689172470590111E-3</v>
      </c>
      <c r="BE18" s="180">
        <v>7.4345068580475571E-2</v>
      </c>
      <c r="BF18" s="180">
        <v>3.7698662920588037E-2</v>
      </c>
      <c r="BG18" s="180">
        <v>3.8159831140520836E-2</v>
      </c>
    </row>
    <row r="19" spans="1:59" s="138" customFormat="1" ht="15">
      <c r="A19" s="136"/>
      <c r="B19" s="135"/>
      <c r="C19" s="135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X19" s="142"/>
      <c r="AB19" t="s">
        <v>16</v>
      </c>
      <c r="AC19" s="56">
        <v>442224054.61000007</v>
      </c>
      <c r="AD19" s="161">
        <f t="shared" si="3"/>
        <v>442.22405461000005</v>
      </c>
      <c r="AG19" s="76" t="s">
        <v>54</v>
      </c>
      <c r="AH19" s="18">
        <v>6800</v>
      </c>
      <c r="AI19" s="68">
        <v>1.1499999999999999</v>
      </c>
      <c r="AJ19" s="68">
        <v>0.98</v>
      </c>
      <c r="AK19" s="6">
        <v>0.9</v>
      </c>
      <c r="AL19" s="84">
        <f t="shared" si="2"/>
        <v>7.8199999999999994</v>
      </c>
      <c r="AM19"/>
      <c r="AN19" s="6">
        <v>1.1000000000000001</v>
      </c>
      <c r="AP19" s="76" t="s">
        <v>54</v>
      </c>
      <c r="AQ19" s="18">
        <v>6800</v>
      </c>
      <c r="AR19" s="68">
        <v>1.1499999999999999</v>
      </c>
      <c r="AV19" s="287" t="s">
        <v>9</v>
      </c>
      <c r="AW19"/>
      <c r="AX19"/>
      <c r="AY19"/>
      <c r="AZ19"/>
      <c r="BA19"/>
      <c r="BB19"/>
      <c r="BC19"/>
      <c r="BD19"/>
      <c r="BE19"/>
      <c r="BF19"/>
      <c r="BG19"/>
    </row>
    <row r="20" spans="1:59" s="138" customFormat="1">
      <c r="A20" s="136"/>
      <c r="X20" s="142"/>
      <c r="AB20" t="s">
        <v>62</v>
      </c>
      <c r="AC20" s="56">
        <v>3349273647.9583602</v>
      </c>
      <c r="AD20" s="161">
        <f t="shared" si="3"/>
        <v>3349.27364795836</v>
      </c>
      <c r="AG20" s="76" t="s">
        <v>14</v>
      </c>
      <c r="AH20" s="18">
        <v>5400</v>
      </c>
      <c r="AI20" s="68">
        <v>1.2</v>
      </c>
      <c r="AJ20" s="68">
        <v>0.79</v>
      </c>
      <c r="AK20" s="6">
        <v>0.8</v>
      </c>
      <c r="AL20" s="84">
        <f t="shared" si="2"/>
        <v>6.48</v>
      </c>
      <c r="AM20"/>
      <c r="AN20" s="6">
        <v>1.9</v>
      </c>
      <c r="AP20" s="76" t="s">
        <v>14</v>
      </c>
      <c r="AQ20" s="18">
        <v>5400</v>
      </c>
      <c r="AR20" s="68">
        <v>1.2</v>
      </c>
      <c r="AV20" s="289" t="s">
        <v>41</v>
      </c>
      <c r="AW20" s="180">
        <v>4.0611369717074505E-2</v>
      </c>
      <c r="AX20" s="180">
        <v>1.5161959007893959E-2</v>
      </c>
      <c r="AY20" s="180">
        <v>3.0839717210449251E-2</v>
      </c>
      <c r="AZ20" s="180">
        <v>2.4027223175339434E-2</v>
      </c>
      <c r="BA20" s="180">
        <v>6.1490440726453419E-2</v>
      </c>
      <c r="BB20" s="180">
        <v>0.11729383538528076</v>
      </c>
      <c r="BC20" s="180">
        <v>0.2888128759310975</v>
      </c>
      <c r="BD20" s="180">
        <v>0.16308956947219455</v>
      </c>
      <c r="BE20" s="180">
        <v>6.1503545441074309E-2</v>
      </c>
      <c r="BF20" s="180">
        <v>0.10396682059861347</v>
      </c>
      <c r="BG20" s="180">
        <v>6.1895963167512141E-2</v>
      </c>
    </row>
    <row r="21" spans="1:59">
      <c r="A21" s="1"/>
      <c r="B21" s="117" t="s">
        <v>2</v>
      </c>
      <c r="C21" s="117"/>
      <c r="D21" s="325">
        <f>'Post 2014'!D17</f>
        <v>0.5</v>
      </c>
      <c r="E21" s="325">
        <f>'Post 2014'!E17</f>
        <v>0.5</v>
      </c>
      <c r="F21" s="325">
        <f>'Post 2014'!F17</f>
        <v>0.7</v>
      </c>
      <c r="G21" s="325">
        <f>'Post 2014'!G17</f>
        <v>0.8</v>
      </c>
      <c r="H21" s="325">
        <v>0.8</v>
      </c>
      <c r="I21" s="325">
        <f>'Post 2014'!I17</f>
        <v>0.9</v>
      </c>
      <c r="J21" s="325">
        <f>'Post 2014'!J17</f>
        <v>0.9</v>
      </c>
      <c r="K21" s="325">
        <f>'Post 2014'!K17</f>
        <v>0.7</v>
      </c>
      <c r="L21" s="325">
        <f>'Post 2014'!L17</f>
        <v>0.7</v>
      </c>
      <c r="M21" s="325">
        <f>'Post 2014'!M17</f>
        <v>0.4</v>
      </c>
      <c r="N21" s="325">
        <f>'Post 2014'!N17</f>
        <v>0.9</v>
      </c>
      <c r="O21" s="325">
        <f>'Post 2014'!O17</f>
        <v>0.9</v>
      </c>
      <c r="P21" s="325">
        <f>'Post 2014'!P17</f>
        <v>0.7</v>
      </c>
      <c r="Q21" s="325">
        <f>'Post 2014'!Q17</f>
        <v>0.65</v>
      </c>
      <c r="R21" s="325">
        <f>'Post 2014'!R17</f>
        <v>0.85</v>
      </c>
      <c r="S21" s="325">
        <f>'Post 2014'!S17</f>
        <v>0.7</v>
      </c>
      <c r="T21" s="325">
        <f>'Post 2014'!T17</f>
        <v>0.8</v>
      </c>
      <c r="U21" s="325">
        <f>'Post 2014'!U17</f>
        <v>0.7</v>
      </c>
      <c r="W21" s="134">
        <f>SUMPRODUCT(D21:U21,$D$34:$U$34)/SUM($D$34:$U$34)</f>
        <v>0.66427291728874294</v>
      </c>
      <c r="X21" s="6"/>
      <c r="AG21" s="76" t="s">
        <v>13</v>
      </c>
      <c r="AH21" s="18">
        <v>3000</v>
      </c>
      <c r="AI21" s="68">
        <v>0.9</v>
      </c>
      <c r="AJ21" s="68">
        <v>0.64</v>
      </c>
      <c r="AK21" s="6">
        <v>0.65</v>
      </c>
      <c r="AL21" s="84">
        <f t="shared" si="2"/>
        <v>2.7</v>
      </c>
      <c r="AN21" s="6">
        <v>0.44</v>
      </c>
      <c r="AP21" s="76" t="s">
        <v>13</v>
      </c>
      <c r="AQ21" s="18">
        <v>3000</v>
      </c>
      <c r="AR21" s="68">
        <v>0.9</v>
      </c>
      <c r="AV21" s="289" t="s">
        <v>65</v>
      </c>
      <c r="AW21" s="180">
        <v>2.8224903581096274E-2</v>
      </c>
      <c r="AX21" s="180">
        <v>2.0650102716775465E-2</v>
      </c>
      <c r="AY21" s="180">
        <v>1.1772115042265916E-2</v>
      </c>
      <c r="AZ21" s="180">
        <v>3.3569291204910444E-2</v>
      </c>
      <c r="BA21" s="180">
        <v>2.4099950924295059E-2</v>
      </c>
      <c r="BB21" s="180">
        <v>0.17832601797029851</v>
      </c>
      <c r="BC21" s="180">
        <v>0.1818836287284479</v>
      </c>
      <c r="BD21" s="180">
        <v>0.29346803050138204</v>
      </c>
      <c r="BE21" s="180">
        <v>9.5396682405643127E-2</v>
      </c>
      <c r="BF21" s="180">
        <v>2.4235639256050753E-2</v>
      </c>
      <c r="BG21" s="180">
        <v>5.5804860033081251E-2</v>
      </c>
    </row>
    <row r="22" spans="1:59">
      <c r="A22" s="1"/>
      <c r="AG22" s="76" t="s">
        <v>12</v>
      </c>
      <c r="AH22" s="79">
        <v>6400</v>
      </c>
      <c r="AI22" s="80">
        <v>1.1000000000000001</v>
      </c>
      <c r="AJ22" s="80"/>
      <c r="AK22" s="25">
        <v>0.8</v>
      </c>
      <c r="AL22" s="26">
        <f t="shared" si="2"/>
        <v>7.0400000000000009</v>
      </c>
      <c r="AN22" s="6">
        <v>1.2</v>
      </c>
      <c r="AP22" s="76" t="s">
        <v>12</v>
      </c>
      <c r="AQ22" s="79">
        <v>6400</v>
      </c>
      <c r="AR22" s="80">
        <v>1.1000000000000001</v>
      </c>
      <c r="AV22" s="444" t="s">
        <v>36</v>
      </c>
      <c r="AW22" s="443">
        <f>SUM(AW9:AW21)</f>
        <v>1.0303326385860185</v>
      </c>
      <c r="AX22" s="443">
        <f t="shared" ref="AX22:BG22" si="7">SUM(AX9:AX21)</f>
        <v>1.0672276487694952</v>
      </c>
      <c r="AY22" s="443">
        <f t="shared" si="7"/>
        <v>0.93018317215416368</v>
      </c>
      <c r="AZ22" s="443">
        <f t="shared" si="7"/>
        <v>0.53280753725236241</v>
      </c>
      <c r="BA22" s="443">
        <f t="shared" si="7"/>
        <v>1.0221250716278152</v>
      </c>
      <c r="BB22" s="443">
        <f t="shared" si="7"/>
        <v>1.0613903607907675</v>
      </c>
      <c r="BC22" s="443">
        <f t="shared" si="7"/>
        <v>0.85879915091067616</v>
      </c>
      <c r="BD22" s="443">
        <f t="shared" si="7"/>
        <v>1.0229593138633608</v>
      </c>
      <c r="BE22" s="443">
        <f t="shared" si="7"/>
        <v>0.95512113725662673</v>
      </c>
      <c r="BF22" s="443">
        <f t="shared" si="7"/>
        <v>0.89878059124568865</v>
      </c>
      <c r="BG22" s="443">
        <f t="shared" si="7"/>
        <v>0.9235233923542574</v>
      </c>
    </row>
    <row r="23" spans="1:59">
      <c r="A23" s="1" t="s">
        <v>232</v>
      </c>
      <c r="B23" s="5" t="s">
        <v>166</v>
      </c>
      <c r="C23" s="5"/>
      <c r="D23" s="6">
        <v>0.91</v>
      </c>
      <c r="E23" s="6">
        <v>0.91</v>
      </c>
      <c r="F23" s="6">
        <v>0.91</v>
      </c>
      <c r="G23" s="6">
        <v>1.32</v>
      </c>
      <c r="H23" s="6">
        <v>1.32</v>
      </c>
      <c r="I23" s="6">
        <v>1.32</v>
      </c>
      <c r="J23" s="6">
        <v>1.32</v>
      </c>
      <c r="K23" s="6">
        <v>1.01</v>
      </c>
      <c r="L23" s="6">
        <v>1.01</v>
      </c>
      <c r="M23" s="6">
        <v>0.66</v>
      </c>
      <c r="N23" s="6">
        <v>1.32</v>
      </c>
      <c r="O23" s="6">
        <v>1.32</v>
      </c>
      <c r="P23" s="6">
        <v>0.9</v>
      </c>
      <c r="Q23" s="6">
        <v>1</v>
      </c>
      <c r="R23" s="6">
        <v>1.08</v>
      </c>
      <c r="S23" s="6">
        <v>1</v>
      </c>
      <c r="T23" s="6">
        <v>1</v>
      </c>
      <c r="U23" s="6">
        <v>1</v>
      </c>
      <c r="W23" s="115"/>
      <c r="AG23" s="76" t="s">
        <v>11</v>
      </c>
      <c r="AH23" s="18">
        <v>5700</v>
      </c>
      <c r="AI23" s="68">
        <v>0.95</v>
      </c>
      <c r="AJ23" s="68">
        <v>0.75</v>
      </c>
      <c r="AK23" s="6">
        <v>0.7</v>
      </c>
      <c r="AL23" s="84">
        <f t="shared" si="2"/>
        <v>5.415</v>
      </c>
      <c r="AN23" s="6">
        <v>0.3</v>
      </c>
      <c r="AP23" s="76" t="s">
        <v>11</v>
      </c>
      <c r="AQ23" s="18">
        <v>5700</v>
      </c>
      <c r="AR23" s="68">
        <v>0.95</v>
      </c>
    </row>
    <row r="24" spans="1:59">
      <c r="A24" s="1"/>
      <c r="B24" s="5" t="s">
        <v>231</v>
      </c>
      <c r="C24" s="5"/>
      <c r="D24" s="6">
        <f t="shared" ref="D24:U24" si="8">D23-D21</f>
        <v>0.41000000000000003</v>
      </c>
      <c r="E24" s="6">
        <f t="shared" si="8"/>
        <v>0.41000000000000003</v>
      </c>
      <c r="F24" s="6">
        <f t="shared" si="8"/>
        <v>0.21000000000000008</v>
      </c>
      <c r="G24" s="6">
        <f t="shared" si="8"/>
        <v>0.52</v>
      </c>
      <c r="H24" s="6">
        <f t="shared" si="8"/>
        <v>0.52</v>
      </c>
      <c r="I24" s="6">
        <f t="shared" si="8"/>
        <v>0.42000000000000004</v>
      </c>
      <c r="J24" s="6">
        <f t="shared" si="8"/>
        <v>0.42000000000000004</v>
      </c>
      <c r="K24" s="6">
        <f t="shared" si="8"/>
        <v>0.31000000000000005</v>
      </c>
      <c r="L24" s="6">
        <f t="shared" si="8"/>
        <v>0.31000000000000005</v>
      </c>
      <c r="M24" s="6">
        <f t="shared" si="8"/>
        <v>0.26</v>
      </c>
      <c r="N24" s="6">
        <f t="shared" si="8"/>
        <v>0.42000000000000004</v>
      </c>
      <c r="O24" s="6">
        <f t="shared" si="8"/>
        <v>0.42000000000000004</v>
      </c>
      <c r="P24" s="6">
        <f t="shared" si="8"/>
        <v>0.20000000000000007</v>
      </c>
      <c r="Q24" s="6">
        <f t="shared" si="8"/>
        <v>0.35</v>
      </c>
      <c r="R24" s="6">
        <f t="shared" si="8"/>
        <v>0.23000000000000009</v>
      </c>
      <c r="S24" s="6">
        <f t="shared" si="8"/>
        <v>0.30000000000000004</v>
      </c>
      <c r="T24" s="6">
        <f t="shared" si="8"/>
        <v>0.19999999999999996</v>
      </c>
      <c r="U24" s="6">
        <f t="shared" si="8"/>
        <v>0.30000000000000004</v>
      </c>
      <c r="W24" s="115"/>
      <c r="AG24" s="81" t="s">
        <v>10</v>
      </c>
      <c r="AH24" s="18">
        <v>3000</v>
      </c>
      <c r="AI24" s="68">
        <v>1</v>
      </c>
      <c r="AJ24" s="68">
        <v>0.81</v>
      </c>
      <c r="AK24" s="6">
        <v>0.8</v>
      </c>
      <c r="AL24" s="84">
        <f t="shared" si="2"/>
        <v>3</v>
      </c>
      <c r="AN24" s="6">
        <v>0.7</v>
      </c>
      <c r="AP24" s="81" t="s">
        <v>10</v>
      </c>
      <c r="AQ24" s="18">
        <v>3000</v>
      </c>
      <c r="AR24" s="68">
        <v>1</v>
      </c>
      <c r="AV24" t="s">
        <v>632</v>
      </c>
    </row>
    <row r="25" spans="1:59" ht="30">
      <c r="A25" s="1"/>
      <c r="B25" s="5" t="s">
        <v>167</v>
      </c>
      <c r="C25" s="5"/>
      <c r="D25" s="3">
        <f t="shared" ref="D25:U25" si="9">1-(D21/D23)</f>
        <v>0.45054945054945061</v>
      </c>
      <c r="E25" s="3">
        <f t="shared" si="9"/>
        <v>0.45054945054945061</v>
      </c>
      <c r="F25" s="3">
        <f t="shared" si="9"/>
        <v>0.23076923076923084</v>
      </c>
      <c r="G25" s="3">
        <f t="shared" si="9"/>
        <v>0.39393939393939392</v>
      </c>
      <c r="H25" s="3">
        <f t="shared" si="9"/>
        <v>0.39393939393939392</v>
      </c>
      <c r="I25" s="3">
        <f t="shared" si="9"/>
        <v>0.31818181818181823</v>
      </c>
      <c r="J25" s="3">
        <f t="shared" si="9"/>
        <v>0.31818181818181823</v>
      </c>
      <c r="K25" s="3">
        <f t="shared" si="9"/>
        <v>0.30693069306930698</v>
      </c>
      <c r="L25" s="3">
        <f t="shared" si="9"/>
        <v>0.30693069306930698</v>
      </c>
      <c r="M25" s="3">
        <f t="shared" si="9"/>
        <v>0.39393939393939392</v>
      </c>
      <c r="N25" s="3">
        <f t="shared" si="9"/>
        <v>0.31818181818181823</v>
      </c>
      <c r="O25" s="3">
        <f t="shared" si="9"/>
        <v>0.31818181818181823</v>
      </c>
      <c r="P25" s="3">
        <f t="shared" si="9"/>
        <v>0.22222222222222232</v>
      </c>
      <c r="Q25" s="3">
        <f t="shared" si="9"/>
        <v>0.35</v>
      </c>
      <c r="R25" s="3">
        <f t="shared" si="9"/>
        <v>0.21296296296296302</v>
      </c>
      <c r="S25" s="3">
        <f t="shared" si="9"/>
        <v>0.30000000000000004</v>
      </c>
      <c r="T25" s="3">
        <f t="shared" si="9"/>
        <v>0.19999999999999996</v>
      </c>
      <c r="U25" s="3">
        <f t="shared" si="9"/>
        <v>0.30000000000000004</v>
      </c>
      <c r="W25" s="112">
        <f>SUMPRODUCT(D25:U25,$D$34:$U$34)/SUM($D$34:$U$34)</f>
        <v>0.33846165331239941</v>
      </c>
      <c r="AG25" s="76" t="s">
        <v>9</v>
      </c>
      <c r="AH25" s="18">
        <v>4100</v>
      </c>
      <c r="AI25" s="68">
        <v>1</v>
      </c>
      <c r="AJ25" s="68">
        <v>0.73</v>
      </c>
      <c r="AK25" s="6">
        <v>0.7</v>
      </c>
      <c r="AL25" s="84">
        <f t="shared" si="2"/>
        <v>4.0999999999999996</v>
      </c>
      <c r="AN25" s="6">
        <v>0.6</v>
      </c>
      <c r="AP25" s="76" t="s">
        <v>9</v>
      </c>
      <c r="AQ25" s="18">
        <v>4100</v>
      </c>
      <c r="AR25" s="68">
        <v>1</v>
      </c>
      <c r="AV25" s="311" t="s">
        <v>59</v>
      </c>
      <c r="AW25" s="311" t="s">
        <v>31</v>
      </c>
      <c r="AX25" s="311" t="s">
        <v>72</v>
      </c>
      <c r="AY25" s="311" t="s">
        <v>73</v>
      </c>
      <c r="AZ25" s="311" t="s">
        <v>16</v>
      </c>
      <c r="BA25" s="311" t="s">
        <v>28</v>
      </c>
      <c r="BB25" s="311" t="s">
        <v>14</v>
      </c>
      <c r="BC25" s="311" t="s">
        <v>13</v>
      </c>
      <c r="BD25" s="311" t="s">
        <v>158</v>
      </c>
      <c r="BE25" s="311" t="s">
        <v>10</v>
      </c>
      <c r="BF25" s="311" t="s">
        <v>9</v>
      </c>
      <c r="BG25" s="311" t="s">
        <v>62</v>
      </c>
    </row>
    <row r="26" spans="1:59" ht="15">
      <c r="A26" s="1"/>
      <c r="B26" s="7" t="s">
        <v>159</v>
      </c>
      <c r="C26" s="7"/>
      <c r="D26" s="84">
        <f>D24*D7*D8/1000</f>
        <v>1.353</v>
      </c>
      <c r="E26" s="84">
        <f t="shared" ref="E26:U26" si="10">E24*E7*E8/1000</f>
        <v>1.1479999999999999</v>
      </c>
      <c r="F26" s="84">
        <f t="shared" si="10"/>
        <v>0.54600000000000026</v>
      </c>
      <c r="G26" s="84">
        <f t="shared" si="10"/>
        <v>3.2240000000000002</v>
      </c>
      <c r="H26" s="84">
        <f t="shared" si="10"/>
        <v>1.976</v>
      </c>
      <c r="I26" s="84">
        <f t="shared" si="10"/>
        <v>1.5960000000000003</v>
      </c>
      <c r="J26" s="84">
        <f t="shared" si="10"/>
        <v>1.1759999999999999</v>
      </c>
      <c r="K26" s="84">
        <f t="shared" si="10"/>
        <v>0.83700000000000008</v>
      </c>
      <c r="L26" s="84">
        <f t="shared" si="10"/>
        <v>1.1160000000000003</v>
      </c>
      <c r="M26" s="84">
        <f t="shared" si="10"/>
        <v>0.70199999999999996</v>
      </c>
      <c r="N26" s="84">
        <f t="shared" si="10"/>
        <v>3.0660000000000003</v>
      </c>
      <c r="O26" s="84">
        <f t="shared" si="10"/>
        <v>2.8560000000000003</v>
      </c>
      <c r="P26" s="84">
        <f t="shared" si="10"/>
        <v>1.0800000000000005</v>
      </c>
      <c r="Q26" s="84">
        <f t="shared" si="10"/>
        <v>1.05</v>
      </c>
      <c r="R26" s="84">
        <f t="shared" si="10"/>
        <v>1.4720000000000006</v>
      </c>
      <c r="S26" s="84">
        <f t="shared" si="10"/>
        <v>1.7100000000000002</v>
      </c>
      <c r="T26" s="84">
        <f t="shared" si="10"/>
        <v>0.59999999999999987</v>
      </c>
      <c r="U26" s="84">
        <f t="shared" si="10"/>
        <v>1.2300000000000002</v>
      </c>
      <c r="W26" s="75">
        <f>SUMPRODUCT(D26:U26,$D$34:$U$34)/SUM($D$34:$U$34)</f>
        <v>1.2403162137951629</v>
      </c>
      <c r="AV26" s="287" t="s">
        <v>156</v>
      </c>
    </row>
    <row r="27" spans="1:59">
      <c r="A27" s="1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W27" s="112"/>
      <c r="AU27" s="112">
        <f>33%</f>
        <v>0.33</v>
      </c>
      <c r="AV27" s="289" t="s">
        <v>156</v>
      </c>
      <c r="AW27" s="75">
        <f>$AU27*AW9</f>
        <v>0.26931687785677394</v>
      </c>
      <c r="AX27" s="75">
        <f t="shared" ref="AX27:BG27" si="11">$AU27*AX9</f>
        <v>0.24148263659875085</v>
      </c>
      <c r="AY27" s="75">
        <f t="shared" si="11"/>
        <v>0.2403329354492014</v>
      </c>
      <c r="AZ27" s="75">
        <f t="shared" si="11"/>
        <v>0.10336213066881753</v>
      </c>
      <c r="BA27" s="75">
        <f t="shared" si="11"/>
        <v>0.27722699830143294</v>
      </c>
      <c r="BB27" s="75">
        <f t="shared" si="11"/>
        <v>0.14563425484932294</v>
      </c>
      <c r="BC27" s="75">
        <f t="shared" si="11"/>
        <v>5.2487009719100072E-2</v>
      </c>
      <c r="BD27" s="75">
        <f t="shared" si="11"/>
        <v>0.13672463005746061</v>
      </c>
      <c r="BE27" s="75">
        <f t="shared" si="11"/>
        <v>0.16382686228756208</v>
      </c>
      <c r="BF27" s="75">
        <f t="shared" si="11"/>
        <v>0.1830073220734183</v>
      </c>
      <c r="BG27" s="75">
        <f t="shared" si="11"/>
        <v>0.19624483479008134</v>
      </c>
    </row>
    <row r="28" spans="1:59" ht="15">
      <c r="A28" s="1"/>
      <c r="B28" s="5"/>
      <c r="C28" s="5"/>
      <c r="D28" s="6"/>
      <c r="E28" s="6"/>
      <c r="F28" s="6"/>
      <c r="G28" s="5"/>
      <c r="H28" s="5"/>
      <c r="I28" s="5"/>
      <c r="J28" s="5"/>
      <c r="K28" s="6"/>
      <c r="L28" s="6"/>
      <c r="M28" s="6"/>
      <c r="N28" s="5"/>
      <c r="O28" s="8"/>
      <c r="P28" s="6"/>
      <c r="Q28" s="6"/>
      <c r="R28" s="6"/>
      <c r="S28" s="6"/>
      <c r="T28" s="6"/>
      <c r="U28" s="6"/>
      <c r="AV28" s="287" t="s">
        <v>157</v>
      </c>
    </row>
    <row r="29" spans="1:59">
      <c r="A29" s="5" t="s">
        <v>233</v>
      </c>
      <c r="B29" s="7" t="s">
        <v>0</v>
      </c>
      <c r="C29" s="7"/>
      <c r="D29" s="6">
        <f t="shared" ref="D29:U29" si="12">D9-D21</f>
        <v>0.36</v>
      </c>
      <c r="E29" s="6">
        <f t="shared" si="12"/>
        <v>0.62999999999999989</v>
      </c>
      <c r="F29" s="6">
        <f t="shared" si="12"/>
        <v>0.72</v>
      </c>
      <c r="G29" s="6">
        <f t="shared" si="12"/>
        <v>0.39999999999999991</v>
      </c>
      <c r="H29" s="6">
        <f t="shared" si="12"/>
        <v>0.30000000000000004</v>
      </c>
      <c r="I29" s="6">
        <f t="shared" si="12"/>
        <v>0.33999999999999997</v>
      </c>
      <c r="J29" s="6">
        <f t="shared" si="12"/>
        <v>0.53999999999999992</v>
      </c>
      <c r="K29" s="6">
        <f t="shared" si="12"/>
        <v>0.28000000000000003</v>
      </c>
      <c r="L29" s="6">
        <f t="shared" si="12"/>
        <v>0.28000000000000003</v>
      </c>
      <c r="M29" s="6">
        <f t="shared" si="12"/>
        <v>0.17999999999999994</v>
      </c>
      <c r="N29" s="6">
        <f t="shared" si="12"/>
        <v>0.24999999999999989</v>
      </c>
      <c r="O29" s="6">
        <f t="shared" si="12"/>
        <v>0.24999999999999989</v>
      </c>
      <c r="P29" s="6">
        <f t="shared" si="12"/>
        <v>0.5</v>
      </c>
      <c r="Q29" s="6">
        <f t="shared" si="12"/>
        <v>0.25</v>
      </c>
      <c r="R29" s="6">
        <f t="shared" si="12"/>
        <v>0.25000000000000011</v>
      </c>
      <c r="S29" s="6">
        <f t="shared" si="12"/>
        <v>0.25</v>
      </c>
      <c r="T29" s="6">
        <f t="shared" si="12"/>
        <v>0.19999999999999996</v>
      </c>
      <c r="U29" s="6">
        <f t="shared" si="12"/>
        <v>0.30000000000000004</v>
      </c>
      <c r="W29" s="75"/>
      <c r="X29" s="6"/>
      <c r="AU29" s="27">
        <v>0.6</v>
      </c>
      <c r="AV29" s="289" t="s">
        <v>41</v>
      </c>
      <c r="AW29" s="75">
        <f>$AU29*AW11</f>
        <v>3.3832286549438109E-2</v>
      </c>
      <c r="AX29" s="75">
        <f t="shared" ref="AX29:BG29" si="13">$AU29*AX11</f>
        <v>1.2671985661405096E-2</v>
      </c>
      <c r="AY29" s="75">
        <f t="shared" si="13"/>
        <v>1.4545315664849042E-2</v>
      </c>
      <c r="AZ29" s="75">
        <f t="shared" si="13"/>
        <v>5.6119252084146551E-4</v>
      </c>
      <c r="BA29" s="75">
        <f t="shared" si="13"/>
        <v>1.6685515189422135E-3</v>
      </c>
      <c r="BB29" s="75">
        <f t="shared" si="13"/>
        <v>3.4426082421683137E-2</v>
      </c>
      <c r="BC29" s="75">
        <f t="shared" si="13"/>
        <v>3.7670771615569899E-2</v>
      </c>
      <c r="BD29" s="75">
        <f t="shared" si="13"/>
        <v>2.639745557898748E-2</v>
      </c>
      <c r="BE29" s="75">
        <f t="shared" si="13"/>
        <v>2.8926847771015077E-2</v>
      </c>
      <c r="BF29" s="75">
        <f t="shared" si="13"/>
        <v>2.7638748068233972E-2</v>
      </c>
      <c r="BG29" s="75">
        <f t="shared" si="13"/>
        <v>2.1159457312779881E-2</v>
      </c>
    </row>
    <row r="30" spans="1:59">
      <c r="A30" s="5"/>
      <c r="B30" s="5" t="s">
        <v>408</v>
      </c>
      <c r="C30" s="5"/>
      <c r="D30" s="3">
        <f>1-D21/D9</f>
        <v>0.41860465116279066</v>
      </c>
      <c r="E30" s="3">
        <f t="shared" ref="E30:U30" si="14">1-E21/E9</f>
        <v>0.55752212389380529</v>
      </c>
      <c r="F30" s="3">
        <f t="shared" si="14"/>
        <v>0.50704225352112675</v>
      </c>
      <c r="G30" s="3">
        <f t="shared" si="14"/>
        <v>0.33333333333333326</v>
      </c>
      <c r="H30" s="3">
        <f t="shared" si="14"/>
        <v>0.27272727272727271</v>
      </c>
      <c r="I30" s="3">
        <f t="shared" si="14"/>
        <v>0.27419354838709675</v>
      </c>
      <c r="J30" s="3">
        <f t="shared" si="14"/>
        <v>0.375</v>
      </c>
      <c r="K30" s="3">
        <f t="shared" si="14"/>
        <v>0.2857142857142857</v>
      </c>
      <c r="L30" s="3">
        <f t="shared" si="14"/>
        <v>0.2857142857142857</v>
      </c>
      <c r="M30" s="3">
        <f t="shared" si="14"/>
        <v>0.31034482758620685</v>
      </c>
      <c r="N30" s="3">
        <f t="shared" si="14"/>
        <v>0.21739130434782605</v>
      </c>
      <c r="O30" s="3">
        <f t="shared" si="14"/>
        <v>0.21739130434782605</v>
      </c>
      <c r="P30" s="3">
        <f t="shared" si="14"/>
        <v>0.41666666666666663</v>
      </c>
      <c r="Q30" s="3">
        <f t="shared" si="14"/>
        <v>0.27777777777777779</v>
      </c>
      <c r="R30" s="3">
        <f t="shared" si="14"/>
        <v>0.2272727272727274</v>
      </c>
      <c r="S30" s="3">
        <f t="shared" si="14"/>
        <v>0.26315789473684215</v>
      </c>
      <c r="T30" s="3">
        <f t="shared" si="14"/>
        <v>0.19999999999999996</v>
      </c>
      <c r="U30" s="3">
        <f t="shared" si="14"/>
        <v>0.30000000000000004</v>
      </c>
      <c r="W30" s="112">
        <f>SUMPRODUCT(D30:U30,$D$34:$U$34)/SUM($D$34:$U$34)</f>
        <v>0.32527452098264031</v>
      </c>
      <c r="AU30" s="27">
        <v>0.9</v>
      </c>
      <c r="AV30" s="289" t="s">
        <v>65</v>
      </c>
      <c r="AW30" s="75">
        <f>$AU30*AW12</f>
        <v>1.3928624290393999E-2</v>
      </c>
      <c r="AX30" s="75">
        <f t="shared" ref="AX30:BG30" si="15">$AU30*AX12</f>
        <v>1.3259085202020144E-2</v>
      </c>
      <c r="AY30" s="75">
        <f t="shared" si="15"/>
        <v>8.6265053541099469E-4</v>
      </c>
      <c r="AZ30" s="75">
        <f t="shared" si="15"/>
        <v>2.1483596545137599E-4</v>
      </c>
      <c r="BA30" s="75">
        <f t="shared" si="15"/>
        <v>5.8269042069022709E-4</v>
      </c>
      <c r="BB30" s="75">
        <f t="shared" si="15"/>
        <v>0.15170022063728275</v>
      </c>
      <c r="BC30" s="75">
        <f t="shared" si="15"/>
        <v>6.8711489039999213E-2</v>
      </c>
      <c r="BD30" s="75">
        <f t="shared" si="15"/>
        <v>3.5938199396291101E-2</v>
      </c>
      <c r="BE30" s="75">
        <f t="shared" si="15"/>
        <v>3.7812620590461955E-2</v>
      </c>
      <c r="BF30" s="75">
        <f t="shared" si="15"/>
        <v>1.6145248066375285E-2</v>
      </c>
      <c r="BG30" s="75">
        <f t="shared" si="15"/>
        <v>1.9823850544872443E-2</v>
      </c>
    </row>
    <row r="31" spans="1:59" ht="15">
      <c r="A31" s="5"/>
      <c r="B31" s="7" t="s">
        <v>159</v>
      </c>
      <c r="C31" s="7"/>
      <c r="D31" s="61">
        <f>D29*D7*D8/1000</f>
        <v>1.1879999999999999</v>
      </c>
      <c r="E31" s="61">
        <f t="shared" ref="E31:U31" si="16">E29*E7*E8/1000</f>
        <v>1.7639999999999998</v>
      </c>
      <c r="F31" s="61">
        <f t="shared" si="16"/>
        <v>1.8720000000000001</v>
      </c>
      <c r="G31" s="61">
        <f t="shared" si="16"/>
        <v>2.4799999999999995</v>
      </c>
      <c r="H31" s="61">
        <f t="shared" si="16"/>
        <v>1.1400000000000001</v>
      </c>
      <c r="I31" s="61">
        <f t="shared" si="16"/>
        <v>1.2919999999999998</v>
      </c>
      <c r="J31" s="61">
        <f t="shared" si="16"/>
        <v>1.5119999999999998</v>
      </c>
      <c r="K31" s="61">
        <f t="shared" si="16"/>
        <v>0.75600000000000012</v>
      </c>
      <c r="L31" s="61">
        <f t="shared" si="16"/>
        <v>1.008</v>
      </c>
      <c r="M31" s="61">
        <f t="shared" si="16"/>
        <v>0.48599999999999982</v>
      </c>
      <c r="N31" s="61">
        <f t="shared" si="16"/>
        <v>1.8249999999999991</v>
      </c>
      <c r="O31" s="61">
        <f t="shared" si="16"/>
        <v>1.6999999999999993</v>
      </c>
      <c r="P31" s="61">
        <f t="shared" si="16"/>
        <v>2.7</v>
      </c>
      <c r="Q31" s="61">
        <f t="shared" si="16"/>
        <v>0.75</v>
      </c>
      <c r="R31" s="61">
        <f t="shared" si="16"/>
        <v>1.6000000000000008</v>
      </c>
      <c r="S31" s="61">
        <f t="shared" si="16"/>
        <v>1.425</v>
      </c>
      <c r="T31" s="61">
        <f t="shared" si="16"/>
        <v>0.59999999999999987</v>
      </c>
      <c r="U31" s="61">
        <f t="shared" si="16"/>
        <v>1.2300000000000002</v>
      </c>
      <c r="W31" s="274">
        <f>SUMPRODUCT(D31:U31,$D$34:$U$34)/SUM($D$34:$U$34)</f>
        <v>1.1684532696327263</v>
      </c>
      <c r="AV31" s="287" t="s">
        <v>154</v>
      </c>
    </row>
    <row r="32" spans="1:59">
      <c r="A32" s="5"/>
      <c r="B32" s="7"/>
      <c r="C32" s="7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AU32" s="27">
        <v>0.17</v>
      </c>
      <c r="AV32" s="289" t="s">
        <v>41</v>
      </c>
      <c r="AW32" s="75">
        <f>$AU32*AW14</f>
        <v>9.5858145223407971E-3</v>
      </c>
      <c r="AX32" s="75">
        <f t="shared" ref="AX32:BG32" si="17">$AU32*AX14</f>
        <v>3.5903959373981111E-3</v>
      </c>
      <c r="AY32" s="75">
        <f t="shared" si="17"/>
        <v>4.1211727717072287E-3</v>
      </c>
      <c r="AZ32" s="75">
        <f t="shared" si="17"/>
        <v>1.5900454757174857E-4</v>
      </c>
      <c r="BA32" s="75">
        <f t="shared" si="17"/>
        <v>4.7275626370029387E-4</v>
      </c>
      <c r="BB32" s="75">
        <f t="shared" si="17"/>
        <v>9.7540566861435557E-3</v>
      </c>
      <c r="BC32" s="75">
        <f t="shared" si="17"/>
        <v>1.067338529107814E-2</v>
      </c>
      <c r="BD32" s="75">
        <f t="shared" si="17"/>
        <v>7.4792790807131204E-3</v>
      </c>
      <c r="BE32" s="75">
        <f t="shared" si="17"/>
        <v>8.1959402017876062E-3</v>
      </c>
      <c r="BF32" s="75">
        <f t="shared" si="17"/>
        <v>7.8309786193329588E-3</v>
      </c>
      <c r="BG32" s="75">
        <f t="shared" si="17"/>
        <v>5.9951795719542997E-3</v>
      </c>
    </row>
    <row r="33" spans="1:59">
      <c r="A33" s="5"/>
      <c r="B33" s="7"/>
      <c r="C33" s="7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AU33" s="27">
        <v>0.67</v>
      </c>
      <c r="AV33" s="289" t="s">
        <v>65</v>
      </c>
      <c r="AW33" s="75">
        <f>$AU33*AW15</f>
        <v>2.9454132701961411E-3</v>
      </c>
      <c r="AX33" s="75">
        <f t="shared" ref="AX33:BG33" si="18">$AU33*AX15</f>
        <v>2.7441929553577875E-2</v>
      </c>
      <c r="AY33" s="75">
        <f t="shared" si="18"/>
        <v>1.3753152288764261E-3</v>
      </c>
      <c r="AZ33" s="75">
        <f t="shared" si="18"/>
        <v>2.5786709695919791E-3</v>
      </c>
      <c r="BA33" s="75">
        <f t="shared" si="18"/>
        <v>2.8188640104427645E-2</v>
      </c>
      <c r="BB33" s="75">
        <f t="shared" si="18"/>
        <v>2.7567267162224723E-2</v>
      </c>
      <c r="BC33" s="75">
        <f t="shared" si="18"/>
        <v>1.5118194804117082E-2</v>
      </c>
      <c r="BD33" s="75">
        <f t="shared" si="18"/>
        <v>1.0100394612580992E-2</v>
      </c>
      <c r="BE33" s="75">
        <f t="shared" si="18"/>
        <v>2.8157050471132285E-2</v>
      </c>
      <c r="BF33" s="75">
        <f t="shared" si="18"/>
        <v>1.60587160758301E-2</v>
      </c>
      <c r="BG33" s="75">
        <f t="shared" si="18"/>
        <v>1.3845885680587602E-2</v>
      </c>
    </row>
    <row r="34" spans="1:59" ht="15">
      <c r="A34" s="5"/>
      <c r="B34" s="7" t="s">
        <v>234</v>
      </c>
      <c r="C34" s="7"/>
      <c r="D34" s="62">
        <v>324</v>
      </c>
      <c r="E34" s="62">
        <v>316</v>
      </c>
      <c r="F34" s="62">
        <v>95</v>
      </c>
      <c r="G34" s="62">
        <v>135</v>
      </c>
      <c r="H34" s="62">
        <v>191</v>
      </c>
      <c r="I34" s="62">
        <v>186</v>
      </c>
      <c r="J34" s="62">
        <v>59</v>
      </c>
      <c r="K34" s="62">
        <v>245</v>
      </c>
      <c r="L34" s="62">
        <v>124</v>
      </c>
      <c r="M34" s="62">
        <v>442</v>
      </c>
      <c r="N34" s="62">
        <v>65</v>
      </c>
      <c r="O34" s="62">
        <v>12</v>
      </c>
      <c r="P34" s="62">
        <v>53</v>
      </c>
      <c r="Q34" s="62">
        <v>171</v>
      </c>
      <c r="R34" s="62">
        <v>104</v>
      </c>
      <c r="S34" s="62">
        <v>125</v>
      </c>
      <c r="T34" s="62">
        <v>369</v>
      </c>
      <c r="U34" s="62">
        <v>333</v>
      </c>
      <c r="W34" s="56">
        <f>SUM(D34:U34)</f>
        <v>3349</v>
      </c>
      <c r="X34" s="56" t="s">
        <v>406</v>
      </c>
      <c r="AV34" s="287" t="s">
        <v>155</v>
      </c>
    </row>
    <row r="35" spans="1:59">
      <c r="A35" t="s">
        <v>409</v>
      </c>
      <c r="B35" s="7" t="s">
        <v>405</v>
      </c>
      <c r="C35" s="7"/>
      <c r="D35" s="62">
        <f>D31*D34*1000000/1000/8760</f>
        <v>43.939726027397263</v>
      </c>
      <c r="E35" s="62">
        <f t="shared" ref="E35:U35" si="19">E31*E34*1000000/1000/8760</f>
        <v>63.632876712328766</v>
      </c>
      <c r="F35" s="62">
        <f t="shared" si="19"/>
        <v>20.301369863013697</v>
      </c>
      <c r="G35" s="62">
        <f t="shared" si="19"/>
        <v>38.219178082191775</v>
      </c>
      <c r="H35" s="62">
        <f t="shared" si="19"/>
        <v>24.856164383561648</v>
      </c>
      <c r="I35" s="62">
        <f t="shared" si="19"/>
        <v>27.43287671232876</v>
      </c>
      <c r="J35" s="62">
        <f t="shared" si="19"/>
        <v>10.183561643835615</v>
      </c>
      <c r="K35" s="62">
        <f t="shared" si="19"/>
        <v>21.143835616438359</v>
      </c>
      <c r="L35" s="62">
        <f t="shared" si="19"/>
        <v>14.268493150684931</v>
      </c>
      <c r="M35" s="62">
        <f t="shared" si="19"/>
        <v>24.521917808219172</v>
      </c>
      <c r="N35" s="62">
        <f t="shared" si="19"/>
        <v>13.541666666666661</v>
      </c>
      <c r="O35" s="62">
        <f t="shared" si="19"/>
        <v>2.3287671232876703</v>
      </c>
      <c r="P35" s="62">
        <f t="shared" si="19"/>
        <v>16.335616438356169</v>
      </c>
      <c r="Q35" s="62">
        <f t="shared" si="19"/>
        <v>14.640410958904109</v>
      </c>
      <c r="R35" s="62">
        <f t="shared" si="19"/>
        <v>18.995433789954348</v>
      </c>
      <c r="S35" s="62">
        <f t="shared" si="19"/>
        <v>20.333904109589042</v>
      </c>
      <c r="T35" s="62">
        <f t="shared" si="19"/>
        <v>25.273972602739718</v>
      </c>
      <c r="U35" s="62">
        <f t="shared" si="19"/>
        <v>46.7568493150685</v>
      </c>
      <c r="W35" s="56">
        <f>SUM(D35:U35)</f>
        <v>446.70662100456627</v>
      </c>
      <c r="X35" t="s">
        <v>407</v>
      </c>
      <c r="AU35" s="27">
        <v>0.37</v>
      </c>
      <c r="AV35" s="289" t="s">
        <v>156</v>
      </c>
      <c r="AW35" s="75">
        <f>$AU35*AW17</f>
        <v>4.9893829770720338E-4</v>
      </c>
      <c r="AX35" s="75">
        <f t="shared" ref="AX35:BG35" si="20">$AU35*AX17</f>
        <v>5.1410518863426319E-2</v>
      </c>
      <c r="AY35" s="75">
        <f t="shared" si="20"/>
        <v>2.6602903829637811E-2</v>
      </c>
      <c r="AZ35" s="75">
        <f t="shared" si="20"/>
        <v>3.8625944898952755E-2</v>
      </c>
      <c r="BA35" s="75">
        <f t="shared" si="20"/>
        <v>1.7227372106032632E-2</v>
      </c>
      <c r="BB35" s="75">
        <f t="shared" si="20"/>
        <v>0</v>
      </c>
      <c r="BC35" s="75">
        <f t="shared" si="20"/>
        <v>1.3971267091731332E-3</v>
      </c>
      <c r="BD35" s="75">
        <f t="shared" si="20"/>
        <v>1.1535374425682356E-3</v>
      </c>
      <c r="BE35" s="75">
        <f t="shared" si="20"/>
        <v>1.737834734888799E-2</v>
      </c>
      <c r="BF35" s="75">
        <f t="shared" si="20"/>
        <v>1.6381849207756941E-2</v>
      </c>
      <c r="BG35" s="75">
        <f t="shared" si="20"/>
        <v>2.2110420954008444E-2</v>
      </c>
    </row>
    <row r="36" spans="1:59">
      <c r="A36" s="5"/>
      <c r="B36" s="74"/>
      <c r="C36" s="74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W36" s="320">
        <f>SUMPRODUCT(D31:U31,D34:U34)*1000000/1000/8760</f>
        <v>446.70662100456627</v>
      </c>
      <c r="X36" s="56"/>
      <c r="AU36" s="27">
        <v>0.6</v>
      </c>
      <c r="AV36" s="289" t="s">
        <v>33</v>
      </c>
      <c r="AW36" s="75">
        <f>$AU36*AW18</f>
        <v>6.8336732412573979E-3</v>
      </c>
      <c r="AX36" s="75">
        <f t="shared" ref="AX36:BG36" si="21">$AU36*AX18</f>
        <v>3.7663380244444537E-2</v>
      </c>
      <c r="AY36" s="75">
        <f t="shared" si="21"/>
        <v>2.1536629084068386E-2</v>
      </c>
      <c r="AZ36" s="75">
        <f t="shared" si="21"/>
        <v>3.098393304562324E-2</v>
      </c>
      <c r="BA36" s="75">
        <f t="shared" si="21"/>
        <v>9.6631945377221781E-4</v>
      </c>
      <c r="BB36" s="75">
        <f t="shared" si="21"/>
        <v>0</v>
      </c>
      <c r="BC36" s="75">
        <f t="shared" si="21"/>
        <v>4.7716560366415571E-4</v>
      </c>
      <c r="BD36" s="75">
        <f t="shared" si="21"/>
        <v>3.5813503482354063E-3</v>
      </c>
      <c r="BE36" s="75">
        <f t="shared" si="21"/>
        <v>4.4607041148285342E-2</v>
      </c>
      <c r="BF36" s="75">
        <f t="shared" si="21"/>
        <v>2.2619197752352823E-2</v>
      </c>
      <c r="BG36" s="75">
        <f t="shared" si="21"/>
        <v>2.28958986843125E-2</v>
      </c>
    </row>
    <row r="37" spans="1:59" ht="15">
      <c r="A37" s="5"/>
      <c r="B37" s="7"/>
      <c r="C37" s="7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W37" s="27"/>
      <c r="X37" s="56"/>
      <c r="AV37" s="287" t="s">
        <v>9</v>
      </c>
    </row>
    <row r="38" spans="1:59">
      <c r="A38" s="5" t="s">
        <v>702</v>
      </c>
      <c r="B38" s="7" t="s">
        <v>700</v>
      </c>
      <c r="C38" s="7"/>
      <c r="D38" s="116">
        <f>D21</f>
        <v>0.5</v>
      </c>
      <c r="E38" s="116">
        <f t="shared" ref="E38:U38" si="22">E21</f>
        <v>0.5</v>
      </c>
      <c r="F38" s="116">
        <f t="shared" si="22"/>
        <v>0.7</v>
      </c>
      <c r="G38" s="116">
        <f t="shared" si="22"/>
        <v>0.8</v>
      </c>
      <c r="H38" s="116">
        <f t="shared" si="22"/>
        <v>0.8</v>
      </c>
      <c r="I38" s="116">
        <f t="shared" si="22"/>
        <v>0.9</v>
      </c>
      <c r="J38" s="116">
        <f t="shared" si="22"/>
        <v>0.9</v>
      </c>
      <c r="K38" s="116">
        <f t="shared" si="22"/>
        <v>0.7</v>
      </c>
      <c r="L38" s="116">
        <f t="shared" si="22"/>
        <v>0.7</v>
      </c>
      <c r="M38" s="116">
        <f t="shared" si="22"/>
        <v>0.4</v>
      </c>
      <c r="N38" s="116">
        <f t="shared" si="22"/>
        <v>0.9</v>
      </c>
      <c r="O38" s="116">
        <f t="shared" si="22"/>
        <v>0.9</v>
      </c>
      <c r="P38" s="116">
        <f t="shared" si="22"/>
        <v>0.7</v>
      </c>
      <c r="Q38" s="116">
        <f t="shared" si="22"/>
        <v>0.65</v>
      </c>
      <c r="R38" s="116">
        <f t="shared" si="22"/>
        <v>0.85</v>
      </c>
      <c r="S38" s="116">
        <f t="shared" si="22"/>
        <v>0.7</v>
      </c>
      <c r="T38" s="116">
        <f t="shared" si="22"/>
        <v>0.8</v>
      </c>
      <c r="U38" s="116">
        <f t="shared" si="22"/>
        <v>0.7</v>
      </c>
      <c r="AU38" s="27">
        <v>0.37</v>
      </c>
      <c r="AV38" s="289" t="s">
        <v>41</v>
      </c>
      <c r="AW38" s="75">
        <f>$AU38*AW20</f>
        <v>1.5026206795317567E-2</v>
      </c>
      <c r="AX38" s="75">
        <f t="shared" ref="AX38:BG38" si="23">$AU38*AX20</f>
        <v>5.609924832920765E-3</v>
      </c>
      <c r="AY38" s="75">
        <f t="shared" si="23"/>
        <v>1.1410695367866222E-2</v>
      </c>
      <c r="AZ38" s="75">
        <f t="shared" si="23"/>
        <v>8.8900725748755904E-3</v>
      </c>
      <c r="BA38" s="75">
        <f t="shared" si="23"/>
        <v>2.2751463068787763E-2</v>
      </c>
      <c r="BB38" s="75">
        <f t="shared" si="23"/>
        <v>4.3398719092553883E-2</v>
      </c>
      <c r="BC38" s="75">
        <f t="shared" si="23"/>
        <v>0.10686076409450608</v>
      </c>
      <c r="BD38" s="75">
        <f t="shared" si="23"/>
        <v>6.034314070471198E-2</v>
      </c>
      <c r="BE38" s="75">
        <f t="shared" si="23"/>
        <v>2.2756311813197493E-2</v>
      </c>
      <c r="BF38" s="75">
        <f t="shared" si="23"/>
        <v>3.8467723621486982E-2</v>
      </c>
      <c r="BG38" s="75">
        <f t="shared" si="23"/>
        <v>2.2901506371979491E-2</v>
      </c>
    </row>
    <row r="39" spans="1:59">
      <c r="A39" s="18"/>
      <c r="B39" s="18" t="s">
        <v>701</v>
      </c>
      <c r="C39" s="18"/>
      <c r="D39" s="486">
        <f>D38*D7*D8/1000</f>
        <v>1.65</v>
      </c>
      <c r="E39" s="486">
        <f t="shared" ref="E39:U39" si="24">E38*E7*E8/1000</f>
        <v>1.4</v>
      </c>
      <c r="F39" s="486">
        <f t="shared" si="24"/>
        <v>1.8199999999999998</v>
      </c>
      <c r="G39" s="486">
        <f t="shared" si="24"/>
        <v>4.96</v>
      </c>
      <c r="H39" s="486">
        <f t="shared" si="24"/>
        <v>3.04</v>
      </c>
      <c r="I39" s="486">
        <f t="shared" si="24"/>
        <v>3.42</v>
      </c>
      <c r="J39" s="486">
        <f t="shared" si="24"/>
        <v>2.52</v>
      </c>
      <c r="K39" s="486">
        <f t="shared" si="24"/>
        <v>1.8899999999999997</v>
      </c>
      <c r="L39" s="486">
        <f t="shared" si="24"/>
        <v>2.52</v>
      </c>
      <c r="M39" s="486">
        <f t="shared" si="24"/>
        <v>1.08</v>
      </c>
      <c r="N39" s="486">
        <f t="shared" si="24"/>
        <v>6.57</v>
      </c>
      <c r="O39" s="486">
        <f t="shared" si="24"/>
        <v>6.12</v>
      </c>
      <c r="P39" s="486">
        <f t="shared" si="24"/>
        <v>3.7799999999999994</v>
      </c>
      <c r="Q39" s="486">
        <f t="shared" si="24"/>
        <v>1.95</v>
      </c>
      <c r="R39" s="486">
        <f t="shared" si="24"/>
        <v>5.44</v>
      </c>
      <c r="S39" s="486">
        <f t="shared" si="24"/>
        <v>3.9899999999999993</v>
      </c>
      <c r="T39" s="486">
        <f t="shared" si="24"/>
        <v>2.4</v>
      </c>
      <c r="U39" s="486">
        <f t="shared" si="24"/>
        <v>2.87</v>
      </c>
      <c r="V39" s="297"/>
      <c r="W39" s="274">
        <f>SUMPRODUCT(D39:U39,$D$34:$U$34)/SUM($D$34:$U$34)</f>
        <v>2.5016213795162736</v>
      </c>
      <c r="AV39" s="444" t="s">
        <v>36</v>
      </c>
      <c r="AW39" s="443">
        <f t="shared" ref="AW39:BG39" si="25">SUM(AW27:AW38)</f>
        <v>0.35196783482342514</v>
      </c>
      <c r="AX39" s="443">
        <f t="shared" si="25"/>
        <v>0.3931298568939437</v>
      </c>
      <c r="AY39" s="443">
        <f t="shared" si="25"/>
        <v>0.32078761793161747</v>
      </c>
      <c r="AZ39" s="443">
        <f t="shared" si="25"/>
        <v>0.18537578519172568</v>
      </c>
      <c r="BA39" s="443">
        <f t="shared" si="25"/>
        <v>0.34908479123778596</v>
      </c>
      <c r="BB39" s="443">
        <f t="shared" si="25"/>
        <v>0.41248060084921101</v>
      </c>
      <c r="BC39" s="443">
        <f t="shared" si="25"/>
        <v>0.29339590687720779</v>
      </c>
      <c r="BD39" s="443">
        <f t="shared" si="25"/>
        <v>0.28171798722154895</v>
      </c>
      <c r="BE39" s="443">
        <f t="shared" si="25"/>
        <v>0.35166102163232982</v>
      </c>
      <c r="BF39" s="443">
        <f t="shared" si="25"/>
        <v>0.32814978348478735</v>
      </c>
      <c r="BG39" s="443">
        <f t="shared" si="25"/>
        <v>0.32497703391057609</v>
      </c>
    </row>
    <row r="40" spans="1:59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X40" s="27"/>
      <c r="Y40" s="82"/>
    </row>
    <row r="41" spans="1:59">
      <c r="A41" s="1"/>
      <c r="Q41" s="1"/>
      <c r="R41" s="1"/>
      <c r="S41" s="1"/>
      <c r="T41" s="1"/>
      <c r="U41" s="1"/>
      <c r="Y41" s="82"/>
      <c r="AV41" s="114" t="s">
        <v>627</v>
      </c>
      <c r="AW41" s="443">
        <f t="shared" ref="AW41:BG41" si="26">AW22-AW39</f>
        <v>0.67836480376259334</v>
      </c>
      <c r="AX41" s="443">
        <f t="shared" si="26"/>
        <v>0.67409779187555152</v>
      </c>
      <c r="AY41" s="443">
        <f t="shared" si="26"/>
        <v>0.60939555422254621</v>
      </c>
      <c r="AZ41" s="443">
        <f t="shared" si="26"/>
        <v>0.3474317520606367</v>
      </c>
      <c r="BA41" s="443">
        <f t="shared" si="26"/>
        <v>0.67304028039002928</v>
      </c>
      <c r="BB41" s="443">
        <f t="shared" si="26"/>
        <v>0.64890975994155653</v>
      </c>
      <c r="BC41" s="443">
        <f t="shared" si="26"/>
        <v>0.56540324403346842</v>
      </c>
      <c r="BD41" s="443">
        <f t="shared" si="26"/>
        <v>0.74124132664181186</v>
      </c>
      <c r="BE41" s="443">
        <f t="shared" si="26"/>
        <v>0.60346011562429691</v>
      </c>
      <c r="BF41" s="443">
        <f t="shared" si="26"/>
        <v>0.57063080776090125</v>
      </c>
      <c r="BG41" s="443">
        <f t="shared" si="26"/>
        <v>0.59854635844368131</v>
      </c>
    </row>
    <row r="43" spans="1:59">
      <c r="AV43" t="s">
        <v>6</v>
      </c>
      <c r="AW43">
        <f>VLOOKUP(AW25,'CBSA Hrs_Plus'!$H$7:$I$17,2,FALSE)</f>
        <v>3000</v>
      </c>
      <c r="AX43">
        <f>VLOOKUP(AX25,'CBSA Hrs_Plus'!$H$7:$I$17,2,FALSE)</f>
        <v>4200</v>
      </c>
      <c r="AY43">
        <f>VLOOKUP(AY25,'CBSA Hrs_Plus'!$H$7:$I$17,2,FALSE)</f>
        <v>2700</v>
      </c>
      <c r="AZ43">
        <f>VLOOKUP(AZ25,'CBSA Hrs_Plus'!$H$7:$I$17,2,FALSE)</f>
        <v>2800</v>
      </c>
      <c r="BA43">
        <f>VLOOKUP(BA25,'CBSA Hrs_Plus'!$H$7:$I$17,2,FALSE)</f>
        <v>7200</v>
      </c>
      <c r="BB43">
        <f>VLOOKUP(BB25,'CBSA Hrs_Plus'!$H$7:$I$17,2,FALSE)</f>
        <v>5400</v>
      </c>
      <c r="BC43">
        <f>VLOOKUP(BC25,'CBSA Hrs_Plus'!$H$7:$I$17,2,FALSE)</f>
        <v>3000</v>
      </c>
      <c r="BD43">
        <f>VLOOKUP(BD25,'CBSA Hrs_Plus'!$H$7:$I$17,2,FALSE)</f>
        <v>5700</v>
      </c>
      <c r="BE43">
        <f>VLOOKUP(BE25,'CBSA Hrs_Plus'!$H$7:$I$17,2,FALSE)</f>
        <v>3000</v>
      </c>
      <c r="BF43">
        <f>VLOOKUP(BF25,'CBSA Hrs_Plus'!$H$7:$I$17,2,FALSE)</f>
        <v>4000</v>
      </c>
      <c r="BG43">
        <f>VLOOKUP(BG25,'CBSA Hrs_Plus'!$H$7:$I$17,2,FALSE)</f>
        <v>3600</v>
      </c>
    </row>
    <row r="44" spans="1:59">
      <c r="D44" s="508">
        <f>1-(588/1030)</f>
        <v>0.42912621359223302</v>
      </c>
      <c r="E44" s="508"/>
      <c r="F44" s="508"/>
      <c r="G44" s="508">
        <f>1-(578/1067)</f>
        <v>0.45829428303655106</v>
      </c>
      <c r="H44" s="508"/>
      <c r="I44" s="508"/>
      <c r="J44" s="508"/>
      <c r="K44" s="112">
        <f>1-(533/930)</f>
        <v>0.42688172043010753</v>
      </c>
      <c r="M44" s="112">
        <f>1-(277/532)</f>
        <v>0.47932330827067671</v>
      </c>
    </row>
    <row r="45" spans="1:59">
      <c r="AV45" t="s">
        <v>628</v>
      </c>
      <c r="AW45" s="75">
        <f t="shared" ref="AW45:BG45" si="27">AW$43*AW22/1000</f>
        <v>3.0909979157580554</v>
      </c>
      <c r="AX45" s="75">
        <f t="shared" si="27"/>
        <v>4.4823561248318793</v>
      </c>
      <c r="AY45" s="75">
        <f t="shared" si="27"/>
        <v>2.5114945648162421</v>
      </c>
      <c r="AZ45" s="75">
        <f t="shared" si="27"/>
        <v>1.4918611043066148</v>
      </c>
      <c r="BA45" s="75">
        <f t="shared" si="27"/>
        <v>7.3593005157202693</v>
      </c>
      <c r="BB45" s="75">
        <f t="shared" si="27"/>
        <v>5.7315079482701448</v>
      </c>
      <c r="BC45" s="75">
        <f t="shared" si="27"/>
        <v>2.5763974527320284</v>
      </c>
      <c r="BD45" s="75">
        <f t="shared" si="27"/>
        <v>5.8308680890211564</v>
      </c>
      <c r="BE45" s="75">
        <f t="shared" si="27"/>
        <v>2.8653634117698803</v>
      </c>
      <c r="BF45" s="75">
        <f t="shared" si="27"/>
        <v>3.5951223649827546</v>
      </c>
      <c r="BG45" s="75">
        <f t="shared" si="27"/>
        <v>3.3246842124753266</v>
      </c>
    </row>
    <row r="46" spans="1:59">
      <c r="AV46" t="s">
        <v>629</v>
      </c>
      <c r="AW46" s="75">
        <f>AW$43*AW41/1000</f>
        <v>2.0350944112877802</v>
      </c>
      <c r="AX46" s="75">
        <f t="shared" ref="AX46:BG46" si="28">AX$43*AX41/1000</f>
        <v>2.831210725877316</v>
      </c>
      <c r="AY46" s="75">
        <f t="shared" si="28"/>
        <v>1.6453679964008747</v>
      </c>
      <c r="AZ46" s="75">
        <f t="shared" si="28"/>
        <v>0.97280890576978274</v>
      </c>
      <c r="BA46" s="75">
        <f t="shared" si="28"/>
        <v>4.8458900188082108</v>
      </c>
      <c r="BB46" s="75">
        <f t="shared" si="28"/>
        <v>3.5041127036844055</v>
      </c>
      <c r="BC46" s="75">
        <f t="shared" si="28"/>
        <v>1.6962097321004053</v>
      </c>
      <c r="BD46" s="75">
        <f t="shared" si="28"/>
        <v>4.2250755618583282</v>
      </c>
      <c r="BE46" s="75">
        <f t="shared" si="28"/>
        <v>1.8103803468728907</v>
      </c>
      <c r="BF46" s="75">
        <f t="shared" si="28"/>
        <v>2.282523231043605</v>
      </c>
      <c r="BG46" s="75">
        <f t="shared" si="28"/>
        <v>2.1547668903972528</v>
      </c>
    </row>
    <row r="47" spans="1:59">
      <c r="AV47" t="s">
        <v>630</v>
      </c>
      <c r="AW47" s="75">
        <f>AW45-AW46</f>
        <v>1.0559035044702751</v>
      </c>
      <c r="AX47" s="75">
        <f t="shared" ref="AX47:BG47" si="29">AX45-AX46</f>
        <v>1.6511453989545632</v>
      </c>
      <c r="AY47" s="75">
        <f t="shared" si="29"/>
        <v>0.86612656841536739</v>
      </c>
      <c r="AZ47" s="75">
        <f t="shared" si="29"/>
        <v>0.51905219853683204</v>
      </c>
      <c r="BA47" s="75">
        <f t="shared" si="29"/>
        <v>2.5134104969120585</v>
      </c>
      <c r="BB47" s="75">
        <f t="shared" si="29"/>
        <v>2.2273952445857392</v>
      </c>
      <c r="BC47" s="75">
        <f t="shared" si="29"/>
        <v>0.88018772063162309</v>
      </c>
      <c r="BD47" s="75">
        <f t="shared" si="29"/>
        <v>1.6057925271628282</v>
      </c>
      <c r="BE47" s="75">
        <f t="shared" si="29"/>
        <v>1.0549830648969896</v>
      </c>
      <c r="BF47" s="75">
        <f t="shared" si="29"/>
        <v>1.3125991339391496</v>
      </c>
      <c r="BG47" s="75">
        <f t="shared" si="29"/>
        <v>1.1699173220780739</v>
      </c>
    </row>
    <row r="49" spans="1:59">
      <c r="AV49" t="s">
        <v>631</v>
      </c>
      <c r="AW49" s="112">
        <f>1-(AW46/AW45)</f>
        <v>0.34160602279517194</v>
      </c>
      <c r="AX49" s="112">
        <f t="shared" ref="AX49:BG49" si="30">1-(AX46/AX45)</f>
        <v>0.36836550978342741</v>
      </c>
      <c r="AY49" s="112">
        <f t="shared" si="30"/>
        <v>0.34486499813657334</v>
      </c>
      <c r="AZ49" s="112">
        <f t="shared" si="30"/>
        <v>0.34792260287399634</v>
      </c>
      <c r="BA49" s="112">
        <f t="shared" si="30"/>
        <v>0.34152844982252584</v>
      </c>
      <c r="BB49" s="112">
        <f t="shared" si="30"/>
        <v>0.38862290075999995</v>
      </c>
      <c r="BC49" s="112">
        <f t="shared" si="30"/>
        <v>0.34163506864915827</v>
      </c>
      <c r="BD49" s="112">
        <f t="shared" si="30"/>
        <v>0.27539510457908456</v>
      </c>
      <c r="BE49" s="112">
        <f t="shared" si="30"/>
        <v>0.36818473376308891</v>
      </c>
      <c r="BF49" s="112">
        <f t="shared" si="30"/>
        <v>0.36510555154509905</v>
      </c>
      <c r="BG49" s="112">
        <f t="shared" si="30"/>
        <v>0.35188825383419964</v>
      </c>
    </row>
    <row r="58" spans="1:59">
      <c r="B58" s="7" t="s">
        <v>234</v>
      </c>
      <c r="C58" s="7"/>
      <c r="D58" s="62">
        <v>324</v>
      </c>
      <c r="E58" s="62">
        <v>316</v>
      </c>
      <c r="F58" s="62">
        <v>95</v>
      </c>
      <c r="G58" s="62">
        <v>135</v>
      </c>
      <c r="H58" s="62">
        <v>191</v>
      </c>
      <c r="I58" s="62">
        <v>186</v>
      </c>
      <c r="J58" s="62">
        <v>59</v>
      </c>
      <c r="K58" s="62">
        <v>245</v>
      </c>
      <c r="L58" s="62">
        <v>124</v>
      </c>
      <c r="M58" s="62">
        <v>442</v>
      </c>
      <c r="N58" s="62">
        <v>65</v>
      </c>
      <c r="O58" s="62">
        <v>12</v>
      </c>
      <c r="P58" s="62">
        <v>53</v>
      </c>
      <c r="Q58" s="62">
        <v>171</v>
      </c>
      <c r="R58" s="62">
        <v>104</v>
      </c>
      <c r="S58" s="62">
        <v>125</v>
      </c>
      <c r="T58" s="62">
        <v>369</v>
      </c>
      <c r="U58" s="62">
        <v>333</v>
      </c>
      <c r="W58" s="56">
        <f>SUM(D58:U58)</f>
        <v>3349</v>
      </c>
    </row>
    <row r="59" spans="1:59">
      <c r="B59" s="7" t="s">
        <v>363</v>
      </c>
      <c r="C59" s="7"/>
      <c r="D59" s="62">
        <f>D58*1000000*D15/8760/1000</f>
        <v>104.96712328767123</v>
      </c>
      <c r="E59" s="62">
        <f t="shared" ref="E59:U59" si="31">E58*1000000*E15/8760/1000</f>
        <v>114.13515981735158</v>
      </c>
      <c r="F59" s="62">
        <f t="shared" si="31"/>
        <v>40.038812785388131</v>
      </c>
      <c r="G59" s="62">
        <f t="shared" si="31"/>
        <v>114.65753424657535</v>
      </c>
      <c r="H59" s="62">
        <f t="shared" si="31"/>
        <v>91.139269406392685</v>
      </c>
      <c r="I59" s="62">
        <f t="shared" si="31"/>
        <v>100.04931506849314</v>
      </c>
      <c r="J59" s="62">
        <f t="shared" si="31"/>
        <v>27.156164383561645</v>
      </c>
      <c r="K59" s="62">
        <f t="shared" si="31"/>
        <v>74.003424657534239</v>
      </c>
      <c r="L59" s="62">
        <f t="shared" si="31"/>
        <v>49.939726027397256</v>
      </c>
      <c r="M59" s="62">
        <f t="shared" si="31"/>
        <v>79.015068493150679</v>
      </c>
      <c r="N59" s="62">
        <f t="shared" si="31"/>
        <v>62.291666666666664</v>
      </c>
      <c r="O59" s="62">
        <f t="shared" si="31"/>
        <v>10.712328767123289</v>
      </c>
      <c r="P59" s="62">
        <f t="shared" si="31"/>
        <v>39.205479452054796</v>
      </c>
      <c r="Q59" s="62">
        <f t="shared" si="31"/>
        <v>52.705479452054803</v>
      </c>
      <c r="R59" s="62">
        <f t="shared" si="31"/>
        <v>83.579908675799103</v>
      </c>
      <c r="S59" s="62">
        <f t="shared" si="31"/>
        <v>77.268835616438352</v>
      </c>
      <c r="T59" s="62">
        <f t="shared" si="31"/>
        <v>126.36986301369863</v>
      </c>
      <c r="U59" s="62">
        <f t="shared" si="31"/>
        <v>155.85616438356163</v>
      </c>
      <c r="W59" s="56">
        <f>SUM(D59:U59)</f>
        <v>1403.091324200913</v>
      </c>
    </row>
    <row r="60" spans="1:59">
      <c r="B60" s="7"/>
      <c r="C60" s="7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W60" s="56"/>
    </row>
    <row r="63" spans="1:59">
      <c r="D63" s="153" t="s">
        <v>31</v>
      </c>
      <c r="E63" s="153" t="s">
        <v>31</v>
      </c>
      <c r="F63" s="153" t="s">
        <v>31</v>
      </c>
      <c r="G63" s="153" t="s">
        <v>30</v>
      </c>
      <c r="H63" s="153" t="s">
        <v>30</v>
      </c>
      <c r="I63" s="153" t="s">
        <v>30</v>
      </c>
      <c r="J63" s="153" t="s">
        <v>30</v>
      </c>
      <c r="K63" s="153" t="s">
        <v>29</v>
      </c>
      <c r="L63" s="153" t="s">
        <v>30</v>
      </c>
      <c r="M63" s="153" t="s">
        <v>16</v>
      </c>
      <c r="N63" s="153" t="s">
        <v>28</v>
      </c>
      <c r="O63" s="153" t="s">
        <v>28</v>
      </c>
      <c r="P63" s="153" t="s">
        <v>60</v>
      </c>
      <c r="Q63" s="153" t="s">
        <v>13</v>
      </c>
      <c r="R63" s="153" t="s">
        <v>30</v>
      </c>
      <c r="S63" s="153" t="s">
        <v>61</v>
      </c>
      <c r="T63" s="153" t="s">
        <v>10</v>
      </c>
      <c r="U63" s="153" t="s">
        <v>9</v>
      </c>
    </row>
    <row r="64" spans="1:59">
      <c r="A64" s="1" t="s">
        <v>268</v>
      </c>
      <c r="B64" s="1" t="s">
        <v>270</v>
      </c>
      <c r="C64" s="1"/>
      <c r="D64" s="509" t="s">
        <v>31</v>
      </c>
      <c r="E64" s="510"/>
      <c r="F64" s="511"/>
      <c r="G64" s="509" t="s">
        <v>30</v>
      </c>
      <c r="H64" s="510"/>
      <c r="I64" s="510"/>
      <c r="J64" s="511"/>
      <c r="K64" s="509" t="s">
        <v>29</v>
      </c>
      <c r="L64" s="511"/>
      <c r="M64" s="9" t="s">
        <v>16</v>
      </c>
      <c r="N64" s="509" t="s">
        <v>28</v>
      </c>
      <c r="O64" s="511"/>
      <c r="P64" s="9" t="s">
        <v>14</v>
      </c>
      <c r="Q64" s="9" t="s">
        <v>13</v>
      </c>
      <c r="R64" s="509" t="s">
        <v>27</v>
      </c>
      <c r="S64" s="511"/>
      <c r="T64" s="9" t="s">
        <v>10</v>
      </c>
      <c r="U64" s="9" t="s">
        <v>9</v>
      </c>
      <c r="W64" s="128" t="s">
        <v>8</v>
      </c>
    </row>
    <row r="65" spans="1:23" ht="25.5">
      <c r="A65" s="9" t="s">
        <v>26</v>
      </c>
      <c r="B65" s="9" t="s">
        <v>25</v>
      </c>
      <c r="C65" s="488"/>
      <c r="D65" s="9" t="s">
        <v>23</v>
      </c>
      <c r="E65" s="9" t="s">
        <v>22</v>
      </c>
      <c r="F65" s="9" t="s">
        <v>21</v>
      </c>
      <c r="G65" s="11" t="s">
        <v>50</v>
      </c>
      <c r="H65" s="11" t="s">
        <v>51</v>
      </c>
      <c r="I65" s="11" t="s">
        <v>52</v>
      </c>
      <c r="J65" s="11" t="s">
        <v>53</v>
      </c>
      <c r="K65" s="9" t="s">
        <v>18</v>
      </c>
      <c r="L65" s="9" t="s">
        <v>17</v>
      </c>
      <c r="M65" s="9" t="s">
        <v>16</v>
      </c>
      <c r="N65" s="9" t="s">
        <v>15</v>
      </c>
      <c r="O65" s="9" t="s">
        <v>54</v>
      </c>
      <c r="P65" s="9" t="s">
        <v>14</v>
      </c>
      <c r="Q65" s="9" t="s">
        <v>13</v>
      </c>
      <c r="R65" s="9" t="s">
        <v>12</v>
      </c>
      <c r="S65" s="9" t="s">
        <v>11</v>
      </c>
      <c r="T65" s="10" t="s">
        <v>10</v>
      </c>
      <c r="U65" s="9" t="s">
        <v>9</v>
      </c>
      <c r="W65" s="128" t="s">
        <v>8</v>
      </c>
    </row>
    <row r="66" spans="1:23">
      <c r="B66" s="157" t="s">
        <v>269</v>
      </c>
      <c r="C66" s="157"/>
      <c r="D66" s="158">
        <f>VLOOKUP(D63,$N$97:$Q$108,2,FALSE)</f>
        <v>0.13694201484289967</v>
      </c>
      <c r="E66" s="158">
        <f t="shared" ref="E66:U66" si="32">VLOOKUP(E63,$N$97:$Q$108,2,FALSE)</f>
        <v>0.13694201484289967</v>
      </c>
      <c r="F66" s="158">
        <f t="shared" si="32"/>
        <v>0.13694201484289967</v>
      </c>
      <c r="G66" s="158">
        <f t="shared" si="32"/>
        <v>0.28431590929099099</v>
      </c>
      <c r="H66" s="158">
        <f t="shared" si="32"/>
        <v>0.28431590929099099</v>
      </c>
      <c r="I66" s="158">
        <f t="shared" si="32"/>
        <v>0.28431590929099099</v>
      </c>
      <c r="J66" s="158">
        <f t="shared" si="32"/>
        <v>0.28431590929099099</v>
      </c>
      <c r="K66" s="158">
        <f t="shared" si="32"/>
        <v>0.10641166515684555</v>
      </c>
      <c r="L66" s="158">
        <f t="shared" si="32"/>
        <v>0.28431590929099099</v>
      </c>
      <c r="M66" s="158">
        <f t="shared" si="32"/>
        <v>8.3532634554250654E-2</v>
      </c>
      <c r="N66" s="158">
        <f t="shared" si="32"/>
        <v>0.26032202198271615</v>
      </c>
      <c r="O66" s="158">
        <f t="shared" si="32"/>
        <v>0.26032202198271615</v>
      </c>
      <c r="P66" s="158">
        <f t="shared" si="32"/>
        <v>0.43664170869555319</v>
      </c>
      <c r="Q66" s="158">
        <f t="shared" si="32"/>
        <v>0.10259832460348207</v>
      </c>
      <c r="R66" s="158">
        <f t="shared" si="32"/>
        <v>0.28431590929099099</v>
      </c>
      <c r="S66" s="158">
        <f t="shared" si="32"/>
        <v>7.0371990255371983E-2</v>
      </c>
      <c r="T66" s="158">
        <f t="shared" si="32"/>
        <v>0.15772286537406049</v>
      </c>
      <c r="U66" s="158">
        <f t="shared" si="32"/>
        <v>0.14552691811087146</v>
      </c>
      <c r="V66" s="157"/>
      <c r="W66" s="159">
        <f>SUMPRODUCT(D66:U66,D34:U34)/SUM(D34:U34)</f>
        <v>0.16930453701583695</v>
      </c>
    </row>
    <row r="67" spans="1:23">
      <c r="B67" s="157" t="s">
        <v>272</v>
      </c>
      <c r="C67" s="157"/>
      <c r="D67" s="160" t="s">
        <v>295</v>
      </c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9">
        <v>3.839461944580088E-2</v>
      </c>
    </row>
    <row r="68" spans="1:23">
      <c r="B68" s="157" t="s">
        <v>274</v>
      </c>
      <c r="C68" s="157"/>
      <c r="D68" s="160" t="s">
        <v>295</v>
      </c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9">
        <v>6.01322733358442E-3</v>
      </c>
    </row>
    <row r="69" spans="1:23">
      <c r="B69" s="157" t="s">
        <v>271</v>
      </c>
      <c r="C69" s="157"/>
      <c r="D69" s="160" t="s">
        <v>295</v>
      </c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9">
        <v>7.5023915366810592E-2</v>
      </c>
    </row>
    <row r="70" spans="1:23">
      <c r="B70" s="157" t="s">
        <v>275</v>
      </c>
      <c r="C70" s="157"/>
      <c r="D70" s="160" t="s">
        <v>295</v>
      </c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9">
        <v>1.6356811172791978E-3</v>
      </c>
    </row>
    <row r="71" spans="1:23">
      <c r="B71" s="157" t="s">
        <v>276</v>
      </c>
      <c r="C71" s="157"/>
      <c r="D71" s="160" t="s">
        <v>295</v>
      </c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9">
        <v>4.1931293765954253E-3</v>
      </c>
    </row>
    <row r="72" spans="1:23">
      <c r="B72" s="157" t="s">
        <v>273</v>
      </c>
      <c r="C72" s="157"/>
      <c r="D72" s="160" t="s">
        <v>295</v>
      </c>
      <c r="E72" s="157"/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9">
        <v>3.0059827146962242E-2</v>
      </c>
    </row>
    <row r="73" spans="1:23">
      <c r="B73" s="157" t="s">
        <v>277</v>
      </c>
      <c r="C73" s="157"/>
      <c r="D73" s="160" t="s">
        <v>295</v>
      </c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9">
        <v>8.7481200145375655E-3</v>
      </c>
    </row>
    <row r="74" spans="1:23">
      <c r="B74" t="s">
        <v>284</v>
      </c>
      <c r="D74" s="153" t="s">
        <v>295</v>
      </c>
      <c r="W74" s="151">
        <v>0.95</v>
      </c>
    </row>
    <row r="75" spans="1:23">
      <c r="B75" t="s">
        <v>285</v>
      </c>
      <c r="D75" s="153" t="s">
        <v>295</v>
      </c>
      <c r="W75" s="151">
        <v>0.03</v>
      </c>
    </row>
    <row r="76" spans="1:23">
      <c r="B76" t="s">
        <v>286</v>
      </c>
      <c r="D76" s="153" t="s">
        <v>295</v>
      </c>
      <c r="W76" s="151">
        <v>0.02</v>
      </c>
    </row>
    <row r="77" spans="1:23">
      <c r="B77" s="157" t="s">
        <v>287</v>
      </c>
      <c r="C77" s="157"/>
      <c r="D77" s="160" t="s">
        <v>295</v>
      </c>
      <c r="E77" s="157"/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9">
        <v>0.68</v>
      </c>
    </row>
    <row r="78" spans="1:23">
      <c r="B78" s="157" t="s">
        <v>289</v>
      </c>
      <c r="C78" s="157"/>
      <c r="D78" s="160" t="s">
        <v>295</v>
      </c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9">
        <v>0.15</v>
      </c>
    </row>
    <row r="79" spans="1:23">
      <c r="B79" s="157" t="s">
        <v>290</v>
      </c>
      <c r="C79" s="157"/>
      <c r="D79" s="160" t="s">
        <v>295</v>
      </c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9">
        <v>0.15</v>
      </c>
    </row>
    <row r="80" spans="1:23">
      <c r="B80" s="157" t="s">
        <v>288</v>
      </c>
      <c r="C80" s="157"/>
      <c r="D80" s="160" t="s">
        <v>295</v>
      </c>
      <c r="E80" s="157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9">
        <v>0.02</v>
      </c>
    </row>
    <row r="81" spans="2:27">
      <c r="B81" t="s">
        <v>291</v>
      </c>
      <c r="D81" s="153" t="s">
        <v>295</v>
      </c>
      <c r="W81" s="151">
        <v>0.68</v>
      </c>
    </row>
    <row r="82" spans="2:27">
      <c r="B82" t="s">
        <v>292</v>
      </c>
      <c r="D82" s="153" t="s">
        <v>295</v>
      </c>
      <c r="W82" s="151">
        <v>0.15</v>
      </c>
    </row>
    <row r="83" spans="2:27">
      <c r="B83" t="s">
        <v>293</v>
      </c>
      <c r="D83" s="153" t="s">
        <v>295</v>
      </c>
      <c r="W83" s="151">
        <v>0.15</v>
      </c>
    </row>
    <row r="84" spans="2:27">
      <c r="B84" t="s">
        <v>294</v>
      </c>
      <c r="D84" s="153" t="s">
        <v>295</v>
      </c>
      <c r="W84" s="151">
        <v>0.02</v>
      </c>
    </row>
    <row r="95" spans="2:27">
      <c r="B95" s="1" t="s">
        <v>270</v>
      </c>
      <c r="C95" s="1"/>
      <c r="N95" s="1" t="s">
        <v>270</v>
      </c>
      <c r="T95" s="60"/>
      <c r="U95" s="60" t="s">
        <v>58</v>
      </c>
      <c r="V95" s="60"/>
      <c r="W95" s="60"/>
      <c r="X95" s="60"/>
      <c r="Y95" s="60"/>
      <c r="Z95" s="60"/>
      <c r="AA95" s="60"/>
    </row>
    <row r="96" spans="2:27" ht="15">
      <c r="B96" s="155" t="s">
        <v>121</v>
      </c>
      <c r="C96" s="155"/>
      <c r="D96" s="155" t="s">
        <v>58</v>
      </c>
      <c r="E96" s="155"/>
      <c r="F96" s="155"/>
      <c r="G96" s="155"/>
      <c r="H96" s="155"/>
      <c r="I96" s="155"/>
      <c r="J96" s="155"/>
      <c r="K96" s="152"/>
      <c r="T96" s="60"/>
      <c r="U96" s="60" t="s">
        <v>121</v>
      </c>
      <c r="V96" s="60"/>
      <c r="W96" s="60"/>
      <c r="X96" s="60"/>
      <c r="Y96" s="60"/>
      <c r="Z96" s="60"/>
      <c r="AA96" s="60"/>
    </row>
    <row r="97" spans="2:27" ht="45">
      <c r="B97" s="155" t="s">
        <v>59</v>
      </c>
      <c r="C97" s="155"/>
      <c r="D97" s="152" t="s">
        <v>41</v>
      </c>
      <c r="E97" s="152" t="s">
        <v>63</v>
      </c>
      <c r="F97" s="152" t="s">
        <v>64</v>
      </c>
      <c r="G97" s="152" t="s">
        <v>33</v>
      </c>
      <c r="H97" s="152" t="s">
        <v>65</v>
      </c>
      <c r="I97" s="152" t="s">
        <v>66</v>
      </c>
      <c r="J97" s="152" t="s">
        <v>9</v>
      </c>
      <c r="K97" s="86"/>
      <c r="N97" s="60" t="s">
        <v>160</v>
      </c>
      <c r="O97" s="60" t="s">
        <v>212</v>
      </c>
      <c r="P97" s="60" t="s">
        <v>56</v>
      </c>
      <c r="Q97" s="60" t="s">
        <v>207</v>
      </c>
      <c r="T97" s="60" t="s">
        <v>59</v>
      </c>
      <c r="U97" s="86" t="s">
        <v>41</v>
      </c>
      <c r="V97" s="86" t="s">
        <v>63</v>
      </c>
      <c r="W97" s="86" t="s">
        <v>64</v>
      </c>
      <c r="X97" s="86" t="s">
        <v>33</v>
      </c>
      <c r="Y97" s="86" t="s">
        <v>65</v>
      </c>
      <c r="Z97" s="86" t="s">
        <v>66</v>
      </c>
      <c r="AA97" s="86" t="s">
        <v>9</v>
      </c>
    </row>
    <row r="98" spans="2:27" ht="15">
      <c r="B98" s="154" t="s">
        <v>278</v>
      </c>
      <c r="C98" s="154"/>
      <c r="D98" s="156">
        <v>0.1089140850014586</v>
      </c>
      <c r="E98" s="156">
        <v>8.5592925162963854E-3</v>
      </c>
      <c r="F98" s="156">
        <v>1.7678660810233792E-2</v>
      </c>
      <c r="G98" s="156">
        <v>0.66834655159895417</v>
      </c>
      <c r="H98" s="156">
        <v>0.17790718167399883</v>
      </c>
      <c r="I98" s="156">
        <v>1.5246596487825137E-2</v>
      </c>
      <c r="J98" s="156">
        <v>3.3476319112331105E-3</v>
      </c>
      <c r="N98" t="s">
        <v>8</v>
      </c>
      <c r="O98" s="151">
        <v>0.16121646249693089</v>
      </c>
      <c r="P98">
        <v>796</v>
      </c>
      <c r="Q98">
        <v>2.0181831717537343E-2</v>
      </c>
      <c r="T98" t="s">
        <v>8</v>
      </c>
      <c r="U98" s="27">
        <v>5.3037436102564554E-2</v>
      </c>
      <c r="V98" s="27">
        <v>8.4074369491614377E-3</v>
      </c>
      <c r="W98" s="27">
        <v>3.7768033231273375E-2</v>
      </c>
      <c r="X98" s="27">
        <v>0.79354210391568925</v>
      </c>
      <c r="Y98" s="27">
        <v>8.2809652184077126E-2</v>
      </c>
      <c r="Z98" s="27">
        <v>2.0513663487473657E-2</v>
      </c>
      <c r="AA98" s="27">
        <v>3.9216741297606432E-3</v>
      </c>
    </row>
    <row r="99" spans="2:27" ht="15">
      <c r="B99" s="154" t="s">
        <v>279</v>
      </c>
      <c r="C99" s="154"/>
      <c r="D99" s="156">
        <v>4.9730410631408989E-3</v>
      </c>
      <c r="E99" s="156">
        <v>2.7030217493599134E-3</v>
      </c>
      <c r="F99" s="156">
        <v>7.3671183316807415E-2</v>
      </c>
      <c r="G99" s="156">
        <v>0.84564460120092622</v>
      </c>
      <c r="H99" s="156">
        <v>2.5818444206180634E-2</v>
      </c>
      <c r="I99" s="156">
        <v>4.559764971618771E-2</v>
      </c>
      <c r="J99" s="156">
        <v>1.5920587473971558E-3</v>
      </c>
      <c r="N99" t="s">
        <v>10</v>
      </c>
      <c r="O99" s="151">
        <v>0.15772286537406049</v>
      </c>
      <c r="P99">
        <v>102</v>
      </c>
      <c r="Q99">
        <v>5.3641846503626224E-2</v>
      </c>
      <c r="T99" t="s">
        <v>10</v>
      </c>
      <c r="U99" s="27">
        <v>6.2547021252822466E-2</v>
      </c>
      <c r="V99" s="27">
        <v>5.1902790124572305E-4</v>
      </c>
      <c r="W99" s="27">
        <v>7.2625874955335604E-4</v>
      </c>
      <c r="X99" s="27">
        <v>0.77023039780739733</v>
      </c>
      <c r="Y99" s="27">
        <v>0.15125098453579933</v>
      </c>
      <c r="Z99" s="27">
        <v>1.271125955623144E-2</v>
      </c>
      <c r="AA99" s="27">
        <v>2.0150501969504681E-3</v>
      </c>
    </row>
    <row r="100" spans="2:27" ht="15">
      <c r="B100" s="154" t="s">
        <v>9</v>
      </c>
      <c r="C100" s="154"/>
      <c r="D100" s="156">
        <v>1.9534988200141067E-3</v>
      </c>
      <c r="E100" s="156">
        <v>2.2555795148332187E-2</v>
      </c>
      <c r="F100" s="156">
        <v>8.7825934390667978E-2</v>
      </c>
      <c r="G100" s="156">
        <v>0.78807981385960235</v>
      </c>
      <c r="H100" s="156">
        <v>8.129970450698884E-2</v>
      </c>
      <c r="I100" s="156">
        <v>6.8645975030871675E-3</v>
      </c>
      <c r="J100" s="156">
        <v>1.1420655771307438E-2</v>
      </c>
      <c r="N100" t="s">
        <v>60</v>
      </c>
      <c r="O100" s="151">
        <v>0.43664170869555319</v>
      </c>
      <c r="P100">
        <v>43</v>
      </c>
      <c r="Q100">
        <v>0.20150230835461891</v>
      </c>
      <c r="T100" t="s">
        <v>60</v>
      </c>
      <c r="U100" s="27">
        <v>7.0640063063622471E-2</v>
      </c>
      <c r="V100" s="27">
        <v>4.9748407491122401E-2</v>
      </c>
      <c r="W100" s="27">
        <v>5.4484348111404471E-2</v>
      </c>
      <c r="X100" s="27">
        <v>0.56226646790425538</v>
      </c>
      <c r="Y100" s="27">
        <v>0.25377893571511911</v>
      </c>
      <c r="Z100" s="27">
        <v>9.0817777144761493E-3</v>
      </c>
      <c r="AA100" s="27">
        <v>0</v>
      </c>
    </row>
    <row r="101" spans="2:27" ht="15">
      <c r="B101" s="154" t="s">
        <v>280</v>
      </c>
      <c r="C101" s="154"/>
      <c r="D101" s="156">
        <v>3.582255939059858E-3</v>
      </c>
      <c r="E101" s="156">
        <v>2.7262114166606783E-3</v>
      </c>
      <c r="F101" s="156">
        <v>3.4035958944749367E-2</v>
      </c>
      <c r="G101" s="156">
        <v>0.91832914357292195</v>
      </c>
      <c r="H101" s="156">
        <v>1.8494862077173498E-2</v>
      </c>
      <c r="I101" s="156">
        <v>1.8804377524271384E-2</v>
      </c>
      <c r="J101" s="156">
        <v>4.0271905251631768E-3</v>
      </c>
      <c r="N101" t="s">
        <v>28</v>
      </c>
      <c r="O101" s="151">
        <v>0.26032202198271615</v>
      </c>
      <c r="P101">
        <v>74</v>
      </c>
      <c r="Q101">
        <v>0.11904090633134305</v>
      </c>
      <c r="T101" t="s">
        <v>28</v>
      </c>
      <c r="U101" s="27">
        <v>2.7991114297219195E-2</v>
      </c>
      <c r="V101" s="27">
        <v>6.6008185228435184E-2</v>
      </c>
      <c r="W101" s="27">
        <v>4.4737070325351673E-2</v>
      </c>
      <c r="X101" s="27">
        <v>0.74709526501563361</v>
      </c>
      <c r="Y101" s="27">
        <v>4.8602167990716753E-2</v>
      </c>
      <c r="Z101" s="27">
        <v>6.3533575113378732E-2</v>
      </c>
      <c r="AA101" s="27">
        <v>2.0326220292648609E-3</v>
      </c>
    </row>
    <row r="102" spans="2:27" ht="15">
      <c r="B102" s="154" t="s">
        <v>281</v>
      </c>
      <c r="C102" s="154"/>
      <c r="D102" s="156">
        <v>3.5648870350376102E-2</v>
      </c>
      <c r="E102" s="156">
        <v>5.3609017891016901E-2</v>
      </c>
      <c r="F102" s="156">
        <v>0.325468103184267</v>
      </c>
      <c r="G102" s="156">
        <v>0.44016519711820645</v>
      </c>
      <c r="H102" s="156">
        <v>0.10041442742330241</v>
      </c>
      <c r="I102" s="156">
        <v>3.8788810994273018E-2</v>
      </c>
      <c r="J102" s="156">
        <v>5.9055730385580447E-3</v>
      </c>
      <c r="N102" t="s">
        <v>13</v>
      </c>
      <c r="O102" s="151">
        <v>0.10259832460348207</v>
      </c>
      <c r="P102">
        <v>71</v>
      </c>
      <c r="Q102">
        <v>1.9361976277696355E-2</v>
      </c>
      <c r="T102" t="s">
        <v>13</v>
      </c>
      <c r="U102" s="27">
        <v>0.1166365993854387</v>
      </c>
      <c r="V102" s="27">
        <v>1.0059765988074971E-2</v>
      </c>
      <c r="W102" s="27">
        <v>8.9394703366540845E-3</v>
      </c>
      <c r="X102" s="27">
        <v>0.7410017724589677</v>
      </c>
      <c r="Y102" s="27">
        <v>0.1199457361866169</v>
      </c>
      <c r="Z102" s="27">
        <v>2.8661910179148689E-3</v>
      </c>
      <c r="AA102" s="27">
        <v>5.5046462633274421E-4</v>
      </c>
    </row>
    <row r="103" spans="2:27" ht="15">
      <c r="B103" s="154" t="s">
        <v>282</v>
      </c>
      <c r="C103" s="154"/>
      <c r="D103" s="156">
        <v>5.6271088739647404E-3</v>
      </c>
      <c r="E103" s="156">
        <v>0</v>
      </c>
      <c r="F103" s="156">
        <v>6.9985457914791959E-4</v>
      </c>
      <c r="G103" s="156">
        <v>0.80321411812166987</v>
      </c>
      <c r="H103" s="156">
        <v>0.19045891842521745</v>
      </c>
      <c r="I103" s="156">
        <v>0</v>
      </c>
      <c r="J103" s="156">
        <v>0</v>
      </c>
      <c r="N103" t="s">
        <v>31</v>
      </c>
      <c r="O103" s="151">
        <v>0.13694201484289967</v>
      </c>
      <c r="P103">
        <v>114</v>
      </c>
      <c r="Q103">
        <v>3.9621553031031376E-2</v>
      </c>
      <c r="T103" t="s">
        <v>31</v>
      </c>
      <c r="U103" s="27">
        <v>6.8515778730052407E-2</v>
      </c>
      <c r="V103" s="27">
        <v>0</v>
      </c>
      <c r="W103" s="27">
        <v>7.7263492076643176E-3</v>
      </c>
      <c r="X103" s="27">
        <v>0.83211401378239691</v>
      </c>
      <c r="Y103" s="27">
        <v>8.1562294896726145E-2</v>
      </c>
      <c r="Z103" s="27">
        <v>9.6251302927147751E-3</v>
      </c>
      <c r="AA103" s="27">
        <v>4.5643309044550998E-4</v>
      </c>
    </row>
    <row r="104" spans="2:27" ht="15">
      <c r="B104" s="154" t="s">
        <v>283</v>
      </c>
      <c r="C104" s="154"/>
      <c r="D104" s="156">
        <v>0.13771272830545253</v>
      </c>
      <c r="E104" s="156">
        <v>1.850540453165973E-2</v>
      </c>
      <c r="F104" s="156">
        <v>4.171031208813928E-2</v>
      </c>
      <c r="G104" s="156">
        <v>0.64532218485940596</v>
      </c>
      <c r="H104" s="156">
        <v>0.12021415135711919</v>
      </c>
      <c r="I104" s="156">
        <v>3.3245646911600125E-2</v>
      </c>
      <c r="J104" s="156">
        <v>3.2895719466231516E-3</v>
      </c>
      <c r="N104" t="s">
        <v>61</v>
      </c>
      <c r="O104" s="151">
        <v>7.0371990255371983E-2</v>
      </c>
      <c r="P104">
        <v>67</v>
      </c>
      <c r="Q104">
        <v>1.4524641761212502E-2</v>
      </c>
      <c r="T104" t="s">
        <v>9</v>
      </c>
      <c r="U104" s="27">
        <v>7.6730553507968632E-2</v>
      </c>
      <c r="V104" s="27">
        <v>1.7273973533904041E-4</v>
      </c>
      <c r="W104" s="27">
        <v>1.4959610455695618E-2</v>
      </c>
      <c r="X104" s="27">
        <v>0.74622527906407787</v>
      </c>
      <c r="Y104" s="27">
        <v>6.2171587244101198E-2</v>
      </c>
      <c r="Z104" s="27">
        <v>9.9740229992817647E-2</v>
      </c>
      <c r="AA104" s="27">
        <v>0</v>
      </c>
    </row>
    <row r="105" spans="2:27" ht="15">
      <c r="B105" s="154" t="s">
        <v>62</v>
      </c>
      <c r="C105" s="154"/>
      <c r="D105" s="156">
        <v>0.29841158835346687</v>
      </c>
      <c r="E105" s="156">
        <v>0.10865874325332579</v>
      </c>
      <c r="F105" s="156">
        <v>0.58109000731401272</v>
      </c>
      <c r="G105" s="156">
        <v>5.1091016103316873</v>
      </c>
      <c r="H105" s="156">
        <v>0.71460768966998078</v>
      </c>
      <c r="I105" s="156">
        <v>0.15854767913724452</v>
      </c>
      <c r="J105" s="156">
        <v>2.9582681940282081E-2</v>
      </c>
      <c r="N105" t="s">
        <v>30</v>
      </c>
      <c r="O105" s="151">
        <v>0.28431590929099099</v>
      </c>
      <c r="P105">
        <v>130</v>
      </c>
      <c r="Q105">
        <v>8.2287697444958355E-2</v>
      </c>
      <c r="T105" t="s">
        <v>61</v>
      </c>
      <c r="U105" s="27">
        <v>0.12010125974760372</v>
      </c>
      <c r="V105" s="27">
        <v>0</v>
      </c>
      <c r="W105" s="27">
        <v>1.2279610386050516E-2</v>
      </c>
      <c r="X105" s="27">
        <v>0.57198272152067897</v>
      </c>
      <c r="Y105" s="27">
        <v>0.26832137641468617</v>
      </c>
      <c r="Z105" s="27">
        <v>1.8619903808939501E-3</v>
      </c>
      <c r="AA105" s="27">
        <v>2.5453041550086639E-2</v>
      </c>
    </row>
    <row r="106" spans="2:27">
      <c r="N106" t="s">
        <v>29</v>
      </c>
      <c r="O106" s="151">
        <v>0.10641166515684555</v>
      </c>
      <c r="P106">
        <v>74</v>
      </c>
      <c r="Q106">
        <v>2.0666258072524368E-2</v>
      </c>
      <c r="T106" t="s">
        <v>30</v>
      </c>
      <c r="U106" s="27">
        <v>2.8870584428816626E-2</v>
      </c>
      <c r="V106" s="27">
        <v>7.8609697747620468E-3</v>
      </c>
      <c r="W106" s="27">
        <v>7.7580653565702873E-2</v>
      </c>
      <c r="X106" s="27">
        <v>0.83461613460039141</v>
      </c>
      <c r="Y106" s="27">
        <v>3.6941018913235112E-2</v>
      </c>
      <c r="Z106" s="27">
        <v>4.599949066946999E-3</v>
      </c>
      <c r="AA106" s="27">
        <v>9.5306896501449849E-3</v>
      </c>
    </row>
    <row r="107" spans="2:27">
      <c r="N107" t="s">
        <v>16</v>
      </c>
      <c r="O107" s="151">
        <v>8.3532634554250654E-2</v>
      </c>
      <c r="P107">
        <v>43</v>
      </c>
      <c r="Q107">
        <v>2.2922980433797369E-2</v>
      </c>
      <c r="T107" t="s">
        <v>29</v>
      </c>
      <c r="U107" s="27">
        <v>5.5055999898805642E-2</v>
      </c>
      <c r="V107" s="27">
        <v>6.0763462590469669E-3</v>
      </c>
      <c r="W107" s="27">
        <v>3.0156828843977627E-2</v>
      </c>
      <c r="X107" s="27">
        <v>0.80395924165029553</v>
      </c>
      <c r="Y107" s="27">
        <v>6.0656724500699657E-2</v>
      </c>
      <c r="Z107" s="27">
        <v>4.3695375399598245E-2</v>
      </c>
      <c r="AA107" s="27">
        <v>3.9948344757638861E-4</v>
      </c>
    </row>
    <row r="108" spans="2:27">
      <c r="N108" t="s">
        <v>9</v>
      </c>
      <c r="O108" s="151">
        <v>0.14552691811087146</v>
      </c>
      <c r="P108">
        <v>78</v>
      </c>
      <c r="Q108">
        <v>3.5074311983207408E-2</v>
      </c>
      <c r="T108" t="s">
        <v>16</v>
      </c>
      <c r="U108" s="27">
        <v>2.8953895134294538E-2</v>
      </c>
      <c r="V108" s="27">
        <v>0</v>
      </c>
      <c r="W108" s="27">
        <v>4.1426624794347902E-2</v>
      </c>
      <c r="X108" s="27">
        <v>0.8516084532655307</v>
      </c>
      <c r="Y108" s="27">
        <v>7.3834583918693811E-2</v>
      </c>
      <c r="Z108" s="27">
        <v>4.1764428871330752E-3</v>
      </c>
      <c r="AA108" s="27">
        <v>0</v>
      </c>
    </row>
    <row r="115" spans="2:28">
      <c r="D115" t="s">
        <v>183</v>
      </c>
      <c r="T115" t="s">
        <v>322</v>
      </c>
    </row>
    <row r="116" spans="2:28" ht="64.5">
      <c r="B116" s="86" t="s">
        <v>59</v>
      </c>
      <c r="C116" s="86"/>
      <c r="D116" s="86" t="s">
        <v>326</v>
      </c>
      <c r="E116" s="86" t="s">
        <v>192</v>
      </c>
      <c r="F116" s="86" t="s">
        <v>327</v>
      </c>
      <c r="G116" s="86" t="s">
        <v>328</v>
      </c>
      <c r="H116" s="86" t="s">
        <v>329</v>
      </c>
      <c r="J116" s="275" t="s">
        <v>160</v>
      </c>
      <c r="K116" s="275" t="s">
        <v>206</v>
      </c>
      <c r="L116" s="275" t="s">
        <v>56</v>
      </c>
      <c r="M116" s="275" t="s">
        <v>207</v>
      </c>
      <c r="T116" s="60" t="s">
        <v>59</v>
      </c>
      <c r="U116" s="86" t="s">
        <v>41</v>
      </c>
      <c r="V116" s="86" t="s">
        <v>63</v>
      </c>
      <c r="W116" s="86" t="s">
        <v>64</v>
      </c>
      <c r="X116" s="86" t="s">
        <v>33</v>
      </c>
      <c r="Y116" s="86" t="s">
        <v>65</v>
      </c>
      <c r="Z116" s="86" t="s">
        <v>66</v>
      </c>
      <c r="AA116" s="86" t="s">
        <v>9</v>
      </c>
      <c r="AB116" s="86" t="s">
        <v>321</v>
      </c>
    </row>
    <row r="117" spans="2:28" ht="15">
      <c r="B117" t="s">
        <v>10</v>
      </c>
      <c r="D117" s="56">
        <v>368872051.99999982</v>
      </c>
      <c r="E117" s="56">
        <v>4668687505.2413597</v>
      </c>
      <c r="F117" s="56">
        <v>138548253.47687015</v>
      </c>
      <c r="G117" s="84">
        <v>12.656658263829003</v>
      </c>
      <c r="H117" s="87">
        <v>0.37559975803444773</v>
      </c>
      <c r="J117" s="63" t="s">
        <v>8</v>
      </c>
      <c r="K117" s="277">
        <v>14.157051986345268</v>
      </c>
      <c r="L117" s="276">
        <v>812</v>
      </c>
      <c r="M117" s="276">
        <v>0.8151900707346188</v>
      </c>
      <c r="Q117" t="s">
        <v>62</v>
      </c>
      <c r="R117" s="85">
        <f t="shared" ref="R117:R127" si="33">VLOOKUP(Q117,$AB$7:$AD$20,3,FALSE)</f>
        <v>3349.27364795836</v>
      </c>
      <c r="T117" t="s">
        <v>8</v>
      </c>
      <c r="U117" s="182">
        <f t="shared" ref="U117:AA127" si="34">U98*$O98</f>
        <v>8.5505078283624678E-3</v>
      </c>
      <c r="V117" s="182">
        <f t="shared" si="34"/>
        <v>1.355417243609796E-3</v>
      </c>
      <c r="W117" s="182">
        <f t="shared" si="34"/>
        <v>6.0888287130124235E-3</v>
      </c>
      <c r="X117" s="182">
        <f t="shared" si="34"/>
        <v>0.12793205083565934</v>
      </c>
      <c r="Y117" s="182">
        <f t="shared" si="34"/>
        <v>1.3350279185718161E-2</v>
      </c>
      <c r="Z117" s="182">
        <f t="shared" si="34"/>
        <v>3.3071402603029572E-3</v>
      </c>
      <c r="AA117" s="182">
        <f t="shared" si="34"/>
        <v>6.3223843026574082E-4</v>
      </c>
      <c r="AB117" s="180">
        <f>SUM(U117:AA117)</f>
        <v>0.16121646249693089</v>
      </c>
    </row>
    <row r="118" spans="2:28" ht="15">
      <c r="B118" t="s">
        <v>28</v>
      </c>
      <c r="D118" s="56">
        <v>77120838</v>
      </c>
      <c r="E118" s="56">
        <v>4393713121.4449034</v>
      </c>
      <c r="F118" s="56">
        <v>41976355.438558526</v>
      </c>
      <c r="G118" s="84">
        <v>56.971802114558237</v>
      </c>
      <c r="H118" s="87">
        <v>0.5442933003212248</v>
      </c>
      <c r="J118" s="63" t="s">
        <v>10</v>
      </c>
      <c r="K118" s="277">
        <v>12.656658263829009</v>
      </c>
      <c r="L118" s="276">
        <v>105</v>
      </c>
      <c r="M118" s="276">
        <v>3.1686971475565597</v>
      </c>
      <c r="Q118" t="s">
        <v>10</v>
      </c>
      <c r="R118" s="85">
        <f t="shared" si="33"/>
        <v>368.87205145900009</v>
      </c>
      <c r="T118" t="s">
        <v>10</v>
      </c>
      <c r="U118" s="179">
        <f t="shared" si="34"/>
        <v>9.8650954126074178E-3</v>
      </c>
      <c r="V118" s="179">
        <f t="shared" si="34"/>
        <v>8.1862567793560348E-5</v>
      </c>
      <c r="W118" s="179">
        <f t="shared" si="34"/>
        <v>1.145476109825375E-4</v>
      </c>
      <c r="X118" s="179">
        <f t="shared" si="34"/>
        <v>0.12148294534038519</v>
      </c>
      <c r="Y118" s="179">
        <f t="shared" si="34"/>
        <v>2.3855738671633982E-2</v>
      </c>
      <c r="Z118" s="179">
        <f t="shared" si="34"/>
        <v>2.0048562797222312E-3</v>
      </c>
      <c r="AA118" s="179">
        <f t="shared" si="34"/>
        <v>3.1781949093559274E-4</v>
      </c>
      <c r="AB118" s="180">
        <f t="shared" ref="AB118:AB127" si="35">SUM(U118:AA118)</f>
        <v>0.15772286537406052</v>
      </c>
    </row>
    <row r="119" spans="2:28" ht="15">
      <c r="B119" t="s">
        <v>13</v>
      </c>
      <c r="D119" s="56">
        <v>171040928</v>
      </c>
      <c r="E119" s="56">
        <v>2444170253.7682405</v>
      </c>
      <c r="F119" s="56">
        <v>66886297.800273843</v>
      </c>
      <c r="G119" s="84">
        <v>14.289973062869727</v>
      </c>
      <c r="H119" s="87">
        <v>0.3910543434392138</v>
      </c>
      <c r="J119" s="63" t="s">
        <v>60</v>
      </c>
      <c r="K119" s="277">
        <v>45.794204797954812</v>
      </c>
      <c r="L119" s="276">
        <v>43</v>
      </c>
      <c r="M119" s="276">
        <v>6.1560723290902191</v>
      </c>
      <c r="Q119" t="s">
        <v>14</v>
      </c>
      <c r="R119" s="85">
        <f t="shared" si="33"/>
        <v>53.036739081999983</v>
      </c>
      <c r="T119" t="s">
        <v>60</v>
      </c>
      <c r="U119" s="179">
        <f t="shared" si="34"/>
        <v>3.0844397838461751E-2</v>
      </c>
      <c r="V119" s="179">
        <f t="shared" si="34"/>
        <v>2.1722229651806344E-2</v>
      </c>
      <c r="W119" s="179">
        <f t="shared" si="34"/>
        <v>2.3790138856526984E-2</v>
      </c>
      <c r="X119" s="179">
        <f t="shared" si="34"/>
        <v>0.2455089912879275</v>
      </c>
      <c r="Y119" s="179">
        <f t="shared" si="34"/>
        <v>0.11081046812158855</v>
      </c>
      <c r="Z119" s="179">
        <f t="shared" si="34"/>
        <v>3.9654829392420619E-3</v>
      </c>
      <c r="AA119" s="179">
        <f t="shared" si="34"/>
        <v>0</v>
      </c>
      <c r="AB119" s="180">
        <f t="shared" si="35"/>
        <v>0.43664170869555319</v>
      </c>
    </row>
    <row r="120" spans="2:28" ht="15">
      <c r="B120" t="s">
        <v>31</v>
      </c>
      <c r="D120" s="56">
        <v>734358126.00000012</v>
      </c>
      <c r="E120" s="56">
        <v>11737708048.588659</v>
      </c>
      <c r="F120" s="56">
        <v>146202183.96294099</v>
      </c>
      <c r="G120" s="84">
        <v>15.983629285241486</v>
      </c>
      <c r="H120" s="87">
        <v>0.19908839949697918</v>
      </c>
      <c r="J120" s="63" t="s">
        <v>28</v>
      </c>
      <c r="K120" s="277">
        <v>56.971802114558251</v>
      </c>
      <c r="L120" s="276">
        <v>74</v>
      </c>
      <c r="M120" s="276">
        <v>4.2319953343453198</v>
      </c>
      <c r="Q120" t="s">
        <v>28</v>
      </c>
      <c r="R120" s="85">
        <f t="shared" si="33"/>
        <v>77.120837687360037</v>
      </c>
      <c r="T120" t="s">
        <v>28</v>
      </c>
      <c r="U120" s="179">
        <f t="shared" si="34"/>
        <v>7.2867034714014156E-3</v>
      </c>
      <c r="V120" s="179">
        <f t="shared" si="34"/>
        <v>1.7183384246075902E-2</v>
      </c>
      <c r="W120" s="179">
        <f t="shared" si="34"/>
        <v>1.1646044604678517E-2</v>
      </c>
      <c r="X120" s="179">
        <f t="shared" si="34"/>
        <v>0.19448535000258291</v>
      </c>
      <c r="Y120" s="179">
        <f t="shared" si="34"/>
        <v>1.265221464408703E-2</v>
      </c>
      <c r="Z120" s="179">
        <f t="shared" si="34"/>
        <v>1.6539188737305525E-2</v>
      </c>
      <c r="AA120" s="179">
        <f t="shared" si="34"/>
        <v>5.2913627658484025E-4</v>
      </c>
      <c r="AB120" s="180">
        <f t="shared" si="35"/>
        <v>0.26032202198271615</v>
      </c>
    </row>
    <row r="121" spans="2:28" ht="15">
      <c r="B121" t="s">
        <v>9</v>
      </c>
      <c r="D121" s="56">
        <v>333434465.00000012</v>
      </c>
      <c r="E121" s="56">
        <v>4297150431.9264603</v>
      </c>
      <c r="F121" s="56">
        <v>95460630.621929631</v>
      </c>
      <c r="G121" s="84">
        <v>12.887541280192671</v>
      </c>
      <c r="H121" s="87">
        <v>0.28629503138474183</v>
      </c>
      <c r="J121" s="63" t="s">
        <v>13</v>
      </c>
      <c r="K121" s="277">
        <v>14.289973062869723</v>
      </c>
      <c r="L121" s="276">
        <v>72</v>
      </c>
      <c r="M121" s="276">
        <v>1.3982477471034773</v>
      </c>
      <c r="Q121" t="s">
        <v>13</v>
      </c>
      <c r="R121" s="85">
        <f t="shared" si="33"/>
        <v>171.0409288844001</v>
      </c>
      <c r="T121" t="s">
        <v>13</v>
      </c>
      <c r="U121" s="179">
        <f t="shared" si="34"/>
        <v>1.1966719684393537E-2</v>
      </c>
      <c r="V121" s="179">
        <f t="shared" si="34"/>
        <v>1.0321151362795845E-3</v>
      </c>
      <c r="W121" s="179">
        <f t="shared" si="34"/>
        <v>9.1717467938323498E-4</v>
      </c>
      <c r="X121" s="179">
        <f t="shared" si="34"/>
        <v>7.6025540382500728E-2</v>
      </c>
      <c r="Y121" s="179">
        <f t="shared" si="34"/>
        <v>1.2306231576078146E-2</v>
      </c>
      <c r="Z121" s="179">
        <f t="shared" si="34"/>
        <v>2.9406639643161442E-4</v>
      </c>
      <c r="AA121" s="179">
        <f t="shared" si="34"/>
        <v>5.6476748415221357E-5</v>
      </c>
      <c r="AB121" s="180">
        <f t="shared" si="35"/>
        <v>0.10259832460348207</v>
      </c>
    </row>
    <row r="122" spans="2:28" ht="15">
      <c r="B122" t="s">
        <v>158</v>
      </c>
      <c r="D122" s="56">
        <v>125160635.99999996</v>
      </c>
      <c r="E122" s="56">
        <v>1909006704.8089726</v>
      </c>
      <c r="F122" s="56">
        <v>53667797.984373733</v>
      </c>
      <c r="G122" s="84">
        <v>15.252452894286773</v>
      </c>
      <c r="H122" s="87">
        <v>0.42879134925755535</v>
      </c>
      <c r="J122" s="63" t="s">
        <v>31</v>
      </c>
      <c r="K122" s="277">
        <v>15.98362928524149</v>
      </c>
      <c r="L122" s="276">
        <v>117</v>
      </c>
      <c r="M122" s="276">
        <v>1.4895057538042131</v>
      </c>
      <c r="Q122" t="s">
        <v>31</v>
      </c>
      <c r="R122" s="85">
        <f t="shared" si="33"/>
        <v>734.35812613500002</v>
      </c>
      <c r="T122" t="s">
        <v>31</v>
      </c>
      <c r="U122" s="179">
        <f t="shared" si="34"/>
        <v>9.3826887878236658E-3</v>
      </c>
      <c r="V122" s="179">
        <f t="shared" si="34"/>
        <v>0</v>
      </c>
      <c r="W122" s="179">
        <f t="shared" si="34"/>
        <v>1.0580618278773931E-3</v>
      </c>
      <c r="X122" s="179">
        <f t="shared" si="34"/>
        <v>0.11395136962637381</v>
      </c>
      <c r="Y122" s="179">
        <f t="shared" si="34"/>
        <v>1.1169304998368431E-2</v>
      </c>
      <c r="Z122" s="179">
        <f t="shared" si="34"/>
        <v>1.3180847354097899E-3</v>
      </c>
      <c r="AA122" s="179">
        <f t="shared" si="34"/>
        <v>6.250486704657959E-5</v>
      </c>
      <c r="AB122" s="180">
        <f t="shared" si="35"/>
        <v>0.13694201484289967</v>
      </c>
    </row>
    <row r="123" spans="2:28" ht="15">
      <c r="B123" t="s">
        <v>14</v>
      </c>
      <c r="D123" s="56">
        <v>53036739.000000015</v>
      </c>
      <c r="E123" s="56">
        <v>2428775287.5816765</v>
      </c>
      <c r="F123" s="56">
        <v>110495990.56836928</v>
      </c>
      <c r="G123" s="84">
        <v>45.794204797954791</v>
      </c>
      <c r="H123" s="87">
        <v>2.083385831251225</v>
      </c>
      <c r="J123" s="63" t="s">
        <v>61</v>
      </c>
      <c r="K123" s="277">
        <v>15.252452894286778</v>
      </c>
      <c r="L123" s="276">
        <v>70</v>
      </c>
      <c r="M123" s="276">
        <v>1.685955313157196</v>
      </c>
      <c r="Q123" t="s">
        <v>9</v>
      </c>
      <c r="R123" s="85">
        <f t="shared" si="33"/>
        <v>333.43446410600012</v>
      </c>
      <c r="T123" t="s">
        <v>9</v>
      </c>
      <c r="U123" s="179">
        <f t="shared" si="34"/>
        <v>5.3996817637520667E-3</v>
      </c>
      <c r="V123" s="179">
        <f t="shared" si="34"/>
        <v>1.2156038971994487E-5</v>
      </c>
      <c r="W123" s="179">
        <f t="shared" si="34"/>
        <v>1.0527375612123728E-3</v>
      </c>
      <c r="X123" s="179">
        <f t="shared" si="34"/>
        <v>5.2513358066609526E-2</v>
      </c>
      <c r="Y123" s="179">
        <f t="shared" si="34"/>
        <v>4.3751383317028984E-3</v>
      </c>
      <c r="Z123" s="179">
        <f t="shared" si="34"/>
        <v>7.0189184931231238E-3</v>
      </c>
      <c r="AA123" s="179">
        <f t="shared" si="34"/>
        <v>0</v>
      </c>
      <c r="AB123" s="180">
        <f t="shared" si="35"/>
        <v>7.0371990255371983E-2</v>
      </c>
    </row>
    <row r="124" spans="2:28" ht="15">
      <c r="B124" t="s">
        <v>72</v>
      </c>
      <c r="D124" s="56">
        <v>570929487.99999964</v>
      </c>
      <c r="E124" s="56">
        <v>7286506717.5294113</v>
      </c>
      <c r="F124" s="56">
        <v>128809160.85268785</v>
      </c>
      <c r="G124" s="84">
        <v>12.762533501386455</v>
      </c>
      <c r="H124" s="87">
        <v>0.22561308105474476</v>
      </c>
      <c r="J124" s="63" t="s">
        <v>30</v>
      </c>
      <c r="K124" s="277">
        <v>12.76253350138645</v>
      </c>
      <c r="L124" s="276">
        <v>132</v>
      </c>
      <c r="M124" s="276">
        <v>1.0991599898264006</v>
      </c>
      <c r="Q124" t="s">
        <v>158</v>
      </c>
      <c r="R124" s="85">
        <f t="shared" si="33"/>
        <v>125.16063543360004</v>
      </c>
      <c r="T124" t="s">
        <v>61</v>
      </c>
      <c r="U124" s="179">
        <f t="shared" si="34"/>
        <v>3.4146698872133445E-2</v>
      </c>
      <c r="V124" s="179">
        <f t="shared" si="34"/>
        <v>0</v>
      </c>
      <c r="W124" s="179">
        <f t="shared" si="34"/>
        <v>3.4912885926490491E-3</v>
      </c>
      <c r="X124" s="179">
        <f t="shared" si="34"/>
        <v>0.16262378756788753</v>
      </c>
      <c r="Y124" s="179">
        <f t="shared" si="34"/>
        <v>7.6288036117551764E-2</v>
      </c>
      <c r="Z124" s="179">
        <f t="shared" si="34"/>
        <v>5.2939348823494202E-4</v>
      </c>
      <c r="AA124" s="179">
        <f t="shared" si="34"/>
        <v>7.2367046525342576E-3</v>
      </c>
      <c r="AB124" s="180">
        <f t="shared" si="35"/>
        <v>0.28431590929099099</v>
      </c>
    </row>
    <row r="125" spans="2:28" ht="15">
      <c r="B125" t="s">
        <v>73</v>
      </c>
      <c r="D125" s="56">
        <v>245353160.99999994</v>
      </c>
      <c r="E125" s="56">
        <v>2350708502.6034951</v>
      </c>
      <c r="F125" s="56">
        <v>80427804.184622139</v>
      </c>
      <c r="G125" s="84">
        <v>9.5809179430278295</v>
      </c>
      <c r="H125" s="87">
        <v>0.3278042306723008</v>
      </c>
      <c r="J125" s="63" t="s">
        <v>29</v>
      </c>
      <c r="K125" s="277">
        <v>9.5809179430278242</v>
      </c>
      <c r="L125" s="276">
        <v>75</v>
      </c>
      <c r="M125" s="276">
        <v>0.81002513493070427</v>
      </c>
      <c r="Q125" t="s">
        <v>72</v>
      </c>
      <c r="R125" s="85">
        <f t="shared" si="33"/>
        <v>570.92948782300016</v>
      </c>
      <c r="T125" t="s">
        <v>30</v>
      </c>
      <c r="U125" s="179">
        <f t="shared" si="34"/>
        <v>3.0721669631216739E-3</v>
      </c>
      <c r="V125" s="179">
        <f t="shared" si="34"/>
        <v>8.3649888348006252E-4</v>
      </c>
      <c r="W125" s="179">
        <f t="shared" si="34"/>
        <v>8.2554865298828106E-3</v>
      </c>
      <c r="X125" s="179">
        <f t="shared" si="34"/>
        <v>8.8812892649597588E-2</v>
      </c>
      <c r="Y125" s="179">
        <f t="shared" si="34"/>
        <v>3.9309553351478737E-3</v>
      </c>
      <c r="Z125" s="179">
        <f t="shared" si="34"/>
        <v>4.8948823985050822E-4</v>
      </c>
      <c r="AA125" s="179">
        <f t="shared" si="34"/>
        <v>1.0141765557650417E-3</v>
      </c>
      <c r="AB125" s="180">
        <f t="shared" si="35"/>
        <v>0.10641166515684555</v>
      </c>
    </row>
    <row r="126" spans="2:28" ht="15">
      <c r="B126" t="s">
        <v>16</v>
      </c>
      <c r="D126" s="56">
        <v>442224054.00000012</v>
      </c>
      <c r="E126" s="56">
        <v>2675242807.9274745</v>
      </c>
      <c r="F126" s="56">
        <v>49040454.39282275</v>
      </c>
      <c r="G126" s="84">
        <v>6.0495189796425546</v>
      </c>
      <c r="H126" s="87">
        <v>0.11089504053260463</v>
      </c>
      <c r="J126" s="63" t="s">
        <v>16</v>
      </c>
      <c r="K126" s="277">
        <v>6.0495189796425537</v>
      </c>
      <c r="L126" s="276">
        <v>43</v>
      </c>
      <c r="M126" s="276">
        <v>2.2843814625599155</v>
      </c>
      <c r="Q126" t="s">
        <v>73</v>
      </c>
      <c r="R126" s="85">
        <f t="shared" si="33"/>
        <v>245.35316173799995</v>
      </c>
      <c r="T126" t="s">
        <v>29</v>
      </c>
      <c r="U126" s="179">
        <f t="shared" si="34"/>
        <v>4.598972719565793E-3</v>
      </c>
      <c r="V126" s="179">
        <f t="shared" si="34"/>
        <v>5.0757321148205831E-4</v>
      </c>
      <c r="W126" s="179">
        <f t="shared" si="34"/>
        <v>2.5190793631390683E-3</v>
      </c>
      <c r="X126" s="179">
        <f t="shared" si="34"/>
        <v>6.7156833529286628E-2</v>
      </c>
      <c r="Y126" s="179">
        <f t="shared" si="34"/>
        <v>5.0668160009748062E-3</v>
      </c>
      <c r="Z126" s="179">
        <f t="shared" si="34"/>
        <v>3.6499898249654343E-3</v>
      </c>
      <c r="AA126" s="179">
        <f t="shared" si="34"/>
        <v>3.3369904836870617E-5</v>
      </c>
      <c r="AB126" s="180">
        <f t="shared" si="35"/>
        <v>8.3532634554250668E-2</v>
      </c>
    </row>
    <row r="127" spans="2:28" ht="15">
      <c r="B127" t="s">
        <v>62</v>
      </c>
      <c r="D127" s="56">
        <v>3121530486.9999995</v>
      </c>
      <c r="E127" s="56">
        <v>44191669381.420647</v>
      </c>
      <c r="F127" s="56">
        <v>911514929.28344882</v>
      </c>
      <c r="G127" s="84">
        <v>14.157051986345266</v>
      </c>
      <c r="H127" s="87">
        <v>0.29200897863389952</v>
      </c>
      <c r="J127" s="63" t="s">
        <v>9</v>
      </c>
      <c r="K127" s="277">
        <v>12.887541280192677</v>
      </c>
      <c r="L127" s="276">
        <v>81</v>
      </c>
      <c r="M127" s="276">
        <v>1.4055804963225296</v>
      </c>
      <c r="Q127" t="s">
        <v>16</v>
      </c>
      <c r="R127" s="85">
        <f t="shared" si="33"/>
        <v>442.22405461000005</v>
      </c>
      <c r="T127" t="s">
        <v>16</v>
      </c>
      <c r="U127" s="179">
        <f t="shared" si="34"/>
        <v>4.2135711261992405E-3</v>
      </c>
      <c r="V127" s="179">
        <f t="shared" si="34"/>
        <v>0</v>
      </c>
      <c r="W127" s="179">
        <f t="shared" si="34"/>
        <v>6.0286890340568644E-3</v>
      </c>
      <c r="X127" s="179">
        <f t="shared" si="34"/>
        <v>0.12393195364089879</v>
      </c>
      <c r="Y127" s="179">
        <f t="shared" si="34"/>
        <v>1.0744919447686021E-2</v>
      </c>
      <c r="Z127" s="179">
        <f t="shared" si="34"/>
        <v>6.0778486203054655E-4</v>
      </c>
      <c r="AA127" s="179">
        <f t="shared" si="34"/>
        <v>0</v>
      </c>
      <c r="AB127" s="180">
        <f t="shared" si="35"/>
        <v>0.14552691811087148</v>
      </c>
    </row>
    <row r="128" spans="2:28">
      <c r="D128" s="56"/>
      <c r="E128" s="56"/>
      <c r="F128" s="56"/>
      <c r="G128" s="84"/>
      <c r="H128" s="87"/>
    </row>
    <row r="129" spans="2:28">
      <c r="B129" t="s">
        <v>323</v>
      </c>
      <c r="E129" s="56" t="s">
        <v>330</v>
      </c>
      <c r="F129" s="56"/>
      <c r="G129" s="84">
        <v>17.2</v>
      </c>
      <c r="H129" s="87"/>
      <c r="U129" s="181">
        <f>SUMPRODUCT(U118:U127,$R$118:$R$127)/SUM($R$118:$R$127)</f>
        <v>8.1991260032757037E-3</v>
      </c>
      <c r="V129" s="181">
        <f t="shared" ref="V129:AA129" si="36">SUMPRODUCT(V118:V127,$R$118:$R$127)/SUM($R$118:$R$127)</f>
        <v>1.0540258331849831E-3</v>
      </c>
      <c r="W129" s="181">
        <f t="shared" si="36"/>
        <v>3.8190929897756248E-3</v>
      </c>
      <c r="X129" s="181">
        <f t="shared" si="36"/>
        <v>0.1055151372571048</v>
      </c>
      <c r="Y129" s="181">
        <f t="shared" si="36"/>
        <v>1.4481944150700978E-2</v>
      </c>
      <c r="Z129" s="181">
        <f t="shared" si="36"/>
        <v>2.2726021514680064E-3</v>
      </c>
      <c r="AA129" s="181">
        <f t="shared" si="36"/>
        <v>5.4670752893624009E-4</v>
      </c>
      <c r="AB129" s="180">
        <f t="shared" ref="AB129" si="37">SUM(AB117:AB128)</f>
        <v>1.9456025153639733</v>
      </c>
    </row>
    <row r="130" spans="2:28">
      <c r="B130" t="s">
        <v>12</v>
      </c>
      <c r="E130" s="56" t="s">
        <v>330</v>
      </c>
      <c r="F130" s="56"/>
      <c r="G130" s="84">
        <v>26.4</v>
      </c>
      <c r="H130" s="87"/>
    </row>
    <row r="131" spans="2:28">
      <c r="B131" t="s">
        <v>331</v>
      </c>
      <c r="D131" s="56"/>
      <c r="E131" s="56" t="s">
        <v>330</v>
      </c>
      <c r="F131" s="56"/>
      <c r="G131" s="84">
        <v>14.6</v>
      </c>
      <c r="H131" s="87"/>
    </row>
    <row r="136" spans="2:28">
      <c r="B136" s="88"/>
      <c r="C136" s="88"/>
      <c r="D136" s="88" t="s">
        <v>183</v>
      </c>
      <c r="E136" s="88"/>
      <c r="F136" s="88"/>
      <c r="G136" s="88"/>
      <c r="H136" s="88"/>
    </row>
    <row r="137" spans="2:28" ht="63.75">
      <c r="B137" s="184" t="s">
        <v>59</v>
      </c>
      <c r="C137" s="489"/>
      <c r="D137" s="184" t="s">
        <v>326</v>
      </c>
      <c r="E137" s="184" t="s">
        <v>192</v>
      </c>
      <c r="F137" s="184" t="s">
        <v>327</v>
      </c>
      <c r="G137" s="91" t="s">
        <v>328</v>
      </c>
      <c r="H137" s="91" t="s">
        <v>329</v>
      </c>
    </row>
    <row r="138" spans="2:28">
      <c r="B138" s="185" t="s">
        <v>31</v>
      </c>
      <c r="C138" s="490"/>
      <c r="D138" s="186">
        <v>734358126.00000012</v>
      </c>
      <c r="E138" s="186">
        <v>11737708048.588661</v>
      </c>
      <c r="F138" s="186">
        <v>146202183.96294093</v>
      </c>
      <c r="G138" s="187">
        <f>E138/D138</f>
        <v>15.98362928524149</v>
      </c>
      <c r="H138" s="188">
        <f>F138/D138</f>
        <v>0.1990883994969791</v>
      </c>
    </row>
    <row r="139" spans="2:28">
      <c r="B139" s="189" t="s">
        <v>110</v>
      </c>
      <c r="C139" s="50"/>
      <c r="D139" s="190">
        <v>95458311.526895165</v>
      </c>
      <c r="E139" s="190">
        <v>1471405165.510875</v>
      </c>
      <c r="F139" s="190">
        <v>24934309.224895746</v>
      </c>
      <c r="G139" s="191">
        <f t="shared" ref="G139:G149" si="38">E139/D139</f>
        <v>15.414112631735685</v>
      </c>
      <c r="H139" s="192">
        <f t="shared" ref="H139:H149" si="39">F139/D139</f>
        <v>0.26120626717633239</v>
      </c>
    </row>
    <row r="140" spans="2:28">
      <c r="B140" s="189" t="s">
        <v>114</v>
      </c>
      <c r="C140" s="50"/>
      <c r="D140" s="190">
        <v>179770297.47310492</v>
      </c>
      <c r="E140" s="190">
        <v>2257194501.9065838</v>
      </c>
      <c r="F140" s="190">
        <v>23555227.427432813</v>
      </c>
      <c r="G140" s="191">
        <f t="shared" si="38"/>
        <v>12.555992472807016</v>
      </c>
      <c r="H140" s="192">
        <f t="shared" si="39"/>
        <v>0.13102958474526005</v>
      </c>
      <c r="K140" s="75">
        <f>SUMPRODUCT(G142:G143,E142:E143)/SUM(E142:E143)</f>
        <v>18.668361478934514</v>
      </c>
    </row>
    <row r="141" spans="2:28">
      <c r="B141" s="189" t="s">
        <v>111</v>
      </c>
      <c r="C141" s="50"/>
      <c r="D141" s="190">
        <v>136471707.75979477</v>
      </c>
      <c r="E141" s="190">
        <v>2287802910.7334971</v>
      </c>
      <c r="F141" s="190">
        <v>38104349.180304572</v>
      </c>
      <c r="G141" s="191">
        <f t="shared" si="38"/>
        <v>16.763935531313802</v>
      </c>
      <c r="H141" s="192">
        <f t="shared" si="39"/>
        <v>0.27921061299659578</v>
      </c>
    </row>
    <row r="142" spans="2:28">
      <c r="B142" s="189" t="s">
        <v>112</v>
      </c>
      <c r="C142" s="50"/>
      <c r="D142" s="190">
        <v>121007363.24020527</v>
      </c>
      <c r="E142" s="190">
        <v>2782252978.0410037</v>
      </c>
      <c r="F142" s="190">
        <v>30335759.946451798</v>
      </c>
      <c r="G142" s="191">
        <f t="shared" si="38"/>
        <v>22.992427101465729</v>
      </c>
      <c r="H142" s="192">
        <f t="shared" si="39"/>
        <v>0.25069350437984417</v>
      </c>
    </row>
    <row r="143" spans="2:28">
      <c r="B143" s="193" t="s">
        <v>113</v>
      </c>
      <c r="C143" s="385"/>
      <c r="D143" s="194">
        <v>201650445.99999997</v>
      </c>
      <c r="E143" s="194">
        <v>2939052492.3967028</v>
      </c>
      <c r="F143" s="194">
        <v>29272538.183856003</v>
      </c>
      <c r="G143" s="195">
        <f t="shared" si="38"/>
        <v>14.574986322602546</v>
      </c>
      <c r="H143" s="196">
        <f t="shared" si="39"/>
        <v>0.14516475794879227</v>
      </c>
    </row>
    <row r="144" spans="2:28">
      <c r="B144" s="185" t="s">
        <v>72</v>
      </c>
      <c r="C144" s="490"/>
      <c r="D144" s="186">
        <v>570929487.99999988</v>
      </c>
      <c r="E144" s="186">
        <v>7286506717.5294094</v>
      </c>
      <c r="F144" s="186">
        <v>128809160.8526879</v>
      </c>
      <c r="G144" s="187">
        <f t="shared" si="38"/>
        <v>12.762533501386446</v>
      </c>
      <c r="H144" s="188">
        <f t="shared" si="39"/>
        <v>0.22561308105474476</v>
      </c>
    </row>
    <row r="145" spans="2:8">
      <c r="B145" s="189" t="s">
        <v>110</v>
      </c>
      <c r="C145" s="50"/>
      <c r="D145" s="190">
        <v>59224380.554442525</v>
      </c>
      <c r="E145" s="190">
        <v>762539769.5624876</v>
      </c>
      <c r="F145" s="190">
        <v>18631593.151427239</v>
      </c>
      <c r="G145" s="191">
        <f t="shared" si="38"/>
        <v>12.875436812066212</v>
      </c>
      <c r="H145" s="192">
        <f t="shared" si="39"/>
        <v>0.3145932971692289</v>
      </c>
    </row>
    <row r="146" spans="2:8">
      <c r="B146" s="189" t="s">
        <v>114</v>
      </c>
      <c r="C146" s="50"/>
      <c r="D146" s="190">
        <v>186496889.44555736</v>
      </c>
      <c r="E146" s="190">
        <v>2300078045.3889709</v>
      </c>
      <c r="F146" s="190">
        <v>31684681.462723561</v>
      </c>
      <c r="G146" s="191">
        <f t="shared" si="38"/>
        <v>12.333063850163654</v>
      </c>
      <c r="H146" s="192">
        <f t="shared" si="39"/>
        <v>0.16989388700755265</v>
      </c>
    </row>
    <row r="147" spans="2:8">
      <c r="B147" s="189" t="s">
        <v>111</v>
      </c>
      <c r="C147" s="50"/>
      <c r="D147" s="190">
        <v>159704133.08919236</v>
      </c>
      <c r="E147" s="190">
        <v>1625090281.1278839</v>
      </c>
      <c r="F147" s="190">
        <v>44256885.118609004</v>
      </c>
      <c r="G147" s="191">
        <f t="shared" si="38"/>
        <v>10.175630709696758</v>
      </c>
      <c r="H147" s="192">
        <f t="shared" si="39"/>
        <v>0.27711796972650793</v>
      </c>
    </row>
    <row r="148" spans="2:8">
      <c r="B148" s="189" t="s">
        <v>112</v>
      </c>
      <c r="C148" s="50"/>
      <c r="D148" s="190">
        <v>31550759.910807587</v>
      </c>
      <c r="E148" s="190">
        <v>320274812.83238244</v>
      </c>
      <c r="F148" s="190">
        <v>7346901.8182094637</v>
      </c>
      <c r="G148" s="191">
        <f t="shared" si="38"/>
        <v>10.151096637221521</v>
      </c>
      <c r="H148" s="192">
        <f t="shared" si="39"/>
        <v>0.23285974217352565</v>
      </c>
    </row>
    <row r="149" spans="2:8">
      <c r="B149" s="193" t="s">
        <v>113</v>
      </c>
      <c r="C149" s="385"/>
      <c r="D149" s="194">
        <v>133953325.00000003</v>
      </c>
      <c r="E149" s="194">
        <v>2278523808.6176858</v>
      </c>
      <c r="F149" s="194">
        <v>26889099.301718619</v>
      </c>
      <c r="G149" s="195">
        <f t="shared" si="38"/>
        <v>17.00983390011174</v>
      </c>
      <c r="H149" s="196">
        <f t="shared" si="39"/>
        <v>0.20073484030141553</v>
      </c>
    </row>
    <row r="153" spans="2:8">
      <c r="B153" s="88"/>
      <c r="C153" s="88"/>
      <c r="D153" s="88" t="s">
        <v>183</v>
      </c>
      <c r="E153" s="88"/>
      <c r="F153" s="88"/>
      <c r="G153" s="88"/>
      <c r="H153" s="88"/>
    </row>
    <row r="154" spans="2:8" ht="63.75">
      <c r="B154" s="197" t="s">
        <v>59</v>
      </c>
      <c r="C154" s="491"/>
      <c r="D154" s="198" t="s">
        <v>326</v>
      </c>
      <c r="E154" s="198" t="s">
        <v>192</v>
      </c>
      <c r="F154" s="199" t="s">
        <v>327</v>
      </c>
      <c r="G154" s="200" t="s">
        <v>328</v>
      </c>
      <c r="H154" s="201" t="s">
        <v>329</v>
      </c>
    </row>
    <row r="155" spans="2:8">
      <c r="B155" s="202" t="s">
        <v>10</v>
      </c>
      <c r="C155" s="335"/>
      <c r="D155" s="203">
        <v>368872051.99999994</v>
      </c>
      <c r="E155" s="203">
        <v>4668687505.2413626</v>
      </c>
      <c r="F155" s="204">
        <v>138548253.47687009</v>
      </c>
      <c r="G155" s="205">
        <f>E155/D155</f>
        <v>12.656658263829007</v>
      </c>
      <c r="H155" s="206">
        <f>F155/D155</f>
        <v>0.37559975803444745</v>
      </c>
    </row>
    <row r="156" spans="2:8">
      <c r="B156" s="189" t="s">
        <v>110</v>
      </c>
      <c r="C156" s="50"/>
      <c r="D156" s="190">
        <v>14436299.785106782</v>
      </c>
      <c r="E156" s="190">
        <v>79357411.788616613</v>
      </c>
      <c r="F156" s="207">
        <v>3196290.3434114698</v>
      </c>
      <c r="G156" s="208">
        <f t="shared" ref="G156:G165" si="40">E156/D156</f>
        <v>5.4970742482423187</v>
      </c>
      <c r="H156" s="192">
        <f t="shared" ref="H156:H165" si="41">F156/D156</f>
        <v>0.22140648164628202</v>
      </c>
    </row>
    <row r="157" spans="2:8">
      <c r="B157" s="189" t="s">
        <v>114</v>
      </c>
      <c r="C157" s="50"/>
      <c r="D157" s="190">
        <v>147586110.21489322</v>
      </c>
      <c r="E157" s="190">
        <v>1285177138.1520305</v>
      </c>
      <c r="F157" s="207">
        <v>51376441.213622391</v>
      </c>
      <c r="G157" s="208">
        <f t="shared" si="40"/>
        <v>8.7079816405537365</v>
      </c>
      <c r="H157" s="192">
        <f t="shared" si="41"/>
        <v>0.34811162878956264</v>
      </c>
    </row>
    <row r="158" spans="2:8" ht="14.25">
      <c r="B158" s="209" t="s">
        <v>111</v>
      </c>
      <c r="C158" s="492"/>
      <c r="D158" s="210">
        <v>80094222.749650493</v>
      </c>
      <c r="E158" s="210">
        <v>614746584.83189058</v>
      </c>
      <c r="F158" s="211">
        <v>28084793.206642307</v>
      </c>
      <c r="G158" s="212">
        <f t="shared" si="40"/>
        <v>7.675292470886399</v>
      </c>
      <c r="H158" s="213">
        <f t="shared" si="41"/>
        <v>0.35064692861090108</v>
      </c>
    </row>
    <row r="159" spans="2:8">
      <c r="B159" s="189" t="s">
        <v>112</v>
      </c>
      <c r="C159" s="50"/>
      <c r="D159" s="190">
        <v>60145976.250349477</v>
      </c>
      <c r="E159" s="190">
        <v>910321533.77140367</v>
      </c>
      <c r="F159" s="207">
        <v>30101403.700842474</v>
      </c>
      <c r="G159" s="208">
        <f t="shared" si="40"/>
        <v>15.135202560888091</v>
      </c>
      <c r="H159" s="192">
        <f t="shared" si="41"/>
        <v>0.50047244350227948</v>
      </c>
    </row>
    <row r="160" spans="2:8">
      <c r="B160" s="193" t="s">
        <v>113</v>
      </c>
      <c r="C160" s="385"/>
      <c r="D160" s="194">
        <v>66609442.999999985</v>
      </c>
      <c r="E160" s="194">
        <v>1779084836.6974213</v>
      </c>
      <c r="F160" s="214">
        <v>25789325.012351461</v>
      </c>
      <c r="G160" s="215">
        <f t="shared" si="40"/>
        <v>26.709198524560875</v>
      </c>
      <c r="H160" s="196">
        <f t="shared" si="41"/>
        <v>0.38717220638448313</v>
      </c>
    </row>
    <row r="161" spans="2:19">
      <c r="B161" s="202" t="s">
        <v>28</v>
      </c>
      <c r="C161" s="335"/>
      <c r="D161" s="203">
        <v>77120838</v>
      </c>
      <c r="E161" s="203">
        <v>4393713121.4449043</v>
      </c>
      <c r="F161" s="204">
        <v>41976355.438558534</v>
      </c>
      <c r="G161" s="205">
        <f t="shared" si="40"/>
        <v>56.971802114558251</v>
      </c>
      <c r="H161" s="206">
        <f t="shared" si="41"/>
        <v>0.54429330032122492</v>
      </c>
    </row>
    <row r="162" spans="2:19">
      <c r="B162" s="189" t="s">
        <v>110</v>
      </c>
      <c r="C162" s="50"/>
      <c r="D162" s="190">
        <v>11691087.999999998</v>
      </c>
      <c r="E162" s="190">
        <v>922451916.96582317</v>
      </c>
      <c r="F162" s="207">
        <v>5813240.417152917</v>
      </c>
      <c r="G162" s="216">
        <f t="shared" si="40"/>
        <v>78.902144690538918</v>
      </c>
      <c r="H162" s="192">
        <f t="shared" si="41"/>
        <v>0.49723690533788795</v>
      </c>
      <c r="K162" s="85">
        <f>G162</f>
        <v>78.902144690538918</v>
      </c>
    </row>
    <row r="163" spans="2:19">
      <c r="B163" s="189" t="s">
        <v>114</v>
      </c>
      <c r="C163" s="50"/>
      <c r="D163" s="190">
        <v>20538489.216240078</v>
      </c>
      <c r="E163" s="190">
        <v>1059031438.9080244</v>
      </c>
      <c r="F163" s="207">
        <v>9333977.3771345224</v>
      </c>
      <c r="G163" s="217">
        <f t="shared" si="40"/>
        <v>51.563258999139677</v>
      </c>
      <c r="H163" s="192">
        <f t="shared" si="41"/>
        <v>0.45446270555061141</v>
      </c>
      <c r="K163" s="56">
        <f>SUMPRODUCT(G163:G165,E163:E165)/SUM(E163:E165)</f>
        <v>53.093603715590476</v>
      </c>
    </row>
    <row r="164" spans="2:19">
      <c r="B164" s="189" t="s">
        <v>111</v>
      </c>
      <c r="C164" s="50"/>
      <c r="D164" s="190">
        <v>26316120.668866523</v>
      </c>
      <c r="E164" s="190">
        <v>1385785320.5030253</v>
      </c>
      <c r="F164" s="207">
        <v>16224433.419807419</v>
      </c>
      <c r="G164" s="218">
        <f t="shared" si="40"/>
        <v>52.659179441386613</v>
      </c>
      <c r="H164" s="192">
        <f t="shared" si="41"/>
        <v>0.61652071078249204</v>
      </c>
    </row>
    <row r="165" spans="2:19">
      <c r="B165" s="193" t="s">
        <v>112</v>
      </c>
      <c r="C165" s="385"/>
      <c r="D165" s="194">
        <v>18575140.114893399</v>
      </c>
      <c r="E165" s="194">
        <v>1026444445.0680311</v>
      </c>
      <c r="F165" s="214">
        <v>10604704.224463675</v>
      </c>
      <c r="G165" s="219">
        <f t="shared" si="40"/>
        <v>55.2590418548195</v>
      </c>
      <c r="H165" s="196">
        <f t="shared" si="41"/>
        <v>0.57090843777597711</v>
      </c>
    </row>
    <row r="169" spans="2:19">
      <c r="B169" s="95" t="s">
        <v>70</v>
      </c>
      <c r="C169" s="493"/>
      <c r="D169" s="220" t="s">
        <v>31</v>
      </c>
      <c r="E169" s="50"/>
      <c r="F169" s="50"/>
      <c r="G169" s="50"/>
      <c r="H169" s="50"/>
      <c r="I169" s="50"/>
      <c r="J169" s="50"/>
      <c r="K169" s="50"/>
      <c r="L169" s="50"/>
      <c r="M169" s="50"/>
      <c r="N169" s="50"/>
    </row>
    <row r="170" spans="2:19">
      <c r="B170" s="95" t="s">
        <v>334</v>
      </c>
      <c r="C170" s="493"/>
      <c r="D170" s="221" t="s">
        <v>146</v>
      </c>
      <c r="E170" s="50"/>
      <c r="F170" s="50"/>
      <c r="G170" s="50"/>
      <c r="H170" s="50"/>
      <c r="I170" s="50"/>
      <c r="J170" s="50"/>
      <c r="K170" s="50"/>
      <c r="L170" s="50"/>
      <c r="M170" s="50"/>
      <c r="N170" s="50"/>
    </row>
    <row r="171" spans="2:19">
      <c r="B171" s="95"/>
      <c r="C171" s="493"/>
      <c r="D171" s="221"/>
      <c r="E171" s="50"/>
      <c r="F171" s="50"/>
      <c r="G171" s="50"/>
      <c r="H171" s="50"/>
      <c r="I171" s="50"/>
      <c r="J171" s="50"/>
      <c r="K171" s="50"/>
      <c r="L171" s="50"/>
      <c r="M171" s="50"/>
      <c r="N171" s="50"/>
    </row>
    <row r="172" spans="2:19">
      <c r="B172" s="95"/>
      <c r="C172" s="493"/>
      <c r="D172" s="221" t="s">
        <v>183</v>
      </c>
      <c r="E172" s="50"/>
      <c r="F172" s="50"/>
      <c r="G172" s="50"/>
      <c r="H172" s="50"/>
      <c r="I172" s="50"/>
      <c r="J172" s="50"/>
      <c r="K172" s="50"/>
      <c r="L172" s="50"/>
      <c r="M172" s="50"/>
      <c r="N172" s="50"/>
    </row>
    <row r="173" spans="2:19" ht="76.5">
      <c r="B173" s="96" t="s">
        <v>59</v>
      </c>
      <c r="C173" s="494"/>
      <c r="D173" s="96" t="s">
        <v>335</v>
      </c>
      <c r="E173" s="222" t="s">
        <v>336</v>
      </c>
      <c r="F173" s="96" t="s">
        <v>337</v>
      </c>
      <c r="G173" s="96" t="s">
        <v>338</v>
      </c>
      <c r="H173" s="222" t="s">
        <v>339</v>
      </c>
      <c r="I173" s="222"/>
      <c r="J173" s="222" t="s">
        <v>340</v>
      </c>
      <c r="K173" s="222"/>
      <c r="L173" s="96" t="s">
        <v>341</v>
      </c>
      <c r="M173" s="222" t="s">
        <v>342</v>
      </c>
      <c r="N173" s="96" t="s">
        <v>343</v>
      </c>
      <c r="O173" s="223" t="s">
        <v>344</v>
      </c>
    </row>
    <row r="174" spans="2:19">
      <c r="B174" s="224" t="s">
        <v>110</v>
      </c>
      <c r="C174" s="495"/>
      <c r="D174" s="225">
        <v>32</v>
      </c>
      <c r="E174" s="226">
        <v>95458311.526895136</v>
      </c>
      <c r="F174" s="225">
        <v>0</v>
      </c>
      <c r="G174" s="227">
        <v>1.44600515748125</v>
      </c>
      <c r="H174" s="227">
        <v>1.4196043411312098</v>
      </c>
      <c r="I174" s="227"/>
      <c r="J174" s="228">
        <v>2605.1531889816397</v>
      </c>
      <c r="K174" s="229">
        <f>J174</f>
        <v>2605.1531889816397</v>
      </c>
      <c r="L174" s="226">
        <v>55.871005424767731</v>
      </c>
      <c r="M174" s="228">
        <v>62.641582479308482</v>
      </c>
      <c r="N174" s="227">
        <v>51.078125</v>
      </c>
      <c r="O174" s="230">
        <v>15.414112631735692</v>
      </c>
      <c r="Q174" t="s">
        <v>31</v>
      </c>
      <c r="R174" t="s">
        <v>347</v>
      </c>
      <c r="S174" s="274">
        <f>O174</f>
        <v>15.414112631735692</v>
      </c>
    </row>
    <row r="175" spans="2:19">
      <c r="B175" s="231" t="s">
        <v>114</v>
      </c>
      <c r="C175" s="496"/>
      <c r="D175" s="232">
        <v>21</v>
      </c>
      <c r="E175" s="233">
        <v>179770297.47310495</v>
      </c>
      <c r="F175" s="232">
        <v>1</v>
      </c>
      <c r="G175" s="234">
        <v>1.1349086639428572</v>
      </c>
      <c r="H175" s="234">
        <v>1.1352814227841366</v>
      </c>
      <c r="I175" s="515">
        <f>SUMPRODUCT(H175:H176,D175:D176)/SUM(D175:D176)</f>
        <v>1.1271197868627141</v>
      </c>
      <c r="J175" s="235">
        <v>2621.0311132130655</v>
      </c>
      <c r="K175" s="517">
        <f>SUMPRODUCT(J175:J176,E175:E176)/SUM(E175:E176)</f>
        <v>2810.5319958026707</v>
      </c>
      <c r="L175" s="233">
        <v>54.065498637753784</v>
      </c>
      <c r="M175" s="235">
        <v>52.128877602508318</v>
      </c>
      <c r="N175" s="234">
        <v>53.38095238095238</v>
      </c>
      <c r="O175" s="236">
        <v>12.555992472807018</v>
      </c>
      <c r="Q175" t="s">
        <v>31</v>
      </c>
      <c r="R175" t="s">
        <v>348</v>
      </c>
      <c r="S175" s="84">
        <f>SUMPRODUCT(O175:O176,E175:E176)/SUM(E175:E176)</f>
        <v>14.371896640653008</v>
      </c>
    </row>
    <row r="176" spans="2:19">
      <c r="B176" s="231" t="s">
        <v>111</v>
      </c>
      <c r="C176" s="496"/>
      <c r="D176" s="232">
        <v>29</v>
      </c>
      <c r="E176" s="233">
        <v>136471707.75979474</v>
      </c>
      <c r="F176" s="232">
        <v>4</v>
      </c>
      <c r="G176" s="234">
        <v>1.152219445848276</v>
      </c>
      <c r="H176" s="234">
        <v>1.1212096367127184</v>
      </c>
      <c r="I176" s="516"/>
      <c r="J176" s="235">
        <v>3060.1561163897027</v>
      </c>
      <c r="K176" s="518"/>
      <c r="L176" s="233">
        <v>37.18170782263401</v>
      </c>
      <c r="M176" s="235">
        <v>34.735507973306092</v>
      </c>
      <c r="N176" s="234">
        <v>59.137931034482762</v>
      </c>
      <c r="O176" s="236">
        <v>16.763935531313802</v>
      </c>
      <c r="Q176" t="s">
        <v>31</v>
      </c>
      <c r="R176" t="s">
        <v>346</v>
      </c>
      <c r="S176" s="84">
        <f>SUMPRODUCT(O177:O178,E177:E178)/SUM(E177:E178)</f>
        <v>17.731805357230428</v>
      </c>
    </row>
    <row r="177" spans="2:19">
      <c r="B177" s="237" t="s">
        <v>112</v>
      </c>
      <c r="C177" s="497"/>
      <c r="D177" s="238">
        <v>10</v>
      </c>
      <c r="E177" s="239">
        <v>121007363.24020527</v>
      </c>
      <c r="F177" s="238">
        <v>13</v>
      </c>
      <c r="G177" s="240">
        <v>0.82888965290000005</v>
      </c>
      <c r="H177" s="240">
        <v>0.8372967994754239</v>
      </c>
      <c r="I177" s="519">
        <f>SUMPRODUCT(H177:H178,D177:D178)/SUM(D177:D178)</f>
        <v>0.86082195143942553</v>
      </c>
      <c r="J177" s="241">
        <v>3222.7884337083865</v>
      </c>
      <c r="K177" s="521">
        <f>SUMPRODUCT(J177:J178,E177:E178)/SUM(E177:E178)</f>
        <v>3295.5283728075524</v>
      </c>
      <c r="L177" s="239">
        <v>33.806146572104019</v>
      </c>
      <c r="M177" s="241">
        <v>24.223397014792155</v>
      </c>
      <c r="N177" s="240">
        <v>61.1</v>
      </c>
      <c r="O177" s="236">
        <v>22.992427101465715</v>
      </c>
    </row>
    <row r="178" spans="2:19">
      <c r="B178" s="237" t="s">
        <v>113</v>
      </c>
      <c r="C178" s="497"/>
      <c r="D178" s="238">
        <v>24</v>
      </c>
      <c r="E178" s="239">
        <v>201650445.99999997</v>
      </c>
      <c r="F178" s="238">
        <v>35</v>
      </c>
      <c r="G178" s="240">
        <v>0.88098196757083302</v>
      </c>
      <c r="H178" s="240">
        <v>0.87062409809109287</v>
      </c>
      <c r="I178" s="520"/>
      <c r="J178" s="241">
        <v>3339.1785030564247</v>
      </c>
      <c r="K178" s="522"/>
      <c r="L178" s="239">
        <v>49.790143766954543</v>
      </c>
      <c r="M178" s="241">
        <v>55.115989937160393</v>
      </c>
      <c r="N178" s="240">
        <v>61.958333333333336</v>
      </c>
      <c r="O178" s="236">
        <v>14.574986322602543</v>
      </c>
    </row>
    <row r="179" spans="2:19">
      <c r="B179" s="242" t="s">
        <v>62</v>
      </c>
      <c r="C179" s="498"/>
      <c r="D179" s="243">
        <v>116</v>
      </c>
      <c r="E179" s="244">
        <v>734358126.00000024</v>
      </c>
      <c r="F179" s="243">
        <v>53</v>
      </c>
      <c r="G179" s="245">
        <v>1.1461385746767239</v>
      </c>
      <c r="H179" s="245">
        <v>1.0478499451391019</v>
      </c>
      <c r="I179" s="245"/>
      <c r="J179" s="244">
        <v>2996.9298166001049</v>
      </c>
      <c r="K179" s="244"/>
      <c r="L179" s="244">
        <v>47.761973122568946</v>
      </c>
      <c r="M179" s="246">
        <v>46.485045602193175</v>
      </c>
      <c r="N179" s="245">
        <v>56.625</v>
      </c>
      <c r="O179" s="95"/>
      <c r="S179" s="84">
        <f>SUMPRODUCT(O174:O178,E174:E178)/SUM(E174:E178)</f>
        <v>15.983629285241486</v>
      </c>
    </row>
    <row r="182" spans="2:19">
      <c r="B182" s="95" t="s">
        <v>70</v>
      </c>
      <c r="C182" s="493"/>
      <c r="D182" s="220" t="s">
        <v>72</v>
      </c>
      <c r="E182" s="50"/>
      <c r="F182" s="50"/>
      <c r="G182" s="50"/>
      <c r="H182" s="50"/>
      <c r="I182" s="50"/>
      <c r="J182" s="50"/>
      <c r="K182" s="50"/>
      <c r="L182" s="50"/>
      <c r="M182" s="50"/>
      <c r="N182" s="50"/>
    </row>
    <row r="183" spans="2:19">
      <c r="B183" s="95" t="s">
        <v>334</v>
      </c>
      <c r="C183" s="493"/>
      <c r="D183" s="221" t="s">
        <v>146</v>
      </c>
      <c r="E183" s="50"/>
      <c r="F183" s="50"/>
      <c r="G183" s="50"/>
      <c r="H183" s="50"/>
      <c r="I183" s="50"/>
      <c r="J183" s="50"/>
      <c r="K183" s="50"/>
      <c r="L183" s="50"/>
      <c r="M183" s="50"/>
      <c r="N183" s="50"/>
    </row>
    <row r="184" spans="2:19">
      <c r="B184" s="95"/>
      <c r="C184" s="493"/>
      <c r="D184" s="221"/>
      <c r="E184" s="50"/>
      <c r="F184" s="50"/>
      <c r="G184" s="50"/>
      <c r="H184" s="50"/>
      <c r="I184" s="50"/>
      <c r="J184" s="50"/>
      <c r="K184" s="50"/>
      <c r="L184" s="50"/>
      <c r="M184" s="50"/>
      <c r="N184" s="50"/>
    </row>
    <row r="185" spans="2:19">
      <c r="B185" s="95"/>
      <c r="C185" s="493"/>
      <c r="D185" s="221" t="s">
        <v>183</v>
      </c>
      <c r="E185" s="50"/>
      <c r="F185" s="50"/>
      <c r="G185" s="50"/>
      <c r="H185" s="50"/>
      <c r="I185" s="50"/>
      <c r="J185" s="50"/>
      <c r="K185" s="50"/>
      <c r="L185" s="50"/>
      <c r="M185" s="50"/>
      <c r="N185" s="50"/>
    </row>
    <row r="186" spans="2:19" ht="76.5">
      <c r="B186" s="96" t="s">
        <v>59</v>
      </c>
      <c r="C186" s="494"/>
      <c r="D186" s="96" t="s">
        <v>335</v>
      </c>
      <c r="E186" s="96" t="s">
        <v>336</v>
      </c>
      <c r="F186" s="96" t="s">
        <v>337</v>
      </c>
      <c r="G186" s="96" t="s">
        <v>338</v>
      </c>
      <c r="H186" s="96" t="s">
        <v>339</v>
      </c>
      <c r="I186" s="96"/>
      <c r="J186" s="96" t="s">
        <v>340</v>
      </c>
      <c r="K186" s="96"/>
      <c r="L186" s="96" t="s">
        <v>345</v>
      </c>
      <c r="M186" s="96" t="s">
        <v>342</v>
      </c>
      <c r="N186" s="96" t="s">
        <v>343</v>
      </c>
      <c r="O186" s="223" t="s">
        <v>344</v>
      </c>
    </row>
    <row r="187" spans="2:19">
      <c r="B187" s="247" t="s">
        <v>110</v>
      </c>
      <c r="C187" s="499"/>
      <c r="D187" s="248">
        <v>30</v>
      </c>
      <c r="E187" s="249">
        <v>59224380.554442525</v>
      </c>
      <c r="F187" s="248">
        <v>0</v>
      </c>
      <c r="G187" s="250">
        <v>1.5272819154399999</v>
      </c>
      <c r="H187" s="250">
        <v>1.4369897064659012</v>
      </c>
      <c r="I187" s="250"/>
      <c r="J187" s="249">
        <v>2762.118796566951</v>
      </c>
      <c r="K187" s="249"/>
      <c r="L187" s="249">
        <v>43.785677771108105</v>
      </c>
      <c r="M187" s="251">
        <v>33.051637833495548</v>
      </c>
      <c r="N187" s="250">
        <v>55.1</v>
      </c>
      <c r="O187" s="252">
        <v>12.875436812066214</v>
      </c>
      <c r="R187" t="s">
        <v>347</v>
      </c>
      <c r="S187" s="274">
        <f>O187</f>
        <v>12.875436812066214</v>
      </c>
    </row>
    <row r="188" spans="2:19">
      <c r="B188" s="253" t="s">
        <v>114</v>
      </c>
      <c r="C188" s="500"/>
      <c r="D188" s="254">
        <v>25</v>
      </c>
      <c r="E188" s="255">
        <v>186496889.44555736</v>
      </c>
      <c r="F188" s="254">
        <v>0</v>
      </c>
      <c r="G188" s="256">
        <v>1.2664125675400002</v>
      </c>
      <c r="H188" s="256">
        <v>1.2388327171274434</v>
      </c>
      <c r="I188" s="256"/>
      <c r="J188" s="255">
        <v>3795.0044826849821</v>
      </c>
      <c r="K188" s="255"/>
      <c r="L188" s="255">
        <v>37.407750162009684</v>
      </c>
      <c r="M188" s="257">
        <v>23.158266244637343</v>
      </c>
      <c r="N188" s="256">
        <v>76.34</v>
      </c>
      <c r="O188" s="258">
        <v>12.333063850163656</v>
      </c>
      <c r="R188" t="s">
        <v>348</v>
      </c>
      <c r="S188" s="84">
        <f>O188</f>
        <v>12.333063850163656</v>
      </c>
    </row>
    <row r="189" spans="2:19">
      <c r="B189" s="259" t="s">
        <v>111</v>
      </c>
      <c r="C189" s="501"/>
      <c r="D189" s="260">
        <v>34</v>
      </c>
      <c r="E189" s="261">
        <v>159704133.08919233</v>
      </c>
      <c r="F189" s="260">
        <v>0</v>
      </c>
      <c r="G189" s="262">
        <v>1.0958497064352939</v>
      </c>
      <c r="H189" s="262">
        <v>1.0864505514680138</v>
      </c>
      <c r="I189" s="515">
        <f>SUMPRODUCT(H189:H190,D189:D190)/SUM(D189:D190)</f>
        <v>1.0777987100431961</v>
      </c>
      <c r="J189" s="261">
        <v>3667.5345811967941</v>
      </c>
      <c r="K189" s="517">
        <f>SUMPRODUCT(J189:J190,E189:E190)/SUM(E189:E190)</f>
        <v>3692.2254794077244</v>
      </c>
      <c r="L189" s="261">
        <v>13.037434423723496</v>
      </c>
      <c r="M189" s="263">
        <v>11.646288604900541</v>
      </c>
      <c r="N189" s="262">
        <v>72.32352941176471</v>
      </c>
      <c r="O189" s="264">
        <v>10.175630709696762</v>
      </c>
      <c r="R189" t="s">
        <v>346</v>
      </c>
      <c r="S189" s="84">
        <f>SUMPRODUCT(O189:O190,E189:E190)/SUM(E189:E190)</f>
        <v>10.171583395569741</v>
      </c>
    </row>
    <row r="190" spans="2:19">
      <c r="B190" s="259" t="s">
        <v>112</v>
      </c>
      <c r="C190" s="501"/>
      <c r="D190" s="260">
        <v>4</v>
      </c>
      <c r="E190" s="261">
        <v>31550759.910807587</v>
      </c>
      <c r="F190" s="260">
        <v>0</v>
      </c>
      <c r="G190" s="262">
        <v>0.98225486277500007</v>
      </c>
      <c r="H190" s="262">
        <v>1.004258057932244</v>
      </c>
      <c r="I190" s="516"/>
      <c r="J190" s="261">
        <v>3817.2062565781425</v>
      </c>
      <c r="K190" s="518"/>
      <c r="L190" s="261">
        <v>1.8510750088321051</v>
      </c>
      <c r="M190" s="263">
        <v>1.570370412390194</v>
      </c>
      <c r="N190" s="262">
        <v>77.25</v>
      </c>
      <c r="O190" s="264">
        <v>10.151096637221519</v>
      </c>
      <c r="R190" t="s">
        <v>349</v>
      </c>
      <c r="S190" s="84">
        <f>O191</f>
        <v>17.009833900111737</v>
      </c>
    </row>
    <row r="191" spans="2:19">
      <c r="B191" s="265" t="s">
        <v>113</v>
      </c>
      <c r="C191" s="502"/>
      <c r="D191" s="266">
        <v>34</v>
      </c>
      <c r="E191" s="267">
        <v>133953325</v>
      </c>
      <c r="F191" s="266">
        <v>6</v>
      </c>
      <c r="G191" s="268">
        <v>1.1930721681228571</v>
      </c>
      <c r="H191" s="268">
        <v>1.1904887164069691</v>
      </c>
      <c r="I191" s="268"/>
      <c r="J191" s="267">
        <v>6230.7045853104373</v>
      </c>
      <c r="K191" s="267"/>
      <c r="L191" s="267">
        <v>12.375882269927777</v>
      </c>
      <c r="M191" s="269">
        <v>8.4570799844658442</v>
      </c>
      <c r="N191" s="268">
        <v>128.59285714285716</v>
      </c>
      <c r="O191" s="270">
        <v>17.009833900111737</v>
      </c>
    </row>
    <row r="192" spans="2:19">
      <c r="B192" s="95" t="s">
        <v>62</v>
      </c>
      <c r="C192" s="503"/>
      <c r="D192" s="95">
        <v>127</v>
      </c>
      <c r="E192" s="271">
        <v>570929487.99999988</v>
      </c>
      <c r="F192" s="95">
        <v>6</v>
      </c>
      <c r="G192" s="272">
        <v>1.2533141172335944</v>
      </c>
      <c r="H192" s="272">
        <v>1.1924571389360319</v>
      </c>
      <c r="I192" s="272"/>
      <c r="J192" s="271">
        <v>4224.9019225439506</v>
      </c>
      <c r="K192" s="271"/>
      <c r="L192" s="271">
        <v>24.047433324688789</v>
      </c>
      <c r="M192" s="273">
        <v>16.322099981443166</v>
      </c>
      <c r="N192" s="272">
        <v>84.611328125</v>
      </c>
      <c r="O192" s="95"/>
    </row>
    <row r="203" spans="2:15" ht="63.75">
      <c r="B203" s="9" t="s">
        <v>25</v>
      </c>
      <c r="C203" s="76"/>
      <c r="D203" s="278" t="s">
        <v>6</v>
      </c>
      <c r="E203" s="278" t="s">
        <v>5</v>
      </c>
      <c r="F203" s="278" t="s">
        <v>4</v>
      </c>
      <c r="G203" s="278" t="s">
        <v>3</v>
      </c>
      <c r="H203" s="278" t="s">
        <v>55</v>
      </c>
      <c r="I203" s="278" t="s">
        <v>56</v>
      </c>
      <c r="J203" s="278"/>
      <c r="K203" s="278" t="s">
        <v>324</v>
      </c>
      <c r="L203" s="278" t="s">
        <v>325</v>
      </c>
      <c r="M203" s="278" t="s">
        <v>332</v>
      </c>
      <c r="N203" s="86"/>
      <c r="O203" s="279" t="s">
        <v>234</v>
      </c>
    </row>
    <row r="204" spans="2:15">
      <c r="B204" s="9" t="s">
        <v>23</v>
      </c>
      <c r="C204" s="76"/>
      <c r="D204" s="135">
        <v>3300</v>
      </c>
      <c r="E204" s="142">
        <v>0.86</v>
      </c>
      <c r="F204" s="142">
        <v>0.67</v>
      </c>
      <c r="G204" s="142">
        <v>1.06</v>
      </c>
      <c r="H204" s="142">
        <v>0.83</v>
      </c>
      <c r="I204" s="150">
        <v>34</v>
      </c>
      <c r="J204" s="150"/>
      <c r="K204" s="143">
        <f t="shared" ref="K204:K221" si="42">E204*D204/1000</f>
        <v>2.8380000000000001</v>
      </c>
      <c r="L204" s="143">
        <f t="shared" ref="L204:L221" si="43">H204*D204/1000</f>
        <v>2.7389999999999999</v>
      </c>
      <c r="M204" s="143">
        <v>17.731805357230428</v>
      </c>
      <c r="O204" s="62">
        <v>324</v>
      </c>
    </row>
    <row r="205" spans="2:15">
      <c r="B205" s="9" t="s">
        <v>22</v>
      </c>
      <c r="C205" s="76"/>
      <c r="D205" s="135">
        <v>2800</v>
      </c>
      <c r="E205" s="143">
        <v>1.1299999999999999</v>
      </c>
      <c r="F205" s="142">
        <v>0.9</v>
      </c>
      <c r="G205" s="142">
        <v>1.4</v>
      </c>
      <c r="H205" s="143">
        <v>1.1000000000000001</v>
      </c>
      <c r="I205" s="150">
        <v>50</v>
      </c>
      <c r="J205" s="150"/>
      <c r="K205" s="143">
        <f t="shared" si="42"/>
        <v>3.1639999999999997</v>
      </c>
      <c r="L205" s="143">
        <f t="shared" si="43"/>
        <v>3.0800000000000005</v>
      </c>
      <c r="M205" s="143">
        <v>14.371896640653008</v>
      </c>
      <c r="O205" s="62">
        <v>316</v>
      </c>
    </row>
    <row r="206" spans="2:15">
      <c r="B206" s="9" t="s">
        <v>21</v>
      </c>
      <c r="C206" s="76"/>
      <c r="D206" s="135">
        <v>2600</v>
      </c>
      <c r="E206" s="143">
        <v>1.42</v>
      </c>
      <c r="F206" s="142">
        <v>1.1000000000000001</v>
      </c>
      <c r="G206" s="142">
        <v>1.8</v>
      </c>
      <c r="H206" s="143">
        <v>1.3</v>
      </c>
      <c r="I206" s="150">
        <v>33</v>
      </c>
      <c r="J206" s="150"/>
      <c r="K206" s="143">
        <f t="shared" si="42"/>
        <v>3.6920000000000002</v>
      </c>
      <c r="L206" s="143">
        <f t="shared" si="43"/>
        <v>3.38</v>
      </c>
      <c r="M206" s="143">
        <v>15.414112631735692</v>
      </c>
      <c r="O206" s="62">
        <v>95</v>
      </c>
    </row>
    <row r="207" spans="2:15">
      <c r="B207" s="11" t="s">
        <v>375</v>
      </c>
      <c r="C207" s="78"/>
      <c r="D207" s="135">
        <v>6200</v>
      </c>
      <c r="E207" s="143">
        <v>1.2</v>
      </c>
      <c r="F207" s="142">
        <v>0.8</v>
      </c>
      <c r="G207" s="135">
        <v>1.6</v>
      </c>
      <c r="H207" s="142">
        <v>1.2</v>
      </c>
      <c r="I207" s="150">
        <v>37</v>
      </c>
      <c r="J207" s="150"/>
      <c r="K207" s="143">
        <f t="shared" si="42"/>
        <v>7.44</v>
      </c>
      <c r="L207" s="143">
        <f t="shared" si="43"/>
        <v>7.44</v>
      </c>
      <c r="M207" s="143">
        <v>17.009833900111737</v>
      </c>
      <c r="O207" s="62">
        <v>135</v>
      </c>
    </row>
    <row r="208" spans="2:15">
      <c r="B208" s="11" t="s">
        <v>376</v>
      </c>
      <c r="C208" s="78"/>
      <c r="D208" s="135">
        <v>3800</v>
      </c>
      <c r="E208" s="143">
        <v>1.1000000000000001</v>
      </c>
      <c r="F208" s="142">
        <v>0.7</v>
      </c>
      <c r="G208" s="135">
        <v>1.4</v>
      </c>
      <c r="H208" s="142">
        <v>1</v>
      </c>
      <c r="I208" s="150">
        <v>38</v>
      </c>
      <c r="J208" s="150"/>
      <c r="K208" s="143">
        <f t="shared" si="42"/>
        <v>4.18</v>
      </c>
      <c r="L208" s="143">
        <f t="shared" si="43"/>
        <v>3.8</v>
      </c>
      <c r="M208" s="143">
        <v>10.171583395569741</v>
      </c>
      <c r="O208" s="62">
        <v>191</v>
      </c>
    </row>
    <row r="209" spans="2:15">
      <c r="B209" s="11" t="s">
        <v>377</v>
      </c>
      <c r="C209" s="78"/>
      <c r="D209" s="135">
        <v>3800</v>
      </c>
      <c r="E209" s="143">
        <v>1.24</v>
      </c>
      <c r="F209" s="142">
        <v>0.9</v>
      </c>
      <c r="G209" s="135">
        <v>1.5</v>
      </c>
      <c r="H209" s="142">
        <v>1.3</v>
      </c>
      <c r="I209" s="150">
        <v>26</v>
      </c>
      <c r="J209" s="150"/>
      <c r="K209" s="143">
        <f t="shared" si="42"/>
        <v>4.7119999999999997</v>
      </c>
      <c r="L209" s="143">
        <f t="shared" si="43"/>
        <v>4.9400000000000004</v>
      </c>
      <c r="M209" s="143">
        <v>12.333063850163656</v>
      </c>
      <c r="O209" s="62">
        <v>186</v>
      </c>
    </row>
    <row r="210" spans="2:15">
      <c r="B210" s="11" t="s">
        <v>378</v>
      </c>
      <c r="C210" s="78"/>
      <c r="D210" s="135">
        <v>2800</v>
      </c>
      <c r="E210" s="143">
        <v>1.44</v>
      </c>
      <c r="F210" s="142">
        <v>1.1599999999999999</v>
      </c>
      <c r="G210" s="135">
        <v>1.8</v>
      </c>
      <c r="H210" s="143">
        <v>1.45</v>
      </c>
      <c r="I210" s="150">
        <v>31</v>
      </c>
      <c r="J210" s="150"/>
      <c r="K210" s="143">
        <f t="shared" si="42"/>
        <v>4.032</v>
      </c>
      <c r="L210" s="143">
        <f t="shared" si="43"/>
        <v>4.0599999999999996</v>
      </c>
      <c r="M210" s="143">
        <v>12.875436812066214</v>
      </c>
      <c r="O210" s="62">
        <v>59</v>
      </c>
    </row>
    <row r="211" spans="2:15">
      <c r="B211" s="9" t="s">
        <v>73</v>
      </c>
      <c r="C211" s="76"/>
      <c r="D211" s="135">
        <v>2700</v>
      </c>
      <c r="E211" s="142">
        <v>0.98</v>
      </c>
      <c r="F211" s="142">
        <v>0.75</v>
      </c>
      <c r="G211" s="135">
        <v>1.1000000000000001</v>
      </c>
      <c r="H211" s="142">
        <v>0.97</v>
      </c>
      <c r="I211" s="150">
        <v>75</v>
      </c>
      <c r="J211" s="150"/>
      <c r="K211" s="143">
        <f t="shared" si="42"/>
        <v>2.6459999999999999</v>
      </c>
      <c r="L211" s="143">
        <f t="shared" si="43"/>
        <v>2.6190000000000002</v>
      </c>
      <c r="M211" s="143">
        <v>9.5809179430278295</v>
      </c>
      <c r="O211" s="62">
        <v>245</v>
      </c>
    </row>
    <row r="212" spans="2:15">
      <c r="B212" s="9" t="s">
        <v>17</v>
      </c>
      <c r="C212" s="76"/>
      <c r="D212" s="137">
        <v>3600</v>
      </c>
      <c r="E212" s="144">
        <v>0.98</v>
      </c>
      <c r="F212" s="142"/>
      <c r="G212" s="135"/>
      <c r="H212" s="142">
        <f>E212</f>
        <v>0.98</v>
      </c>
      <c r="I212" s="150">
        <v>0</v>
      </c>
      <c r="J212" s="150"/>
      <c r="K212" s="143">
        <f t="shared" si="42"/>
        <v>3.528</v>
      </c>
      <c r="L212" s="143">
        <f t="shared" si="43"/>
        <v>3.528</v>
      </c>
      <c r="M212" s="143">
        <v>17.2</v>
      </c>
      <c r="O212" s="62">
        <v>124</v>
      </c>
    </row>
    <row r="213" spans="2:15">
      <c r="B213" s="9" t="s">
        <v>16</v>
      </c>
      <c r="C213" s="76"/>
      <c r="D213" s="135">
        <v>2700</v>
      </c>
      <c r="E213" s="142">
        <v>0.57999999999999996</v>
      </c>
      <c r="F213" s="142">
        <v>0.4</v>
      </c>
      <c r="G213" s="135">
        <v>0.93</v>
      </c>
      <c r="H213" s="142">
        <v>0.57999999999999996</v>
      </c>
      <c r="I213" s="150">
        <v>43</v>
      </c>
      <c r="J213" s="150"/>
      <c r="K213" s="143">
        <f t="shared" si="42"/>
        <v>1.5660000000000001</v>
      </c>
      <c r="L213" s="143">
        <f t="shared" si="43"/>
        <v>1.5660000000000001</v>
      </c>
      <c r="M213" s="143">
        <v>6.0495189796425546</v>
      </c>
      <c r="O213" s="62">
        <v>442</v>
      </c>
    </row>
    <row r="214" spans="2:15">
      <c r="B214" s="9" t="s">
        <v>15</v>
      </c>
      <c r="C214" s="76"/>
      <c r="D214" s="135">
        <v>7300</v>
      </c>
      <c r="E214" s="142">
        <v>1.1499999999999999</v>
      </c>
      <c r="F214" s="142">
        <v>0.98</v>
      </c>
      <c r="G214" s="135">
        <v>1.3</v>
      </c>
      <c r="H214" s="142">
        <v>1.1000000000000001</v>
      </c>
      <c r="I214" s="150">
        <v>36</v>
      </c>
      <c r="J214" s="150"/>
      <c r="K214" s="143">
        <f t="shared" si="42"/>
        <v>8.3949999999999996</v>
      </c>
      <c r="L214" s="143">
        <f t="shared" si="43"/>
        <v>8.0300000000000011</v>
      </c>
      <c r="M214" s="143">
        <v>53.093603715590476</v>
      </c>
      <c r="O214" s="62">
        <v>65</v>
      </c>
    </row>
    <row r="215" spans="2:15">
      <c r="B215" s="9" t="s">
        <v>54</v>
      </c>
      <c r="C215" s="76"/>
      <c r="D215" s="135">
        <v>6800</v>
      </c>
      <c r="E215" s="142">
        <v>1.1499999999999999</v>
      </c>
      <c r="F215" s="142">
        <v>0.98</v>
      </c>
      <c r="G215" s="135">
        <v>1.3</v>
      </c>
      <c r="H215" s="142">
        <v>1.1000000000000001</v>
      </c>
      <c r="I215" s="150">
        <v>38</v>
      </c>
      <c r="J215" s="150"/>
      <c r="K215" s="143">
        <f t="shared" si="42"/>
        <v>7.8199999999999994</v>
      </c>
      <c r="L215" s="143">
        <f t="shared" si="43"/>
        <v>7.4800000000000013</v>
      </c>
      <c r="M215" s="143">
        <v>78.902144690538918</v>
      </c>
      <c r="O215" s="62">
        <v>12</v>
      </c>
    </row>
    <row r="216" spans="2:15">
      <c r="B216" s="9" t="s">
        <v>14</v>
      </c>
      <c r="C216" s="76"/>
      <c r="D216" s="135">
        <v>5400</v>
      </c>
      <c r="E216" s="142">
        <v>1.2</v>
      </c>
      <c r="F216" s="142">
        <v>0.79</v>
      </c>
      <c r="G216" s="143">
        <v>1.5</v>
      </c>
      <c r="H216" s="142">
        <v>1.1000000000000001</v>
      </c>
      <c r="I216" s="150">
        <v>43</v>
      </c>
      <c r="J216" s="150"/>
      <c r="K216" s="143">
        <f t="shared" si="42"/>
        <v>6.48</v>
      </c>
      <c r="L216" s="143">
        <f t="shared" si="43"/>
        <v>5.9400000000000013</v>
      </c>
      <c r="M216" s="143">
        <v>45.794204797954791</v>
      </c>
      <c r="O216" s="62">
        <v>53</v>
      </c>
    </row>
    <row r="217" spans="2:15">
      <c r="B217" s="9" t="s">
        <v>13</v>
      </c>
      <c r="C217" s="76"/>
      <c r="D217" s="135">
        <v>3000</v>
      </c>
      <c r="E217" s="142">
        <v>0.9</v>
      </c>
      <c r="F217" s="142">
        <v>0.64</v>
      </c>
      <c r="G217" s="143">
        <v>1.1000000000000001</v>
      </c>
      <c r="H217" s="142">
        <v>0.78</v>
      </c>
      <c r="I217" s="150">
        <v>72</v>
      </c>
      <c r="J217" s="150"/>
      <c r="K217" s="143">
        <f t="shared" si="42"/>
        <v>2.7</v>
      </c>
      <c r="L217" s="143">
        <f t="shared" si="43"/>
        <v>2.34</v>
      </c>
      <c r="M217" s="143">
        <v>14.289973062869727</v>
      </c>
      <c r="O217" s="62">
        <v>171</v>
      </c>
    </row>
    <row r="218" spans="2:15">
      <c r="B218" s="9" t="s">
        <v>12</v>
      </c>
      <c r="C218" s="76"/>
      <c r="D218" s="137">
        <v>6400</v>
      </c>
      <c r="E218" s="145">
        <v>1.1000000000000001</v>
      </c>
      <c r="F218" s="142"/>
      <c r="G218" s="135"/>
      <c r="H218" s="142">
        <f>E218</f>
        <v>1.1000000000000001</v>
      </c>
      <c r="I218" s="150">
        <v>0</v>
      </c>
      <c r="J218" s="150"/>
      <c r="K218" s="143">
        <f t="shared" si="42"/>
        <v>7.0400000000000009</v>
      </c>
      <c r="L218" s="143">
        <f t="shared" si="43"/>
        <v>7.0400000000000009</v>
      </c>
      <c r="M218" s="143">
        <v>26.4</v>
      </c>
      <c r="O218" s="62">
        <v>104</v>
      </c>
    </row>
    <row r="219" spans="2:15">
      <c r="B219" s="9" t="s">
        <v>158</v>
      </c>
      <c r="C219" s="76"/>
      <c r="D219" s="135">
        <v>5700</v>
      </c>
      <c r="E219" s="142">
        <v>0.95</v>
      </c>
      <c r="F219" s="142">
        <v>0.75</v>
      </c>
      <c r="G219" s="142">
        <v>1.3</v>
      </c>
      <c r="H219" s="142">
        <v>0.95</v>
      </c>
      <c r="I219" s="150">
        <v>70</v>
      </c>
      <c r="J219" s="150"/>
      <c r="K219" s="143">
        <f t="shared" si="42"/>
        <v>5.415</v>
      </c>
      <c r="L219" s="143">
        <f t="shared" si="43"/>
        <v>5.415</v>
      </c>
      <c r="M219" s="143">
        <v>15.252452894286773</v>
      </c>
      <c r="O219" s="62">
        <v>125</v>
      </c>
    </row>
    <row r="220" spans="2:15">
      <c r="B220" s="10" t="s">
        <v>10</v>
      </c>
      <c r="C220" s="81"/>
      <c r="D220" s="135">
        <v>3000</v>
      </c>
      <c r="E220" s="142">
        <v>1</v>
      </c>
      <c r="F220" s="142">
        <v>0.81</v>
      </c>
      <c r="G220" s="142">
        <v>1.3</v>
      </c>
      <c r="H220" s="142">
        <v>0.98</v>
      </c>
      <c r="I220" s="150">
        <v>105</v>
      </c>
      <c r="J220" s="150"/>
      <c r="K220" s="143">
        <f t="shared" si="42"/>
        <v>3</v>
      </c>
      <c r="L220" s="143">
        <f t="shared" si="43"/>
        <v>2.94</v>
      </c>
      <c r="M220" s="143">
        <v>12.656658263829003</v>
      </c>
      <c r="O220" s="62">
        <v>369</v>
      </c>
    </row>
    <row r="221" spans="2:15">
      <c r="B221" s="9" t="s">
        <v>9</v>
      </c>
      <c r="C221" s="76"/>
      <c r="D221" s="135">
        <v>4100</v>
      </c>
      <c r="E221" s="142">
        <v>1</v>
      </c>
      <c r="F221" s="142">
        <v>0.73</v>
      </c>
      <c r="G221" s="142">
        <v>1.1000000000000001</v>
      </c>
      <c r="H221" s="142">
        <v>0.87</v>
      </c>
      <c r="I221" s="150">
        <v>81</v>
      </c>
      <c r="J221" s="150"/>
      <c r="K221" s="143">
        <f t="shared" si="42"/>
        <v>4.0999999999999996</v>
      </c>
      <c r="L221" s="143">
        <f t="shared" si="43"/>
        <v>3.5670000000000002</v>
      </c>
      <c r="M221" s="143">
        <v>12.887541280192671</v>
      </c>
      <c r="O221" s="62">
        <v>333</v>
      </c>
    </row>
    <row r="222" spans="2:15"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</row>
    <row r="223" spans="2:15">
      <c r="B223" s="11" t="s">
        <v>180</v>
      </c>
      <c r="C223" s="78"/>
      <c r="D223" s="139">
        <f>SUMPRODUCT(D204:D221,$O$204:$O$221)/SUM($O$204:$O$221)</f>
        <v>3625.7987458942966</v>
      </c>
      <c r="E223" s="183">
        <f>SUMPRODUCT(E204:E221,$O$204:$O$221)/SUM($O$204:$O$221)</f>
        <v>0.99059420722603775</v>
      </c>
      <c r="F223" s="183">
        <f t="shared" ref="F223:H223" si="44">SUMPRODUCT(F204:F221,$O$204:$O$221)/SUM($O$204:$O$221)</f>
        <v>0.68873395043296515</v>
      </c>
      <c r="G223" s="183">
        <f t="shared" si="44"/>
        <v>1.1592117049865629</v>
      </c>
      <c r="H223" s="183">
        <f t="shared" si="44"/>
        <v>0.95454165422514181</v>
      </c>
      <c r="I223" s="138"/>
      <c r="J223" s="138"/>
      <c r="K223" s="183">
        <f t="shared" ref="K223:M223" si="45">SUMPRODUCT(K204:K221,$O$204:$O$221)/SUM($O$204:$O$221)</f>
        <v>3.6700746491489995</v>
      </c>
      <c r="L223" s="183">
        <f t="shared" si="45"/>
        <v>3.5383908629441625</v>
      </c>
      <c r="M223" s="183">
        <f t="shared" si="45"/>
        <v>14.655204806104527</v>
      </c>
      <c r="O223" s="56">
        <f>SUM(O204:O221)</f>
        <v>3349</v>
      </c>
    </row>
  </sheetData>
  <mergeCells count="18">
    <mergeCell ref="I175:I176"/>
    <mergeCell ref="K175:K176"/>
    <mergeCell ref="I177:I178"/>
    <mergeCell ref="K177:K178"/>
    <mergeCell ref="I189:I190"/>
    <mergeCell ref="K189:K190"/>
    <mergeCell ref="N64:O64"/>
    <mergeCell ref="R64:S64"/>
    <mergeCell ref="R5:S5"/>
    <mergeCell ref="D5:F5"/>
    <mergeCell ref="G5:J5"/>
    <mergeCell ref="K5:L5"/>
    <mergeCell ref="N5:O5"/>
    <mergeCell ref="D44:F44"/>
    <mergeCell ref="G44:J44"/>
    <mergeCell ref="D64:F64"/>
    <mergeCell ref="G64:J64"/>
    <mergeCell ref="K64:L64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AD115"/>
  <sheetViews>
    <sheetView workbookViewId="0">
      <selection activeCell="E121" sqref="E121"/>
    </sheetView>
  </sheetViews>
  <sheetFormatPr defaultRowHeight="12.75"/>
  <cols>
    <col min="1" max="1" width="3.85546875" customWidth="1"/>
    <col min="3" max="3" width="9" customWidth="1"/>
    <col min="4" max="4" width="18" customWidth="1"/>
    <col min="5" max="5" width="27.5703125" customWidth="1"/>
    <col min="6" max="6" width="12.28515625" customWidth="1"/>
    <col min="7" max="7" width="13.5703125" customWidth="1"/>
    <col min="8" max="16" width="12.28515625" customWidth="1"/>
    <col min="18" max="18" width="26.85546875" customWidth="1"/>
    <col min="19" max="22" width="13.5703125" customWidth="1"/>
    <col min="23" max="29" width="14.28515625" customWidth="1"/>
  </cols>
  <sheetData>
    <row r="1" spans="1:30">
      <c r="A1" s="323" t="s">
        <v>415</v>
      </c>
      <c r="B1" s="322"/>
      <c r="C1" s="322"/>
      <c r="D1" s="322"/>
      <c r="E1" s="322"/>
      <c r="F1" t="s">
        <v>416</v>
      </c>
    </row>
    <row r="4" spans="1:30">
      <c r="E4" s="309" t="s">
        <v>404</v>
      </c>
      <c r="F4" s="310"/>
      <c r="G4" s="310"/>
      <c r="H4" s="310"/>
      <c r="I4" s="310"/>
      <c r="J4" s="310"/>
      <c r="K4" s="322" t="s">
        <v>355</v>
      </c>
      <c r="L4" s="322"/>
      <c r="M4" s="322" t="s">
        <v>356</v>
      </c>
      <c r="N4" s="310"/>
      <c r="O4" s="310"/>
      <c r="P4" s="310"/>
    </row>
    <row r="5" spans="1:30" ht="15">
      <c r="E5" s="280" t="s">
        <v>350</v>
      </c>
    </row>
    <row r="6" spans="1:30">
      <c r="E6" s="60"/>
      <c r="F6" s="60" t="s">
        <v>58</v>
      </c>
      <c r="G6" s="60"/>
      <c r="H6" s="60"/>
      <c r="I6" s="60"/>
      <c r="J6" s="60"/>
      <c r="K6" s="60"/>
      <c r="L6" s="60"/>
      <c r="M6" s="60"/>
      <c r="N6" s="60"/>
      <c r="O6" s="60"/>
      <c r="P6" s="60"/>
    </row>
    <row r="7" spans="1:30" ht="15">
      <c r="E7" s="281"/>
      <c r="F7" s="282" t="s">
        <v>31</v>
      </c>
      <c r="G7" s="282" t="s">
        <v>30</v>
      </c>
      <c r="H7" s="282" t="s">
        <v>29</v>
      </c>
      <c r="I7" s="282" t="s">
        <v>16</v>
      </c>
      <c r="J7" s="282" t="s">
        <v>28</v>
      </c>
      <c r="K7" s="282" t="s">
        <v>60</v>
      </c>
      <c r="L7" s="282" t="s">
        <v>13</v>
      </c>
      <c r="M7" s="282" t="s">
        <v>61</v>
      </c>
      <c r="N7" s="282" t="s">
        <v>10</v>
      </c>
      <c r="O7" s="282" t="s">
        <v>9</v>
      </c>
      <c r="P7" s="282" t="s">
        <v>8</v>
      </c>
    </row>
    <row r="8" spans="1:30" ht="15">
      <c r="E8" s="281" t="s">
        <v>351</v>
      </c>
      <c r="F8" s="283">
        <v>299.47330600000004</v>
      </c>
      <c r="G8" s="283">
        <v>209.85488000000001</v>
      </c>
      <c r="H8" s="283">
        <v>113.565709</v>
      </c>
      <c r="I8" s="283">
        <v>123.33798700000003</v>
      </c>
      <c r="J8" s="283">
        <v>26.180913999999994</v>
      </c>
      <c r="K8" s="283">
        <v>16.079930999999998</v>
      </c>
      <c r="L8" s="283">
        <v>71.484168000000025</v>
      </c>
      <c r="M8" s="283">
        <v>53.966739999999952</v>
      </c>
      <c r="N8" s="283">
        <v>165.90769299999997</v>
      </c>
      <c r="O8" s="283">
        <v>157.21391200000002</v>
      </c>
      <c r="P8" s="283">
        <v>1237.0652399999999</v>
      </c>
    </row>
    <row r="9" spans="1:30" ht="15">
      <c r="E9" s="284" t="s">
        <v>352</v>
      </c>
      <c r="F9" s="285">
        <v>265.29204347994278</v>
      </c>
      <c r="G9" s="285">
        <v>207.64276410272322</v>
      </c>
      <c r="H9" s="285">
        <v>112.10657904088653</v>
      </c>
      <c r="I9" s="285">
        <v>123.33798699999996</v>
      </c>
      <c r="J9" s="285">
        <v>26.180914000000005</v>
      </c>
      <c r="K9" s="285">
        <v>16.079931000000006</v>
      </c>
      <c r="L9" s="285">
        <v>67.89597157792501</v>
      </c>
      <c r="M9" s="285">
        <v>52.445138521013853</v>
      </c>
      <c r="N9" s="285">
        <v>162.39105800218852</v>
      </c>
      <c r="O9" s="285">
        <v>140.96437762723613</v>
      </c>
      <c r="P9" s="286">
        <v>1178.6562311528721</v>
      </c>
    </row>
    <row r="10" spans="1:30" ht="15">
      <c r="E10" s="295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R10" t="s">
        <v>369</v>
      </c>
    </row>
    <row r="11" spans="1:30" ht="30">
      <c r="E11" s="296" t="s">
        <v>59</v>
      </c>
      <c r="F11" s="296" t="s">
        <v>31</v>
      </c>
      <c r="G11" s="296" t="s">
        <v>72</v>
      </c>
      <c r="H11" s="296" t="s">
        <v>73</v>
      </c>
      <c r="I11" s="296" t="s">
        <v>16</v>
      </c>
      <c r="J11" s="296" t="s">
        <v>28</v>
      </c>
      <c r="K11" s="296" t="s">
        <v>14</v>
      </c>
      <c r="L11" s="296" t="s">
        <v>13</v>
      </c>
      <c r="M11" s="296" t="s">
        <v>158</v>
      </c>
      <c r="N11" s="296" t="s">
        <v>10</v>
      </c>
      <c r="O11" s="296" t="s">
        <v>9</v>
      </c>
      <c r="P11" s="296" t="s">
        <v>62</v>
      </c>
      <c r="R11" s="296" t="s">
        <v>59</v>
      </c>
      <c r="S11" s="296" t="s">
        <v>31</v>
      </c>
      <c r="T11" s="296" t="s">
        <v>72</v>
      </c>
      <c r="U11" s="296" t="s">
        <v>73</v>
      </c>
      <c r="V11" s="296" t="s">
        <v>16</v>
      </c>
      <c r="W11" s="296" t="s">
        <v>28</v>
      </c>
      <c r="X11" s="296" t="s">
        <v>14</v>
      </c>
      <c r="Y11" s="296" t="s">
        <v>13</v>
      </c>
      <c r="Z11" s="296" t="s">
        <v>158</v>
      </c>
      <c r="AA11" s="296" t="s">
        <v>10</v>
      </c>
      <c r="AB11" s="296" t="s">
        <v>9</v>
      </c>
      <c r="AC11" s="296" t="s">
        <v>62</v>
      </c>
    </row>
    <row r="12" spans="1:30" ht="15">
      <c r="E12" s="287" t="s">
        <v>156</v>
      </c>
      <c r="F12" s="288">
        <v>0.65941690039178025</v>
      </c>
      <c r="G12" s="288">
        <v>0.69620351326314256</v>
      </c>
      <c r="H12" s="288">
        <v>0.7376879415122396</v>
      </c>
      <c r="I12" s="288">
        <v>0.32651346780982121</v>
      </c>
      <c r="J12" s="288">
        <v>0.67889131584351736</v>
      </c>
      <c r="K12" s="288">
        <v>0.38588787104389072</v>
      </c>
      <c r="L12" s="288">
        <v>0.1931370156651151</v>
      </c>
      <c r="M12" s="288">
        <v>0.28070995477628574</v>
      </c>
      <c r="N12" s="288">
        <v>0.47824090436896666</v>
      </c>
      <c r="O12" s="288">
        <v>0.58423529861361789</v>
      </c>
      <c r="P12" s="288">
        <v>0.54097015705415896</v>
      </c>
      <c r="R12" s="287" t="s">
        <v>156</v>
      </c>
      <c r="S12" s="300">
        <f>F12*1000</f>
        <v>659.41690039178025</v>
      </c>
      <c r="T12" s="300">
        <f t="shared" ref="T12:AC27" si="0">G12*1000</f>
        <v>696.20351326314255</v>
      </c>
      <c r="U12" s="300">
        <f t="shared" si="0"/>
        <v>737.6879415122396</v>
      </c>
      <c r="V12" s="300">
        <f t="shared" si="0"/>
        <v>326.51346780982124</v>
      </c>
      <c r="W12" s="300">
        <f t="shared" si="0"/>
        <v>678.89131584351742</v>
      </c>
      <c r="X12" s="300">
        <f t="shared" si="0"/>
        <v>385.8878710438907</v>
      </c>
      <c r="Y12" s="300">
        <f t="shared" si="0"/>
        <v>193.13701566511509</v>
      </c>
      <c r="Z12" s="300">
        <f t="shared" si="0"/>
        <v>280.70995477628577</v>
      </c>
      <c r="AA12" s="300">
        <f t="shared" si="0"/>
        <v>478.24090436896665</v>
      </c>
      <c r="AB12" s="300">
        <f t="shared" si="0"/>
        <v>584.23529861361794</v>
      </c>
      <c r="AC12" s="300">
        <f t="shared" si="0"/>
        <v>540.97015705415902</v>
      </c>
      <c r="AD12" s="56"/>
    </row>
    <row r="13" spans="1:30">
      <c r="E13" s="289" t="s">
        <v>63</v>
      </c>
      <c r="F13" s="180">
        <v>1.295000876690049E-2</v>
      </c>
      <c r="G13" s="180">
        <v>6.3432094894281714E-3</v>
      </c>
      <c r="H13" s="180">
        <v>1.8371748234817836E-3</v>
      </c>
      <c r="I13" s="180">
        <v>2.3693660288737227E-2</v>
      </c>
      <c r="J13" s="180">
        <v>2.5368959643863747E-2</v>
      </c>
      <c r="K13" s="180">
        <v>2.6020733638277727E-2</v>
      </c>
      <c r="L13" s="180">
        <v>6.1360990306041337E-3</v>
      </c>
      <c r="M13" s="180">
        <v>7.4057661944861982E-3</v>
      </c>
      <c r="N13" s="180">
        <v>2.0106979948950467E-2</v>
      </c>
      <c r="O13" s="180">
        <v>5.7974875868832751E-2</v>
      </c>
      <c r="P13" s="180">
        <v>1.7991791043690086E-2</v>
      </c>
      <c r="R13" s="289" t="s">
        <v>63</v>
      </c>
      <c r="S13" s="56">
        <f t="shared" ref="S13:AC44" si="1">F13*1000</f>
        <v>12.95000876690049</v>
      </c>
      <c r="T13" s="56">
        <f t="shared" si="0"/>
        <v>6.3432094894281716</v>
      </c>
      <c r="U13" s="56">
        <f t="shared" si="0"/>
        <v>1.8371748234817837</v>
      </c>
      <c r="V13" s="56">
        <f t="shared" si="0"/>
        <v>23.693660288737227</v>
      </c>
      <c r="W13" s="56">
        <f t="shared" si="0"/>
        <v>25.368959643863747</v>
      </c>
      <c r="X13" s="56">
        <f t="shared" si="0"/>
        <v>26.020733638277726</v>
      </c>
      <c r="Y13" s="56">
        <f t="shared" si="0"/>
        <v>6.1360990306041341</v>
      </c>
      <c r="Z13" s="56">
        <f t="shared" si="0"/>
        <v>7.4057661944861986</v>
      </c>
      <c r="AA13" s="56">
        <f t="shared" si="0"/>
        <v>20.106979948950467</v>
      </c>
      <c r="AB13" s="56">
        <f t="shared" si="0"/>
        <v>57.974875868832754</v>
      </c>
      <c r="AC13" s="56">
        <f t="shared" si="0"/>
        <v>17.991791043690085</v>
      </c>
      <c r="AD13" s="56"/>
    </row>
    <row r="14" spans="1:30">
      <c r="E14" s="289" t="s">
        <v>150</v>
      </c>
      <c r="F14" s="180">
        <v>0.13217221509375407</v>
      </c>
      <c r="G14" s="180">
        <v>4.5600869929781469E-2</v>
      </c>
      <c r="H14" s="180">
        <v>0.21647398194826242</v>
      </c>
      <c r="I14" s="180">
        <v>0.10016948903946021</v>
      </c>
      <c r="J14" s="180">
        <v>0</v>
      </c>
      <c r="K14" s="180">
        <v>4.2786669684658045E-3</v>
      </c>
      <c r="L14" s="180">
        <v>1.1893650654710515E-2</v>
      </c>
      <c r="M14" s="180">
        <v>2.2851968670053294E-2</v>
      </c>
      <c r="N14" s="180">
        <v>7.7642299804371706E-2</v>
      </c>
      <c r="O14" s="180">
        <v>0.1021345827978523</v>
      </c>
      <c r="P14" s="180">
        <v>9.3527141256433716E-2</v>
      </c>
      <c r="R14" s="289" t="s">
        <v>150</v>
      </c>
      <c r="S14" s="56">
        <f t="shared" si="1"/>
        <v>132.17221509375406</v>
      </c>
      <c r="T14" s="56">
        <f t="shared" si="0"/>
        <v>45.600869929781467</v>
      </c>
      <c r="U14" s="56">
        <f t="shared" si="0"/>
        <v>216.47398194826243</v>
      </c>
      <c r="V14" s="56">
        <f t="shared" si="0"/>
        <v>100.16948903946022</v>
      </c>
      <c r="W14" s="56">
        <f t="shared" si="0"/>
        <v>0</v>
      </c>
      <c r="X14" s="56">
        <f t="shared" si="0"/>
        <v>4.2786669684658047</v>
      </c>
      <c r="Y14" s="56">
        <f t="shared" si="0"/>
        <v>11.893650654710516</v>
      </c>
      <c r="Z14" s="56">
        <f t="shared" si="0"/>
        <v>22.851968670053296</v>
      </c>
      <c r="AA14" s="56">
        <f t="shared" si="0"/>
        <v>77.642299804371703</v>
      </c>
      <c r="AB14" s="56">
        <f t="shared" si="0"/>
        <v>102.1345827978523</v>
      </c>
      <c r="AC14" s="56">
        <f t="shared" si="0"/>
        <v>93.527141256433723</v>
      </c>
      <c r="AD14" s="56"/>
    </row>
    <row r="15" spans="1:30">
      <c r="E15" s="289" t="s">
        <v>151</v>
      </c>
      <c r="F15" s="180">
        <v>0.51429467653112571</v>
      </c>
      <c r="G15" s="180">
        <v>0.65167641688249156</v>
      </c>
      <c r="H15" s="180">
        <v>0.52897820675467233</v>
      </c>
      <c r="I15" s="180">
        <v>0.20265031848162399</v>
      </c>
      <c r="J15" s="180">
        <v>0.65352235619965338</v>
      </c>
      <c r="K15" s="180">
        <v>0.35558847043714698</v>
      </c>
      <c r="L15" s="180">
        <v>0.185314256652059</v>
      </c>
      <c r="M15" s="180">
        <v>0.25859651496747532</v>
      </c>
      <c r="N15" s="180">
        <v>0.3908480981947885</v>
      </c>
      <c r="O15" s="180">
        <v>0.49147300755340834</v>
      </c>
      <c r="P15" s="180">
        <v>0.45625932185161061</v>
      </c>
      <c r="R15" s="289" t="s">
        <v>151</v>
      </c>
      <c r="S15" s="56">
        <f t="shared" si="1"/>
        <v>514.29467653112567</v>
      </c>
      <c r="T15" s="56">
        <f t="shared" si="0"/>
        <v>651.67641688249159</v>
      </c>
      <c r="U15" s="56">
        <f t="shared" si="0"/>
        <v>528.97820675467233</v>
      </c>
      <c r="V15" s="56">
        <f t="shared" si="0"/>
        <v>202.650318481624</v>
      </c>
      <c r="W15" s="56">
        <f t="shared" si="0"/>
        <v>653.52235619965336</v>
      </c>
      <c r="X15" s="56">
        <f t="shared" si="0"/>
        <v>355.58847043714695</v>
      </c>
      <c r="Y15" s="56">
        <f t="shared" si="0"/>
        <v>185.31425665205899</v>
      </c>
      <c r="Z15" s="56">
        <f t="shared" si="0"/>
        <v>258.59651496747534</v>
      </c>
      <c r="AA15" s="56">
        <f t="shared" si="0"/>
        <v>390.84809819478852</v>
      </c>
      <c r="AB15" s="56">
        <f t="shared" si="0"/>
        <v>491.47300755340831</v>
      </c>
      <c r="AC15" s="56">
        <f t="shared" si="0"/>
        <v>456.25932185161059</v>
      </c>
      <c r="AD15" s="56"/>
    </row>
    <row r="16" spans="1:30" ht="15">
      <c r="E16" s="287" t="s">
        <v>157</v>
      </c>
      <c r="F16" s="288">
        <v>0.12765925133477052</v>
      </c>
      <c r="G16" s="288">
        <v>6.5309155578996886E-2</v>
      </c>
      <c r="H16" s="288">
        <v>4.6273549556886333E-2</v>
      </c>
      <c r="I16" s="288">
        <v>1.622696364454097E-3</v>
      </c>
      <c r="J16" s="288">
        <v>8.3805709079707216E-3</v>
      </c>
      <c r="K16" s="288">
        <v>0.19562772750809382</v>
      </c>
      <c r="L16" s="288">
        <v>0.15612753873572163</v>
      </c>
      <c r="M16" s="288">
        <v>0.10360995576764161</v>
      </c>
      <c r="N16" s="288">
        <v>0.13808790429396847</v>
      </c>
      <c r="O16" s="288">
        <v>6.1347163419637425E-2</v>
      </c>
      <c r="P16" s="288">
        <v>8.7631177202309424E-2</v>
      </c>
      <c r="R16" s="287" t="s">
        <v>157</v>
      </c>
      <c r="S16" s="300">
        <f t="shared" si="1"/>
        <v>127.65925133477052</v>
      </c>
      <c r="T16" s="300">
        <f t="shared" si="0"/>
        <v>65.309155578996879</v>
      </c>
      <c r="U16" s="300">
        <f t="shared" si="0"/>
        <v>46.27354955688633</v>
      </c>
      <c r="V16" s="300">
        <f t="shared" si="0"/>
        <v>1.622696364454097</v>
      </c>
      <c r="W16" s="300">
        <f t="shared" si="0"/>
        <v>8.3805709079707214</v>
      </c>
      <c r="X16" s="300">
        <f t="shared" si="0"/>
        <v>195.62772750809381</v>
      </c>
      <c r="Y16" s="300">
        <f t="shared" si="0"/>
        <v>156.12753873572163</v>
      </c>
      <c r="Z16" s="300">
        <f t="shared" si="0"/>
        <v>103.60995576764161</v>
      </c>
      <c r="AA16" s="300">
        <f t="shared" si="0"/>
        <v>138.08790429396848</v>
      </c>
      <c r="AB16" s="300">
        <f t="shared" si="0"/>
        <v>61.347163419637425</v>
      </c>
      <c r="AC16" s="300">
        <f t="shared" si="0"/>
        <v>87.631177202309431</v>
      </c>
      <c r="AD16" s="56"/>
    </row>
    <row r="17" spans="5:30">
      <c r="E17" s="289" t="s">
        <v>41</v>
      </c>
      <c r="F17" s="180">
        <v>9.188474164043306E-2</v>
      </c>
      <c r="G17" s="180">
        <v>3.710323164675787E-2</v>
      </c>
      <c r="H17" s="180">
        <v>4.3177792529770533E-2</v>
      </c>
      <c r="I17" s="180">
        <v>5.7478280225147871E-4</v>
      </c>
      <c r="J17" s="180">
        <v>5.9633182563258403E-3</v>
      </c>
      <c r="K17" s="180">
        <v>0.10328680934104714</v>
      </c>
      <c r="L17" s="180">
        <v>7.0193128075969585E-2</v>
      </c>
      <c r="M17" s="180">
        <v>6.2759541341859709E-2</v>
      </c>
      <c r="N17" s="180">
        <v>6.8060180990104593E-2</v>
      </c>
      <c r="O17" s="180">
        <v>3.7939482169080378E-2</v>
      </c>
      <c r="P17" s="180">
        <v>5.3676914092040728E-2</v>
      </c>
      <c r="R17" s="289" t="s">
        <v>41</v>
      </c>
      <c r="S17" s="56">
        <f t="shared" si="1"/>
        <v>91.884741640433063</v>
      </c>
      <c r="T17" s="56">
        <f t="shared" si="0"/>
        <v>37.10323164675787</v>
      </c>
      <c r="U17" s="56">
        <f t="shared" si="0"/>
        <v>43.177792529770535</v>
      </c>
      <c r="V17" s="56">
        <f t="shared" si="0"/>
        <v>0.57478280225147871</v>
      </c>
      <c r="W17" s="56">
        <f t="shared" si="0"/>
        <v>5.9633182563258407</v>
      </c>
      <c r="X17" s="56">
        <f t="shared" si="0"/>
        <v>103.28680934104715</v>
      </c>
      <c r="Y17" s="56">
        <f t="shared" si="0"/>
        <v>70.193128075969582</v>
      </c>
      <c r="Z17" s="56">
        <f t="shared" si="0"/>
        <v>62.759541341859709</v>
      </c>
      <c r="AA17" s="56">
        <f t="shared" si="0"/>
        <v>68.060180990104598</v>
      </c>
      <c r="AB17" s="56">
        <f t="shared" si="0"/>
        <v>37.939482169080378</v>
      </c>
      <c r="AC17" s="56">
        <f t="shared" si="0"/>
        <v>53.676914092040725</v>
      </c>
      <c r="AD17" s="56"/>
    </row>
    <row r="18" spans="5:30">
      <c r="E18" s="289" t="s">
        <v>33</v>
      </c>
      <c r="F18" s="180">
        <v>1.1438507140636502E-4</v>
      </c>
      <c r="G18" s="180">
        <v>2.2540969405268128E-3</v>
      </c>
      <c r="H18" s="180">
        <v>0</v>
      </c>
      <c r="I18" s="180">
        <v>0</v>
      </c>
      <c r="J18" s="180">
        <v>0</v>
      </c>
      <c r="K18" s="180">
        <v>0</v>
      </c>
      <c r="L18" s="180">
        <v>6.5913750460129463E-4</v>
      </c>
      <c r="M18" s="180">
        <v>0</v>
      </c>
      <c r="N18" s="180">
        <v>2.2569826602235096E-4</v>
      </c>
      <c r="O18" s="180">
        <v>0</v>
      </c>
      <c r="P18" s="180">
        <v>4.9191317602702755E-4</v>
      </c>
      <c r="R18" s="289" t="s">
        <v>33</v>
      </c>
      <c r="S18" s="56">
        <f t="shared" si="1"/>
        <v>0.11438507140636502</v>
      </c>
      <c r="T18" s="56">
        <f t="shared" si="0"/>
        <v>2.254096940526813</v>
      </c>
      <c r="U18" s="56">
        <f t="shared" si="0"/>
        <v>0</v>
      </c>
      <c r="V18" s="56">
        <f t="shared" si="0"/>
        <v>0</v>
      </c>
      <c r="W18" s="56">
        <f t="shared" si="0"/>
        <v>0</v>
      </c>
      <c r="X18" s="56">
        <f t="shared" si="0"/>
        <v>0</v>
      </c>
      <c r="Y18" s="56">
        <f t="shared" si="0"/>
        <v>0.65913750460129461</v>
      </c>
      <c r="Z18" s="56">
        <f t="shared" si="0"/>
        <v>0</v>
      </c>
      <c r="AA18" s="56">
        <f t="shared" si="0"/>
        <v>0.22569826602235096</v>
      </c>
      <c r="AB18" s="56">
        <f t="shared" si="0"/>
        <v>0</v>
      </c>
      <c r="AC18" s="56">
        <f t="shared" si="0"/>
        <v>0.49191317602702755</v>
      </c>
      <c r="AD18" s="56"/>
    </row>
    <row r="19" spans="5:30">
      <c r="E19" s="289" t="s">
        <v>65</v>
      </c>
      <c r="F19" s="180">
        <v>3.4955456067069693E-2</v>
      </c>
      <c r="G19" s="180">
        <v>2.4906966536524178E-2</v>
      </c>
      <c r="H19" s="180">
        <v>3.2660612915872691E-4</v>
      </c>
      <c r="I19" s="180">
        <v>1.0479135622026184E-3</v>
      </c>
      <c r="J19" s="180">
        <v>2.3350585893014701E-3</v>
      </c>
      <c r="K19" s="180">
        <v>8.7382079692133699E-2</v>
      </c>
      <c r="L19" s="180">
        <v>8.3597815276839932E-2</v>
      </c>
      <c r="M19" s="180">
        <v>4.085041442578189E-2</v>
      </c>
      <c r="N19" s="180">
        <v>6.2007385964082701E-2</v>
      </c>
      <c r="O19" s="180">
        <v>2.2679577031480044E-2</v>
      </c>
      <c r="P19" s="180">
        <v>3.1529182806611288E-2</v>
      </c>
      <c r="R19" s="289" t="s">
        <v>65</v>
      </c>
      <c r="S19" s="56">
        <f t="shared" si="1"/>
        <v>34.95545606706969</v>
      </c>
      <c r="T19" s="56">
        <f t="shared" si="0"/>
        <v>24.906966536524177</v>
      </c>
      <c r="U19" s="56">
        <f t="shared" si="0"/>
        <v>0.32660612915872689</v>
      </c>
      <c r="V19" s="56">
        <f t="shared" si="0"/>
        <v>1.0479135622026183</v>
      </c>
      <c r="W19" s="56">
        <f t="shared" si="0"/>
        <v>2.3350585893014699</v>
      </c>
      <c r="X19" s="56">
        <f t="shared" si="0"/>
        <v>87.382079692133701</v>
      </c>
      <c r="Y19" s="56">
        <f t="shared" si="0"/>
        <v>83.597815276839938</v>
      </c>
      <c r="Z19" s="56">
        <f t="shared" si="0"/>
        <v>40.850414425781892</v>
      </c>
      <c r="AA19" s="56">
        <f t="shared" si="0"/>
        <v>62.007385964082701</v>
      </c>
      <c r="AB19" s="56">
        <f t="shared" si="0"/>
        <v>22.679577031480044</v>
      </c>
      <c r="AC19" s="56">
        <f t="shared" si="0"/>
        <v>31.529182806611288</v>
      </c>
      <c r="AD19" s="56"/>
    </row>
    <row r="20" spans="5:30">
      <c r="E20" s="289" t="s">
        <v>66</v>
      </c>
      <c r="F20" s="180">
        <v>7.0466855586139411E-4</v>
      </c>
      <c r="G20" s="180">
        <v>1.0448604551880273E-3</v>
      </c>
      <c r="H20" s="180">
        <v>2.7691508979570782E-3</v>
      </c>
      <c r="I20" s="180">
        <v>0</v>
      </c>
      <c r="J20" s="180">
        <v>8.2194062343411757E-5</v>
      </c>
      <c r="K20" s="180">
        <v>4.9588384749129919E-3</v>
      </c>
      <c r="L20" s="180">
        <v>1.6774578783108093E-3</v>
      </c>
      <c r="M20" s="180">
        <v>0</v>
      </c>
      <c r="N20" s="180">
        <v>7.7946390737588236E-3</v>
      </c>
      <c r="O20" s="180">
        <v>7.2810421907700538E-4</v>
      </c>
      <c r="P20" s="180">
        <v>1.9331671276303774E-3</v>
      </c>
      <c r="R20" s="289" t="s">
        <v>66</v>
      </c>
      <c r="S20" s="56">
        <f t="shared" si="1"/>
        <v>0.7046685558613941</v>
      </c>
      <c r="T20" s="56">
        <f t="shared" si="0"/>
        <v>1.0448604551880274</v>
      </c>
      <c r="U20" s="56">
        <f t="shared" si="0"/>
        <v>2.7691508979570783</v>
      </c>
      <c r="V20" s="56">
        <f t="shared" si="0"/>
        <v>0</v>
      </c>
      <c r="W20" s="56">
        <f t="shared" si="0"/>
        <v>8.2194062343411756E-2</v>
      </c>
      <c r="X20" s="56">
        <f t="shared" si="0"/>
        <v>4.9588384749129917</v>
      </c>
      <c r="Y20" s="56">
        <f t="shared" si="0"/>
        <v>1.6774578783108094</v>
      </c>
      <c r="Z20" s="56">
        <f t="shared" si="0"/>
        <v>0</v>
      </c>
      <c r="AA20" s="56">
        <f t="shared" si="0"/>
        <v>7.794639073758824</v>
      </c>
      <c r="AB20" s="56">
        <f t="shared" si="0"/>
        <v>0.7281042190770054</v>
      </c>
      <c r="AC20" s="56">
        <f t="shared" si="0"/>
        <v>1.9331671276303775</v>
      </c>
      <c r="AD20" s="56"/>
    </row>
    <row r="21" spans="5:30" ht="15">
      <c r="E21" s="287" t="s">
        <v>154</v>
      </c>
      <c r="F21" s="288">
        <v>7.6342940268858683E-4</v>
      </c>
      <c r="G21" s="288">
        <v>8.9064900277176284E-2</v>
      </c>
      <c r="H21" s="288">
        <v>3.0238655641493194E-3</v>
      </c>
      <c r="I21" s="288">
        <v>2.5994128967375793E-4</v>
      </c>
      <c r="J21" s="288">
        <v>0.12428458084770402</v>
      </c>
      <c r="K21" s="288">
        <v>0.10622755096359014</v>
      </c>
      <c r="L21" s="288">
        <v>1.0588107508366572E-2</v>
      </c>
      <c r="M21" s="288">
        <v>6.8116941138591392E-3</v>
      </c>
      <c r="N21" s="288">
        <v>6.5055099380761483E-2</v>
      </c>
      <c r="O21" s="288">
        <v>1.6631700402182836E-3</v>
      </c>
      <c r="P21" s="288">
        <v>3.0462002899130976E-2</v>
      </c>
      <c r="R21" s="287" t="s">
        <v>154</v>
      </c>
      <c r="S21" s="300">
        <f t="shared" si="1"/>
        <v>0.76342940268858683</v>
      </c>
      <c r="T21" s="300">
        <f t="shared" si="0"/>
        <v>89.064900277176278</v>
      </c>
      <c r="U21" s="300">
        <f t="shared" si="0"/>
        <v>3.0238655641493195</v>
      </c>
      <c r="V21" s="300">
        <f t="shared" si="0"/>
        <v>0.25994128967375796</v>
      </c>
      <c r="W21" s="300">
        <f t="shared" si="0"/>
        <v>124.28458084770402</v>
      </c>
      <c r="X21" s="300">
        <f t="shared" si="0"/>
        <v>106.22755096359015</v>
      </c>
      <c r="Y21" s="300">
        <f t="shared" si="0"/>
        <v>10.588107508366573</v>
      </c>
      <c r="Z21" s="300">
        <f t="shared" si="0"/>
        <v>6.8116941138591391</v>
      </c>
      <c r="AA21" s="300">
        <f t="shared" si="0"/>
        <v>65.055099380761476</v>
      </c>
      <c r="AB21" s="300">
        <f t="shared" si="0"/>
        <v>1.6631700402182836</v>
      </c>
      <c r="AC21" s="300">
        <f t="shared" si="0"/>
        <v>30.462002899130976</v>
      </c>
      <c r="AD21" s="56"/>
    </row>
    <row r="22" spans="5:30">
      <c r="E22" s="289" t="s">
        <v>41</v>
      </c>
      <c r="F22" s="180">
        <v>7.4773027726241872E-5</v>
      </c>
      <c r="G22" s="180">
        <v>2.476968286228623E-2</v>
      </c>
      <c r="H22" s="180">
        <v>0</v>
      </c>
      <c r="I22" s="180">
        <v>2.5994128967375793E-4</v>
      </c>
      <c r="J22" s="180">
        <v>0</v>
      </c>
      <c r="K22" s="180">
        <v>2.9660461964259923E-4</v>
      </c>
      <c r="L22" s="180">
        <v>0</v>
      </c>
      <c r="M22" s="180">
        <v>2.4846755331075663E-3</v>
      </c>
      <c r="N22" s="180">
        <v>7.6618895469586163E-3</v>
      </c>
      <c r="O22" s="180">
        <v>0</v>
      </c>
      <c r="P22" s="180">
        <v>5.5779144508741278E-3</v>
      </c>
      <c r="R22" s="289" t="s">
        <v>41</v>
      </c>
      <c r="S22" s="56">
        <f t="shared" si="1"/>
        <v>7.4773027726241878E-2</v>
      </c>
      <c r="T22" s="56">
        <f t="shared" si="0"/>
        <v>24.769682862286231</v>
      </c>
      <c r="U22" s="56">
        <f t="shared" si="0"/>
        <v>0</v>
      </c>
      <c r="V22" s="56">
        <f t="shared" si="0"/>
        <v>0.25994128967375796</v>
      </c>
      <c r="W22" s="56">
        <f t="shared" si="0"/>
        <v>0</v>
      </c>
      <c r="X22" s="56">
        <f t="shared" si="0"/>
        <v>0.29660461964259921</v>
      </c>
      <c r="Y22" s="56">
        <f t="shared" si="0"/>
        <v>0</v>
      </c>
      <c r="Z22" s="56">
        <f t="shared" si="0"/>
        <v>2.4846755331075663</v>
      </c>
      <c r="AA22" s="56">
        <f t="shared" si="0"/>
        <v>7.6618895469586166</v>
      </c>
      <c r="AB22" s="56">
        <f t="shared" si="0"/>
        <v>0</v>
      </c>
      <c r="AC22" s="56">
        <f t="shared" si="0"/>
        <v>5.5779144508741281</v>
      </c>
      <c r="AD22" s="56"/>
    </row>
    <row r="23" spans="5:30">
      <c r="E23" s="289" t="s">
        <v>63</v>
      </c>
      <c r="F23" s="180">
        <v>0</v>
      </c>
      <c r="G23" s="180">
        <v>3.2329892875127464E-4</v>
      </c>
      <c r="H23" s="180">
        <v>0</v>
      </c>
      <c r="I23" s="180">
        <v>0</v>
      </c>
      <c r="J23" s="180">
        <v>0</v>
      </c>
      <c r="K23" s="180">
        <v>2.893790262497769E-3</v>
      </c>
      <c r="L23" s="180">
        <v>0</v>
      </c>
      <c r="M23" s="180">
        <v>0</v>
      </c>
      <c r="N23" s="180">
        <v>0</v>
      </c>
      <c r="O23" s="180">
        <v>0</v>
      </c>
      <c r="P23" s="180">
        <v>9.6434081407794289E-5</v>
      </c>
      <c r="R23" s="289" t="s">
        <v>63</v>
      </c>
      <c r="S23" s="56">
        <f t="shared" si="1"/>
        <v>0</v>
      </c>
      <c r="T23" s="56">
        <f t="shared" si="0"/>
        <v>0.32329892875127464</v>
      </c>
      <c r="U23" s="56">
        <f t="shared" si="0"/>
        <v>0</v>
      </c>
      <c r="V23" s="56">
        <f t="shared" si="0"/>
        <v>0</v>
      </c>
      <c r="W23" s="56">
        <f t="shared" si="0"/>
        <v>0</v>
      </c>
      <c r="X23" s="56">
        <f t="shared" si="0"/>
        <v>2.8937902624977689</v>
      </c>
      <c r="Y23" s="56">
        <f t="shared" si="0"/>
        <v>0</v>
      </c>
      <c r="Z23" s="56">
        <f t="shared" si="0"/>
        <v>0</v>
      </c>
      <c r="AA23" s="56">
        <f t="shared" si="0"/>
        <v>0</v>
      </c>
      <c r="AB23" s="56">
        <f t="shared" si="0"/>
        <v>0</v>
      </c>
      <c r="AC23" s="56">
        <f t="shared" si="0"/>
        <v>9.6434081407794289E-2</v>
      </c>
      <c r="AD23" s="56"/>
    </row>
    <row r="24" spans="5:30">
      <c r="E24" s="289" t="s">
        <v>150</v>
      </c>
      <c r="F24" s="180">
        <v>0</v>
      </c>
      <c r="G24" s="180">
        <v>8.1634696638833437E-3</v>
      </c>
      <c r="H24" s="180">
        <v>0</v>
      </c>
      <c r="I24" s="180">
        <v>0</v>
      </c>
      <c r="J24" s="180">
        <v>0</v>
      </c>
      <c r="K24" s="180">
        <v>0</v>
      </c>
      <c r="L24" s="180">
        <v>0</v>
      </c>
      <c r="M24" s="180">
        <v>0</v>
      </c>
      <c r="N24" s="180">
        <v>0</v>
      </c>
      <c r="O24" s="180">
        <v>0</v>
      </c>
      <c r="P24" s="180">
        <v>1.4381508033258028E-3</v>
      </c>
      <c r="R24" s="289" t="s">
        <v>150</v>
      </c>
      <c r="S24" s="56">
        <f t="shared" si="1"/>
        <v>0</v>
      </c>
      <c r="T24" s="56">
        <f t="shared" si="0"/>
        <v>8.1634696638833439</v>
      </c>
      <c r="U24" s="56">
        <f t="shared" si="0"/>
        <v>0</v>
      </c>
      <c r="V24" s="56">
        <f t="shared" si="0"/>
        <v>0</v>
      </c>
      <c r="W24" s="56">
        <f t="shared" si="0"/>
        <v>0</v>
      </c>
      <c r="X24" s="56">
        <f t="shared" si="0"/>
        <v>0</v>
      </c>
      <c r="Y24" s="56">
        <f t="shared" si="0"/>
        <v>0</v>
      </c>
      <c r="Z24" s="56">
        <f t="shared" si="0"/>
        <v>0</v>
      </c>
      <c r="AA24" s="56">
        <f t="shared" si="0"/>
        <v>0</v>
      </c>
      <c r="AB24" s="56">
        <f t="shared" si="0"/>
        <v>0</v>
      </c>
      <c r="AC24" s="56">
        <f t="shared" si="0"/>
        <v>1.4381508033258028</v>
      </c>
      <c r="AD24" s="56"/>
    </row>
    <row r="25" spans="5:30">
      <c r="E25" s="289" t="s">
        <v>151</v>
      </c>
      <c r="F25" s="180">
        <v>0</v>
      </c>
      <c r="G25" s="180">
        <v>2.4479841151331522E-2</v>
      </c>
      <c r="H25" s="180">
        <v>0</v>
      </c>
      <c r="I25" s="180">
        <v>0</v>
      </c>
      <c r="J25" s="180">
        <v>7.1304420081417803E-4</v>
      </c>
      <c r="K25" s="180">
        <v>0</v>
      </c>
      <c r="L25" s="180">
        <v>0</v>
      </c>
      <c r="M25" s="180">
        <v>0</v>
      </c>
      <c r="N25" s="180">
        <v>0</v>
      </c>
      <c r="O25" s="180">
        <v>0</v>
      </c>
      <c r="P25" s="180">
        <v>4.3284291852999889E-3</v>
      </c>
      <c r="R25" s="289" t="s">
        <v>151</v>
      </c>
      <c r="S25" s="56">
        <f t="shared" si="1"/>
        <v>0</v>
      </c>
      <c r="T25" s="56">
        <f t="shared" si="0"/>
        <v>24.479841151331524</v>
      </c>
      <c r="U25" s="56">
        <f t="shared" si="0"/>
        <v>0</v>
      </c>
      <c r="V25" s="56">
        <f t="shared" si="0"/>
        <v>0</v>
      </c>
      <c r="W25" s="56">
        <f t="shared" si="0"/>
        <v>0.71304420081417808</v>
      </c>
      <c r="X25" s="56">
        <f t="shared" si="0"/>
        <v>0</v>
      </c>
      <c r="Y25" s="56">
        <f t="shared" si="0"/>
        <v>0</v>
      </c>
      <c r="Z25" s="56">
        <f t="shared" si="0"/>
        <v>0</v>
      </c>
      <c r="AA25" s="56">
        <f t="shared" si="0"/>
        <v>0</v>
      </c>
      <c r="AB25" s="56">
        <f t="shared" si="0"/>
        <v>0</v>
      </c>
      <c r="AC25" s="56">
        <f t="shared" si="0"/>
        <v>4.3284291852999885</v>
      </c>
      <c r="AD25" s="56"/>
    </row>
    <row r="26" spans="5:30">
      <c r="E26" s="289" t="s">
        <v>33</v>
      </c>
      <c r="F26" s="180">
        <v>0</v>
      </c>
      <c r="G26" s="180">
        <v>4.0463379341905474E-4</v>
      </c>
      <c r="H26" s="180">
        <v>0</v>
      </c>
      <c r="I26" s="180">
        <v>0</v>
      </c>
      <c r="J26" s="180">
        <v>2.5276315005134383E-2</v>
      </c>
      <c r="K26" s="180">
        <v>0</v>
      </c>
      <c r="L26" s="180">
        <v>0</v>
      </c>
      <c r="M26" s="180">
        <v>0</v>
      </c>
      <c r="N26" s="180">
        <v>3.4085080838953427E-3</v>
      </c>
      <c r="O26" s="180">
        <v>0</v>
      </c>
      <c r="P26" s="180">
        <v>1.1023464758533948E-3</v>
      </c>
      <c r="R26" s="289" t="s">
        <v>33</v>
      </c>
      <c r="S26" s="56">
        <f t="shared" si="1"/>
        <v>0</v>
      </c>
      <c r="T26" s="56">
        <f t="shared" si="0"/>
        <v>0.40463379341905475</v>
      </c>
      <c r="U26" s="56">
        <f t="shared" si="0"/>
        <v>0</v>
      </c>
      <c r="V26" s="56">
        <f t="shared" si="0"/>
        <v>0</v>
      </c>
      <c r="W26" s="56">
        <f t="shared" si="0"/>
        <v>25.276315005134382</v>
      </c>
      <c r="X26" s="56">
        <f t="shared" si="0"/>
        <v>0</v>
      </c>
      <c r="Y26" s="56">
        <f t="shared" si="0"/>
        <v>0</v>
      </c>
      <c r="Z26" s="56">
        <f t="shared" si="0"/>
        <v>0</v>
      </c>
      <c r="AA26" s="56">
        <f t="shared" si="0"/>
        <v>3.4085080838953425</v>
      </c>
      <c r="AB26" s="56">
        <f t="shared" si="0"/>
        <v>0</v>
      </c>
      <c r="AC26" s="56">
        <f t="shared" si="0"/>
        <v>1.1023464758533947</v>
      </c>
      <c r="AD26" s="56"/>
    </row>
    <row r="27" spans="5:30">
      <c r="E27" s="289" t="s">
        <v>65</v>
      </c>
      <c r="F27" s="180">
        <v>6.3633748064046282E-4</v>
      </c>
      <c r="G27" s="180">
        <v>2.3751498007103102E-2</v>
      </c>
      <c r="H27" s="180">
        <v>3.0238655641493194E-3</v>
      </c>
      <c r="I27" s="180">
        <v>0</v>
      </c>
      <c r="J27" s="180">
        <v>9.7353820168111449E-2</v>
      </c>
      <c r="K27" s="180">
        <v>8.5695785349404308E-2</v>
      </c>
      <c r="L27" s="180">
        <v>1.0564846854501578E-2</v>
      </c>
      <c r="M27" s="180">
        <v>4.3270185807515729E-3</v>
      </c>
      <c r="N27" s="180">
        <v>4.627945405546241E-2</v>
      </c>
      <c r="O27" s="180">
        <v>1.6631700402182836E-3</v>
      </c>
      <c r="P27" s="180">
        <v>1.5322949891349469E-2</v>
      </c>
      <c r="R27" s="289" t="s">
        <v>65</v>
      </c>
      <c r="S27" s="56">
        <f t="shared" si="1"/>
        <v>0.6363374806404628</v>
      </c>
      <c r="T27" s="56">
        <f t="shared" si="0"/>
        <v>23.751498007103102</v>
      </c>
      <c r="U27" s="56">
        <f t="shared" si="0"/>
        <v>3.0238655641493195</v>
      </c>
      <c r="V27" s="56">
        <f t="shared" si="0"/>
        <v>0</v>
      </c>
      <c r="W27" s="56">
        <f t="shared" si="0"/>
        <v>97.353820168111454</v>
      </c>
      <c r="X27" s="56">
        <f t="shared" si="0"/>
        <v>85.695785349404304</v>
      </c>
      <c r="Y27" s="56">
        <f t="shared" si="0"/>
        <v>10.564846854501578</v>
      </c>
      <c r="Z27" s="56">
        <f t="shared" si="0"/>
        <v>4.3270185807515729</v>
      </c>
      <c r="AA27" s="56">
        <f t="shared" si="0"/>
        <v>46.279454055462409</v>
      </c>
      <c r="AB27" s="56">
        <f t="shared" si="0"/>
        <v>1.6631700402182836</v>
      </c>
      <c r="AC27" s="56">
        <f t="shared" si="0"/>
        <v>15.322949891349468</v>
      </c>
      <c r="AD27" s="56"/>
    </row>
    <row r="28" spans="5:30">
      <c r="E28" s="289" t="s">
        <v>66</v>
      </c>
      <c r="F28" s="180">
        <v>5.2318894321882212E-5</v>
      </c>
      <c r="G28" s="180">
        <v>6.8147505215268092E-3</v>
      </c>
      <c r="H28" s="180">
        <v>0</v>
      </c>
      <c r="I28" s="180">
        <v>0</v>
      </c>
      <c r="J28" s="180">
        <v>9.4140147364403222E-4</v>
      </c>
      <c r="K28" s="180">
        <v>1.522457684440137E-3</v>
      </c>
      <c r="L28" s="180">
        <v>2.3260653864993746E-5</v>
      </c>
      <c r="M28" s="180">
        <v>0</v>
      </c>
      <c r="N28" s="180">
        <v>7.7052476944451057E-3</v>
      </c>
      <c r="O28" s="180">
        <v>0</v>
      </c>
      <c r="P28" s="180">
        <v>2.3169468286585583E-3</v>
      </c>
      <c r="R28" s="289" t="s">
        <v>66</v>
      </c>
      <c r="S28" s="56">
        <f t="shared" si="1"/>
        <v>5.2318894321882213E-2</v>
      </c>
      <c r="T28" s="56">
        <f t="shared" si="1"/>
        <v>6.8147505215268094</v>
      </c>
      <c r="U28" s="56">
        <f t="shared" si="1"/>
        <v>0</v>
      </c>
      <c r="V28" s="56">
        <f t="shared" si="1"/>
        <v>0</v>
      </c>
      <c r="W28" s="56">
        <f t="shared" si="1"/>
        <v>0.94140147364403226</v>
      </c>
      <c r="X28" s="56">
        <f t="shared" si="1"/>
        <v>1.522457684440137</v>
      </c>
      <c r="Y28" s="56">
        <f t="shared" si="1"/>
        <v>2.3260653864993746E-2</v>
      </c>
      <c r="Z28" s="56">
        <f t="shared" si="1"/>
        <v>0</v>
      </c>
      <c r="AA28" s="56">
        <f t="shared" si="1"/>
        <v>7.7052476944451058</v>
      </c>
      <c r="AB28" s="56">
        <f t="shared" si="1"/>
        <v>0</v>
      </c>
      <c r="AC28" s="56">
        <f t="shared" si="1"/>
        <v>2.3169468286585584</v>
      </c>
      <c r="AD28" s="56"/>
    </row>
    <row r="29" spans="5:30">
      <c r="E29" s="289" t="s">
        <v>152</v>
      </c>
      <c r="F29" s="180">
        <v>0</v>
      </c>
      <c r="G29" s="180">
        <v>3.5772534887495224E-4</v>
      </c>
      <c r="H29" s="180">
        <v>0</v>
      </c>
      <c r="I29" s="180">
        <v>0</v>
      </c>
      <c r="J29" s="180">
        <v>0</v>
      </c>
      <c r="K29" s="180">
        <v>1.5818913047605333E-2</v>
      </c>
      <c r="L29" s="180">
        <v>0</v>
      </c>
      <c r="M29" s="180">
        <v>0</v>
      </c>
      <c r="N29" s="180">
        <v>0</v>
      </c>
      <c r="O29" s="180">
        <v>0</v>
      </c>
      <c r="P29" s="180">
        <v>2.78831182361835E-4</v>
      </c>
      <c r="R29" s="289" t="s">
        <v>152</v>
      </c>
      <c r="S29" s="56">
        <f t="shared" si="1"/>
        <v>0</v>
      </c>
      <c r="T29" s="56">
        <f t="shared" si="1"/>
        <v>0.35772534887495222</v>
      </c>
      <c r="U29" s="56">
        <f t="shared" si="1"/>
        <v>0</v>
      </c>
      <c r="V29" s="56">
        <f t="shared" si="1"/>
        <v>0</v>
      </c>
      <c r="W29" s="56">
        <f t="shared" si="1"/>
        <v>0</v>
      </c>
      <c r="X29" s="56">
        <f t="shared" si="1"/>
        <v>15.818913047605333</v>
      </c>
      <c r="Y29" s="56">
        <f t="shared" si="1"/>
        <v>0</v>
      </c>
      <c r="Z29" s="56">
        <f t="shared" si="1"/>
        <v>0</v>
      </c>
      <c r="AA29" s="56">
        <f t="shared" si="1"/>
        <v>0</v>
      </c>
      <c r="AB29" s="56">
        <f t="shared" si="1"/>
        <v>0</v>
      </c>
      <c r="AC29" s="56">
        <f t="shared" si="1"/>
        <v>0.27883118236183502</v>
      </c>
      <c r="AD29" s="56"/>
    </row>
    <row r="30" spans="5:30">
      <c r="E30" s="289" t="s">
        <v>153</v>
      </c>
      <c r="F30" s="180">
        <v>0</v>
      </c>
      <c r="G30" s="180">
        <v>0</v>
      </c>
      <c r="H30" s="180">
        <v>0</v>
      </c>
      <c r="I30" s="180">
        <v>0</v>
      </c>
      <c r="J30" s="180">
        <v>0</v>
      </c>
      <c r="K30" s="180">
        <v>0</v>
      </c>
      <c r="L30" s="180">
        <v>0</v>
      </c>
      <c r="M30" s="180">
        <v>0</v>
      </c>
      <c r="N30" s="180">
        <v>0</v>
      </c>
      <c r="O30" s="180">
        <v>0</v>
      </c>
      <c r="P30" s="180">
        <v>0</v>
      </c>
      <c r="R30" s="289" t="s">
        <v>153</v>
      </c>
      <c r="S30" s="56">
        <f t="shared" si="1"/>
        <v>0</v>
      </c>
      <c r="T30" s="56">
        <f t="shared" si="1"/>
        <v>0</v>
      </c>
      <c r="U30" s="56">
        <f t="shared" si="1"/>
        <v>0</v>
      </c>
      <c r="V30" s="56">
        <f t="shared" si="1"/>
        <v>0</v>
      </c>
      <c r="W30" s="56">
        <f t="shared" si="1"/>
        <v>0</v>
      </c>
      <c r="X30" s="56">
        <f t="shared" si="1"/>
        <v>0</v>
      </c>
      <c r="Y30" s="56">
        <f t="shared" si="1"/>
        <v>0</v>
      </c>
      <c r="Z30" s="56">
        <f t="shared" si="1"/>
        <v>0</v>
      </c>
      <c r="AA30" s="56">
        <f t="shared" si="1"/>
        <v>0</v>
      </c>
      <c r="AB30" s="56">
        <f t="shared" si="1"/>
        <v>0</v>
      </c>
      <c r="AC30" s="56">
        <f t="shared" si="1"/>
        <v>0</v>
      </c>
      <c r="AD30" s="56"/>
    </row>
    <row r="31" spans="5:30" ht="15">
      <c r="E31" s="287" t="s">
        <v>155</v>
      </c>
      <c r="F31" s="288">
        <v>7.7339978413581987E-3</v>
      </c>
      <c r="G31" s="288">
        <v>0.29953744460924497</v>
      </c>
      <c r="H31" s="288">
        <v>0.12045445493910896</v>
      </c>
      <c r="I31" s="288">
        <v>0.23328062220696946</v>
      </c>
      <c r="J31" s="288">
        <v>0.12379075782205014</v>
      </c>
      <c r="K31" s="288">
        <v>0</v>
      </c>
      <c r="L31" s="288">
        <v>1.317791803589066E-3</v>
      </c>
      <c r="M31" s="288">
        <v>1.8290842298498808E-3</v>
      </c>
      <c r="N31" s="288">
        <v>0.15877239805980087</v>
      </c>
      <c r="O31" s="288">
        <v>8.6426724445408137E-2</v>
      </c>
      <c r="P31" s="288">
        <v>0.12549656803653894</v>
      </c>
      <c r="R31" s="287" t="s">
        <v>155</v>
      </c>
      <c r="S31" s="300">
        <f t="shared" si="1"/>
        <v>7.7339978413581987</v>
      </c>
      <c r="T31" s="300">
        <f t="shared" si="1"/>
        <v>299.53744460924497</v>
      </c>
      <c r="U31" s="300">
        <f t="shared" si="1"/>
        <v>120.45445493910896</v>
      </c>
      <c r="V31" s="300">
        <f t="shared" si="1"/>
        <v>233.28062220696947</v>
      </c>
      <c r="W31" s="300">
        <f t="shared" si="1"/>
        <v>123.79075782205014</v>
      </c>
      <c r="X31" s="300">
        <f t="shared" si="1"/>
        <v>0</v>
      </c>
      <c r="Y31" s="300">
        <f t="shared" si="1"/>
        <v>1.3177918035890659</v>
      </c>
      <c r="Z31" s="300">
        <f t="shared" si="1"/>
        <v>1.8290842298498808</v>
      </c>
      <c r="AA31" s="300">
        <f t="shared" si="1"/>
        <v>158.77239805980088</v>
      </c>
      <c r="AB31" s="300">
        <f t="shared" si="1"/>
        <v>86.426724445408141</v>
      </c>
      <c r="AC31" s="300">
        <f t="shared" si="1"/>
        <v>125.49656803653895</v>
      </c>
      <c r="AD31" s="56"/>
    </row>
    <row r="32" spans="5:30">
      <c r="E32" s="289" t="s">
        <v>41</v>
      </c>
      <c r="F32" s="180">
        <v>0</v>
      </c>
      <c r="G32" s="180">
        <v>0</v>
      </c>
      <c r="H32" s="180">
        <v>6.3208616780941335E-2</v>
      </c>
      <c r="I32" s="180">
        <v>0</v>
      </c>
      <c r="J32" s="180">
        <v>0</v>
      </c>
      <c r="K32" s="180">
        <v>0</v>
      </c>
      <c r="L32" s="180">
        <v>1.317791803589066E-3</v>
      </c>
      <c r="M32" s="180">
        <v>1.8290842298498808E-3</v>
      </c>
      <c r="N32" s="180">
        <v>2.7415032245839663E-2</v>
      </c>
      <c r="O32" s="180">
        <v>8.218000027222035E-3</v>
      </c>
      <c r="P32" s="180">
        <v>1.0929312664817266E-2</v>
      </c>
      <c r="R32" s="289" t="s">
        <v>41</v>
      </c>
      <c r="S32" s="56">
        <f t="shared" si="1"/>
        <v>0</v>
      </c>
      <c r="T32" s="56">
        <f t="shared" si="1"/>
        <v>0</v>
      </c>
      <c r="U32" s="56">
        <f t="shared" si="1"/>
        <v>63.208616780941334</v>
      </c>
      <c r="V32" s="56">
        <f t="shared" si="1"/>
        <v>0</v>
      </c>
      <c r="W32" s="56">
        <f t="shared" si="1"/>
        <v>0</v>
      </c>
      <c r="X32" s="56">
        <f t="shared" si="1"/>
        <v>0</v>
      </c>
      <c r="Y32" s="56">
        <f t="shared" si="1"/>
        <v>1.3177918035890659</v>
      </c>
      <c r="Z32" s="56">
        <f t="shared" si="1"/>
        <v>1.8290842298498808</v>
      </c>
      <c r="AA32" s="56">
        <f t="shared" si="1"/>
        <v>27.415032245839665</v>
      </c>
      <c r="AB32" s="56">
        <f t="shared" si="1"/>
        <v>8.2180000272220344</v>
      </c>
      <c r="AC32" s="56">
        <f t="shared" si="1"/>
        <v>10.929312664817266</v>
      </c>
      <c r="AD32" s="56"/>
    </row>
    <row r="33" spans="5:30">
      <c r="E33" s="289" t="s">
        <v>150</v>
      </c>
      <c r="F33" s="180">
        <v>0</v>
      </c>
      <c r="G33" s="180">
        <v>0.15627703972159884</v>
      </c>
      <c r="H33" s="180">
        <v>1.7915340458673223E-2</v>
      </c>
      <c r="I33" s="180">
        <v>9.8293689701791517E-2</v>
      </c>
      <c r="J33" s="180">
        <v>1.0808568346853065E-2</v>
      </c>
      <c r="K33" s="180">
        <v>0</v>
      </c>
      <c r="L33" s="180">
        <v>0</v>
      </c>
      <c r="M33" s="180">
        <v>0</v>
      </c>
      <c r="N33" s="180">
        <v>3.1074019546053138E-2</v>
      </c>
      <c r="O33" s="180">
        <v>4.4903092748121098E-2</v>
      </c>
      <c r="P33" s="180">
        <v>4.941256486805063E-2</v>
      </c>
      <c r="R33" s="289" t="s">
        <v>150</v>
      </c>
      <c r="S33" s="56">
        <f t="shared" si="1"/>
        <v>0</v>
      </c>
      <c r="T33" s="56">
        <f t="shared" si="1"/>
        <v>156.27703972159884</v>
      </c>
      <c r="U33" s="56">
        <f t="shared" si="1"/>
        <v>17.915340458673224</v>
      </c>
      <c r="V33" s="56">
        <f t="shared" si="1"/>
        <v>98.293689701791521</v>
      </c>
      <c r="W33" s="56">
        <f t="shared" si="1"/>
        <v>10.808568346853065</v>
      </c>
      <c r="X33" s="56">
        <f t="shared" si="1"/>
        <v>0</v>
      </c>
      <c r="Y33" s="56">
        <f t="shared" si="1"/>
        <v>0</v>
      </c>
      <c r="Z33" s="56">
        <f t="shared" si="1"/>
        <v>0</v>
      </c>
      <c r="AA33" s="56">
        <f t="shared" si="1"/>
        <v>31.074019546053137</v>
      </c>
      <c r="AB33" s="56">
        <f t="shared" si="1"/>
        <v>44.903092748121097</v>
      </c>
      <c r="AC33" s="56">
        <f t="shared" si="1"/>
        <v>49.41256486805063</v>
      </c>
      <c r="AD33" s="56"/>
    </row>
    <row r="34" spans="5:30">
      <c r="E34" s="289" t="s">
        <v>151</v>
      </c>
      <c r="F34" s="180">
        <v>0</v>
      </c>
      <c r="G34" s="180">
        <v>6.3544115943491297E-2</v>
      </c>
      <c r="H34" s="180">
        <v>1.3997852273568786E-2</v>
      </c>
      <c r="I34" s="180">
        <v>6.837821044460364E-2</v>
      </c>
      <c r="J34" s="180">
        <v>0.11298218947519707</v>
      </c>
      <c r="K34" s="180">
        <v>0</v>
      </c>
      <c r="L34" s="180">
        <v>0</v>
      </c>
      <c r="M34" s="180">
        <v>0</v>
      </c>
      <c r="N34" s="180">
        <v>2.8016564978446622E-3</v>
      </c>
      <c r="O34" s="180">
        <v>1.2640932590653593E-2</v>
      </c>
      <c r="P34" s="180">
        <v>2.408863537479752E-2</v>
      </c>
      <c r="R34" s="289" t="s">
        <v>151</v>
      </c>
      <c r="S34" s="56">
        <f t="shared" si="1"/>
        <v>0</v>
      </c>
      <c r="T34" s="56">
        <f t="shared" si="1"/>
        <v>63.544115943491299</v>
      </c>
      <c r="U34" s="56">
        <f t="shared" si="1"/>
        <v>13.997852273568785</v>
      </c>
      <c r="V34" s="56">
        <f t="shared" si="1"/>
        <v>68.378210444603639</v>
      </c>
      <c r="W34" s="56">
        <f t="shared" si="1"/>
        <v>112.98218947519707</v>
      </c>
      <c r="X34" s="56">
        <f t="shared" si="1"/>
        <v>0</v>
      </c>
      <c r="Y34" s="56">
        <f t="shared" si="1"/>
        <v>0</v>
      </c>
      <c r="Z34" s="56">
        <f t="shared" si="1"/>
        <v>0</v>
      </c>
      <c r="AA34" s="56">
        <f t="shared" si="1"/>
        <v>2.8016564978446623</v>
      </c>
      <c r="AB34" s="56">
        <f t="shared" si="1"/>
        <v>12.640932590653593</v>
      </c>
      <c r="AC34" s="56">
        <f t="shared" si="1"/>
        <v>24.088635374797519</v>
      </c>
      <c r="AD34" s="56"/>
    </row>
    <row r="35" spans="5:30">
      <c r="E35" s="289" t="s">
        <v>33</v>
      </c>
      <c r="F35" s="180">
        <v>7.7040254677556456E-3</v>
      </c>
      <c r="G35" s="180">
        <v>7.9716288944154792E-2</v>
      </c>
      <c r="H35" s="180">
        <v>2.5332645425925619E-2</v>
      </c>
      <c r="I35" s="180">
        <v>6.6608722060574319E-2</v>
      </c>
      <c r="J35" s="180">
        <v>0</v>
      </c>
      <c r="K35" s="180">
        <v>0</v>
      </c>
      <c r="L35" s="180">
        <v>0</v>
      </c>
      <c r="M35" s="180">
        <v>0</v>
      </c>
      <c r="N35" s="180">
        <v>9.5303527346950412E-2</v>
      </c>
      <c r="O35" s="180">
        <v>2.0664699079411406E-2</v>
      </c>
      <c r="P35" s="180">
        <v>4.0759209482898219E-2</v>
      </c>
      <c r="R35" s="289" t="s">
        <v>33</v>
      </c>
      <c r="S35" s="56">
        <f t="shared" si="1"/>
        <v>7.7040254677556455</v>
      </c>
      <c r="T35" s="56">
        <f t="shared" si="1"/>
        <v>79.716288944154797</v>
      </c>
      <c r="U35" s="56">
        <f t="shared" si="1"/>
        <v>25.33264542592562</v>
      </c>
      <c r="V35" s="56">
        <f t="shared" si="1"/>
        <v>66.608722060574323</v>
      </c>
      <c r="W35" s="56">
        <f t="shared" si="1"/>
        <v>0</v>
      </c>
      <c r="X35" s="56">
        <f t="shared" si="1"/>
        <v>0</v>
      </c>
      <c r="Y35" s="56">
        <f t="shared" si="1"/>
        <v>0</v>
      </c>
      <c r="Z35" s="56">
        <f t="shared" si="1"/>
        <v>0</v>
      </c>
      <c r="AA35" s="56">
        <f t="shared" si="1"/>
        <v>95.303527346950418</v>
      </c>
      <c r="AB35" s="56">
        <f t="shared" si="1"/>
        <v>20.664699079411406</v>
      </c>
      <c r="AC35" s="56">
        <f t="shared" si="1"/>
        <v>40.759209482898221</v>
      </c>
      <c r="AD35" s="56"/>
    </row>
    <row r="36" spans="5:30">
      <c r="E36" s="289" t="s">
        <v>66</v>
      </c>
      <c r="F36" s="180">
        <v>2.9972373602552924E-5</v>
      </c>
      <c r="G36" s="180">
        <v>0</v>
      </c>
      <c r="H36" s="180">
        <v>0</v>
      </c>
      <c r="I36" s="180">
        <v>0</v>
      </c>
      <c r="J36" s="180">
        <v>0</v>
      </c>
      <c r="K36" s="180">
        <v>0</v>
      </c>
      <c r="L36" s="180">
        <v>0</v>
      </c>
      <c r="M36" s="180">
        <v>0</v>
      </c>
      <c r="N36" s="180">
        <v>2.1781624231130021E-3</v>
      </c>
      <c r="O36" s="180">
        <v>0</v>
      </c>
      <c r="P36" s="180">
        <v>3.0684564597528382E-4</v>
      </c>
      <c r="R36" s="289" t="s">
        <v>66</v>
      </c>
      <c r="S36" s="56">
        <f t="shared" si="1"/>
        <v>2.9972373602552924E-2</v>
      </c>
      <c r="T36" s="56">
        <f t="shared" si="1"/>
        <v>0</v>
      </c>
      <c r="U36" s="56">
        <f t="shared" si="1"/>
        <v>0</v>
      </c>
      <c r="V36" s="56">
        <f t="shared" si="1"/>
        <v>0</v>
      </c>
      <c r="W36" s="56">
        <f t="shared" si="1"/>
        <v>0</v>
      </c>
      <c r="X36" s="56">
        <f t="shared" si="1"/>
        <v>0</v>
      </c>
      <c r="Y36" s="56">
        <f t="shared" si="1"/>
        <v>0</v>
      </c>
      <c r="Z36" s="56">
        <f t="shared" si="1"/>
        <v>0</v>
      </c>
      <c r="AA36" s="56">
        <f t="shared" si="1"/>
        <v>2.1781624231130019</v>
      </c>
      <c r="AB36" s="56">
        <f t="shared" si="1"/>
        <v>0</v>
      </c>
      <c r="AC36" s="56">
        <f t="shared" si="1"/>
        <v>0.3068456459752838</v>
      </c>
      <c r="AD36" s="56"/>
    </row>
    <row r="37" spans="5:30" ht="15">
      <c r="E37" s="287" t="s">
        <v>9</v>
      </c>
      <c r="F37" s="288">
        <v>7.7800497792799628E-2</v>
      </c>
      <c r="G37" s="288">
        <v>2.6317036039026392E-2</v>
      </c>
      <c r="H37" s="288">
        <v>7.2887532375256484E-2</v>
      </c>
      <c r="I37" s="288">
        <v>4.1974155490421737E-2</v>
      </c>
      <c r="J37" s="288">
        <v>0.20629180177379977</v>
      </c>
      <c r="K37" s="288">
        <v>0.54067292616852258</v>
      </c>
      <c r="L37" s="288">
        <v>0.58326998357079463</v>
      </c>
      <c r="M37" s="288">
        <v>0.59551159903293949</v>
      </c>
      <c r="N37" s="288">
        <v>0.18247683758239441</v>
      </c>
      <c r="O37" s="288">
        <v>0.16164591418056193</v>
      </c>
      <c r="P37" s="288">
        <v>0.15000112367855448</v>
      </c>
      <c r="R37" s="287" t="s">
        <v>9</v>
      </c>
      <c r="S37" s="300">
        <f t="shared" si="1"/>
        <v>77.800497792799632</v>
      </c>
      <c r="T37" s="300">
        <f t="shared" si="1"/>
        <v>26.317036039026391</v>
      </c>
      <c r="U37" s="300">
        <f t="shared" si="1"/>
        <v>72.887532375256484</v>
      </c>
      <c r="V37" s="300">
        <f t="shared" si="1"/>
        <v>41.974155490421737</v>
      </c>
      <c r="W37" s="300">
        <f t="shared" si="1"/>
        <v>206.29180177379976</v>
      </c>
      <c r="X37" s="300">
        <f t="shared" si="1"/>
        <v>540.67292616852262</v>
      </c>
      <c r="Y37" s="300">
        <f t="shared" si="1"/>
        <v>583.26998357079458</v>
      </c>
      <c r="Z37" s="300">
        <f t="shared" si="1"/>
        <v>595.51159903293944</v>
      </c>
      <c r="AA37" s="300">
        <f t="shared" si="1"/>
        <v>182.47683758239441</v>
      </c>
      <c r="AB37" s="300">
        <f t="shared" si="1"/>
        <v>161.64591418056193</v>
      </c>
      <c r="AC37" s="300">
        <f t="shared" si="1"/>
        <v>150.00112367855448</v>
      </c>
      <c r="AD37" s="56"/>
    </row>
    <row r="38" spans="5:30">
      <c r="E38" s="289" t="s">
        <v>41</v>
      </c>
      <c r="F38" s="180">
        <v>2.7022453476617251E-2</v>
      </c>
      <c r="G38" s="180">
        <v>7.9048158305800552E-3</v>
      </c>
      <c r="H38" s="180">
        <v>3.8907019704430557E-2</v>
      </c>
      <c r="I38" s="180">
        <v>1.4905303726615615E-2</v>
      </c>
      <c r="J38" s="180">
        <v>1.3164845581872515E-2</v>
      </c>
      <c r="K38" s="180">
        <v>7.3308088099506771E-2</v>
      </c>
      <c r="L38" s="180">
        <v>0.34705782005384117</v>
      </c>
      <c r="M38" s="180">
        <v>0.187266317145098</v>
      </c>
      <c r="N38" s="180">
        <v>4.2912848781554817E-2</v>
      </c>
      <c r="O38" s="180">
        <v>0.1231943862840751</v>
      </c>
      <c r="P38" s="180">
        <v>6.2998452142991004E-2</v>
      </c>
      <c r="R38" s="289" t="s">
        <v>41</v>
      </c>
      <c r="S38" s="56">
        <f t="shared" si="1"/>
        <v>27.022453476617251</v>
      </c>
      <c r="T38" s="56">
        <f t="shared" si="1"/>
        <v>7.9048158305800555</v>
      </c>
      <c r="U38" s="56">
        <f t="shared" si="1"/>
        <v>38.907019704430553</v>
      </c>
      <c r="V38" s="56">
        <f t="shared" si="1"/>
        <v>14.905303726615616</v>
      </c>
      <c r="W38" s="56">
        <f t="shared" si="1"/>
        <v>13.164845581872514</v>
      </c>
      <c r="X38" s="56">
        <f t="shared" si="1"/>
        <v>73.308088099506776</v>
      </c>
      <c r="Y38" s="56">
        <f t="shared" si="1"/>
        <v>347.05782005384117</v>
      </c>
      <c r="Z38" s="56">
        <f t="shared" si="1"/>
        <v>187.26631714509801</v>
      </c>
      <c r="AA38" s="56">
        <f t="shared" si="1"/>
        <v>42.912848781554814</v>
      </c>
      <c r="AB38" s="56">
        <f t="shared" si="1"/>
        <v>123.19438628407509</v>
      </c>
      <c r="AC38" s="56">
        <f t="shared" si="1"/>
        <v>62.998452142991006</v>
      </c>
      <c r="AD38" s="56"/>
    </row>
    <row r="39" spans="5:30">
      <c r="E39" s="289" t="s">
        <v>33</v>
      </c>
      <c r="F39" s="180">
        <v>1.6624750486523961E-2</v>
      </c>
      <c r="G39" s="180">
        <v>1.1234377425926654E-3</v>
      </c>
      <c r="H39" s="180">
        <v>1.129873089868309E-2</v>
      </c>
      <c r="I39" s="180">
        <v>6.1452799436764278E-3</v>
      </c>
      <c r="J39" s="180">
        <v>0.14454886780763659</v>
      </c>
      <c r="K39" s="180">
        <v>0</v>
      </c>
      <c r="L39" s="180">
        <v>1.1191749282279369E-2</v>
      </c>
      <c r="M39" s="180">
        <v>5.3888141104125754E-3</v>
      </c>
      <c r="N39" s="180">
        <v>1.5999441287675088E-2</v>
      </c>
      <c r="O39" s="180">
        <v>1.3484589121637011E-2</v>
      </c>
      <c r="P39" s="180">
        <v>1.3569879013466964E-2</v>
      </c>
      <c r="R39" s="289" t="s">
        <v>33</v>
      </c>
      <c r="S39" s="56">
        <f t="shared" si="1"/>
        <v>16.624750486523961</v>
      </c>
      <c r="T39" s="56">
        <f t="shared" si="1"/>
        <v>1.1234377425926654</v>
      </c>
      <c r="U39" s="56">
        <f t="shared" si="1"/>
        <v>11.29873089868309</v>
      </c>
      <c r="V39" s="56">
        <f t="shared" si="1"/>
        <v>6.145279943676428</v>
      </c>
      <c r="W39" s="56">
        <f t="shared" si="1"/>
        <v>144.54886780763658</v>
      </c>
      <c r="X39" s="56">
        <f t="shared" si="1"/>
        <v>0</v>
      </c>
      <c r="Y39" s="56">
        <f t="shared" si="1"/>
        <v>11.191749282279369</v>
      </c>
      <c r="Z39" s="56">
        <f t="shared" si="1"/>
        <v>5.3888141104125751</v>
      </c>
      <c r="AA39" s="56">
        <f t="shared" si="1"/>
        <v>15.999441287675088</v>
      </c>
      <c r="AB39" s="56">
        <f t="shared" si="1"/>
        <v>13.484589121637011</v>
      </c>
      <c r="AC39" s="56">
        <f t="shared" si="1"/>
        <v>13.569879013466963</v>
      </c>
      <c r="AD39" s="56"/>
    </row>
    <row r="40" spans="5:30">
      <c r="E40" s="289" t="s">
        <v>65</v>
      </c>
      <c r="F40" s="180">
        <v>3.033999631757673E-2</v>
      </c>
      <c r="G40" s="180">
        <v>1.2591935803653339E-2</v>
      </c>
      <c r="H40" s="180">
        <v>2.2415082116290268E-2</v>
      </c>
      <c r="I40" s="180">
        <v>2.0907814820126266E-2</v>
      </c>
      <c r="J40" s="180">
        <v>4.1358370360172404E-2</v>
      </c>
      <c r="K40" s="180">
        <v>0.44891369707737799</v>
      </c>
      <c r="L40" s="180">
        <v>0.17002104118778097</v>
      </c>
      <c r="M40" s="180">
        <v>0.39514140163984302</v>
      </c>
      <c r="N40" s="180">
        <v>0.11506017146805893</v>
      </c>
      <c r="O40" s="180">
        <v>1.2732143813074082E-2</v>
      </c>
      <c r="P40" s="180">
        <v>6.5161495064104735E-2</v>
      </c>
      <c r="R40" s="289" t="s">
        <v>65</v>
      </c>
      <c r="S40" s="56">
        <f t="shared" si="1"/>
        <v>30.33999631757673</v>
      </c>
      <c r="T40" s="56">
        <f t="shared" si="1"/>
        <v>12.591935803653339</v>
      </c>
      <c r="U40" s="56">
        <f t="shared" si="1"/>
        <v>22.415082116290268</v>
      </c>
      <c r="V40" s="56">
        <f t="shared" si="1"/>
        <v>20.907814820126266</v>
      </c>
      <c r="W40" s="56">
        <f t="shared" si="1"/>
        <v>41.358370360172401</v>
      </c>
      <c r="X40" s="56">
        <f t="shared" si="1"/>
        <v>448.913697077378</v>
      </c>
      <c r="Y40" s="56">
        <f t="shared" si="1"/>
        <v>170.02104118778098</v>
      </c>
      <c r="Z40" s="56">
        <f t="shared" si="1"/>
        <v>395.14140163984302</v>
      </c>
      <c r="AA40" s="56">
        <f t="shared" si="1"/>
        <v>115.06017146805893</v>
      </c>
      <c r="AB40" s="56">
        <f t="shared" si="1"/>
        <v>12.732143813074082</v>
      </c>
      <c r="AC40" s="56">
        <f t="shared" si="1"/>
        <v>65.161495064104741</v>
      </c>
      <c r="AD40" s="56"/>
    </row>
    <row r="41" spans="5:30">
      <c r="E41" s="289" t="s">
        <v>66</v>
      </c>
      <c r="F41" s="180">
        <v>2.1989419952528379E-3</v>
      </c>
      <c r="G41" s="180">
        <v>4.394052337059447E-3</v>
      </c>
      <c r="H41" s="180">
        <v>2.6669965585256184E-4</v>
      </c>
      <c r="I41" s="180">
        <v>1.5757000003426867E-5</v>
      </c>
      <c r="J41" s="180">
        <v>7.2197180241182456E-3</v>
      </c>
      <c r="K41" s="180">
        <v>1.4833713224220885E-2</v>
      </c>
      <c r="L41" s="180">
        <v>2.4298306070877927E-2</v>
      </c>
      <c r="M41" s="180">
        <v>5.4555076581814556E-3</v>
      </c>
      <c r="N41" s="180">
        <v>2.3480492483452498E-3</v>
      </c>
      <c r="O41" s="180">
        <v>1.139461409717228E-2</v>
      </c>
      <c r="P41" s="180">
        <v>4.9875016962947823E-3</v>
      </c>
      <c r="R41" s="289" t="s">
        <v>66</v>
      </c>
      <c r="S41" s="56">
        <f t="shared" si="1"/>
        <v>2.198941995252838</v>
      </c>
      <c r="T41" s="56">
        <f t="shared" si="1"/>
        <v>4.3940523370594473</v>
      </c>
      <c r="U41" s="56">
        <f t="shared" si="1"/>
        <v>0.26669965585256183</v>
      </c>
      <c r="V41" s="56">
        <f t="shared" si="1"/>
        <v>1.5757000003426867E-2</v>
      </c>
      <c r="W41" s="56">
        <f t="shared" si="1"/>
        <v>7.2197180241182455</v>
      </c>
      <c r="X41" s="56">
        <f t="shared" si="1"/>
        <v>14.833713224220885</v>
      </c>
      <c r="Y41" s="56">
        <f t="shared" si="1"/>
        <v>24.298306070877928</v>
      </c>
      <c r="Z41" s="56">
        <f t="shared" si="1"/>
        <v>5.4555076581814559</v>
      </c>
      <c r="AA41" s="56">
        <f t="shared" si="1"/>
        <v>2.3480492483452498</v>
      </c>
      <c r="AB41" s="56">
        <f t="shared" si="1"/>
        <v>11.39461409717228</v>
      </c>
      <c r="AC41" s="56">
        <f t="shared" si="1"/>
        <v>4.9875016962947827</v>
      </c>
      <c r="AD41" s="56"/>
    </row>
    <row r="42" spans="5:30">
      <c r="E42" s="289" t="s">
        <v>152</v>
      </c>
      <c r="F42" s="180">
        <v>3.3162583191833625E-4</v>
      </c>
      <c r="G42" s="180">
        <v>2.3833776980238197E-4</v>
      </c>
      <c r="H42" s="180">
        <v>0</v>
      </c>
      <c r="I42" s="180">
        <v>0</v>
      </c>
      <c r="J42" s="180">
        <v>0</v>
      </c>
      <c r="K42" s="180">
        <v>3.6174277674169762E-3</v>
      </c>
      <c r="L42" s="180">
        <v>5.9409813348280027E-4</v>
      </c>
      <c r="M42" s="180">
        <v>0</v>
      </c>
      <c r="N42" s="180">
        <v>5.4967023792626551E-3</v>
      </c>
      <c r="O42" s="180">
        <v>8.4018086460345778E-4</v>
      </c>
      <c r="P42" s="180">
        <v>1.0580036158296966E-3</v>
      </c>
      <c r="R42" s="289" t="s">
        <v>152</v>
      </c>
      <c r="S42" s="56">
        <f t="shared" si="1"/>
        <v>0.33162583191833622</v>
      </c>
      <c r="T42" s="56">
        <f t="shared" si="1"/>
        <v>0.23833776980238197</v>
      </c>
      <c r="U42" s="56">
        <f t="shared" si="1"/>
        <v>0</v>
      </c>
      <c r="V42" s="56">
        <f t="shared" si="1"/>
        <v>0</v>
      </c>
      <c r="W42" s="56">
        <f t="shared" si="1"/>
        <v>0</v>
      </c>
      <c r="X42" s="56">
        <f t="shared" si="1"/>
        <v>3.6174277674169764</v>
      </c>
      <c r="Y42" s="56">
        <f t="shared" si="1"/>
        <v>0.59409813348280027</v>
      </c>
      <c r="Z42" s="56">
        <f t="shared" si="1"/>
        <v>0</v>
      </c>
      <c r="AA42" s="56">
        <f t="shared" si="1"/>
        <v>5.496702379262655</v>
      </c>
      <c r="AB42" s="56">
        <f t="shared" si="1"/>
        <v>0.84018086460345776</v>
      </c>
      <c r="AC42" s="56">
        <f t="shared" si="1"/>
        <v>1.0580036158296966</v>
      </c>
      <c r="AD42" s="56"/>
    </row>
    <row r="43" spans="5:30">
      <c r="E43" s="289" t="s">
        <v>153</v>
      </c>
      <c r="F43" s="180">
        <v>1.2827296849105161E-3</v>
      </c>
      <c r="G43" s="180">
        <v>6.4456555338506322E-5</v>
      </c>
      <c r="H43" s="180">
        <v>0</v>
      </c>
      <c r="I43" s="180">
        <v>0</v>
      </c>
      <c r="J43" s="180">
        <v>0</v>
      </c>
      <c r="K43" s="180">
        <v>0</v>
      </c>
      <c r="L43" s="180">
        <v>3.0106968842532437E-2</v>
      </c>
      <c r="M43" s="180">
        <v>2.2595584794043995E-3</v>
      </c>
      <c r="N43" s="180">
        <v>6.596244174976836E-4</v>
      </c>
      <c r="O43" s="180">
        <v>0</v>
      </c>
      <c r="P43" s="180">
        <v>2.225792145867286E-3</v>
      </c>
      <c r="R43" s="289" t="s">
        <v>153</v>
      </c>
      <c r="S43" s="56">
        <f t="shared" si="1"/>
        <v>1.2827296849105161</v>
      </c>
      <c r="T43" s="56">
        <f t="shared" si="1"/>
        <v>6.4456555338506319E-2</v>
      </c>
      <c r="U43" s="56">
        <f t="shared" si="1"/>
        <v>0</v>
      </c>
      <c r="V43" s="56">
        <f t="shared" si="1"/>
        <v>0</v>
      </c>
      <c r="W43" s="56">
        <f t="shared" si="1"/>
        <v>0</v>
      </c>
      <c r="X43" s="56">
        <f t="shared" si="1"/>
        <v>0</v>
      </c>
      <c r="Y43" s="56">
        <f t="shared" si="1"/>
        <v>30.106968842532439</v>
      </c>
      <c r="Z43" s="56">
        <f t="shared" si="1"/>
        <v>2.2595584794043995</v>
      </c>
      <c r="AA43" s="56">
        <f t="shared" si="1"/>
        <v>0.65962441749768363</v>
      </c>
      <c r="AB43" s="56">
        <f t="shared" si="1"/>
        <v>0</v>
      </c>
      <c r="AC43" s="56">
        <f t="shared" si="1"/>
        <v>2.225792145867286</v>
      </c>
      <c r="AD43" s="56"/>
    </row>
    <row r="44" spans="5:30" ht="15">
      <c r="E44" s="290" t="s">
        <v>62</v>
      </c>
      <c r="F44" s="291">
        <v>0.87337407676339718</v>
      </c>
      <c r="G44" s="291">
        <v>1.1838490328061457</v>
      </c>
      <c r="H44" s="291">
        <v>0.98992876596181789</v>
      </c>
      <c r="I44" s="291">
        <v>0.60365088316134052</v>
      </c>
      <c r="J44" s="291">
        <v>1.1416390271950418</v>
      </c>
      <c r="K44" s="291">
        <v>1.2284160756840974</v>
      </c>
      <c r="L44" s="291">
        <v>0.95464742795584556</v>
      </c>
      <c r="M44" s="291">
        <v>0.99661658297630484</v>
      </c>
      <c r="N44" s="291">
        <v>1.0329896172650359</v>
      </c>
      <c r="O44" s="291">
        <v>0.96266543830591911</v>
      </c>
      <c r="P44" s="291">
        <v>0.96136912596826818</v>
      </c>
      <c r="R44" s="290" t="s">
        <v>62</v>
      </c>
      <c r="S44" s="301">
        <f t="shared" si="1"/>
        <v>873.37407676339717</v>
      </c>
      <c r="T44" s="301">
        <f t="shared" si="1"/>
        <v>1183.8490328061457</v>
      </c>
      <c r="U44" s="301">
        <f t="shared" si="1"/>
        <v>989.92876596181793</v>
      </c>
      <c r="V44" s="301">
        <f t="shared" si="1"/>
        <v>603.65088316134052</v>
      </c>
      <c r="W44" s="301">
        <f t="shared" si="1"/>
        <v>1141.6390271950418</v>
      </c>
      <c r="X44" s="301">
        <f t="shared" si="1"/>
        <v>1228.4160756840974</v>
      </c>
      <c r="Y44" s="301">
        <f t="shared" si="1"/>
        <v>954.64742795584561</v>
      </c>
      <c r="Z44" s="301">
        <f t="shared" si="1"/>
        <v>996.61658297630481</v>
      </c>
      <c r="AA44" s="301">
        <f t="shared" si="1"/>
        <v>1032.9896172650358</v>
      </c>
      <c r="AB44" s="301">
        <f t="shared" si="1"/>
        <v>962.66543830591911</v>
      </c>
      <c r="AC44" s="301">
        <f t="shared" si="1"/>
        <v>961.36912596826824</v>
      </c>
      <c r="AD44" s="56"/>
    </row>
    <row r="45" spans="5:30">
      <c r="E45" s="289" t="s">
        <v>353</v>
      </c>
      <c r="F45" s="75">
        <v>0.87337407676339718</v>
      </c>
      <c r="G45" s="75">
        <v>1.1838490328061457</v>
      </c>
      <c r="H45" s="75">
        <v>0.98992876596181789</v>
      </c>
      <c r="I45" s="75">
        <v>0.60365088316134052</v>
      </c>
      <c r="J45" s="75">
        <v>1.1416390271950418</v>
      </c>
      <c r="K45" s="75">
        <v>1.2284160756840974</v>
      </c>
      <c r="L45" s="75">
        <v>0.95464742795584556</v>
      </c>
      <c r="M45" s="75">
        <v>0.99661658297630484</v>
      </c>
      <c r="N45" s="75">
        <v>1.0329896172650359</v>
      </c>
      <c r="O45" s="75">
        <v>0.96266543830591911</v>
      </c>
      <c r="P45" s="75">
        <v>0.96136912596826818</v>
      </c>
    </row>
    <row r="47" spans="5:30">
      <c r="E47" s="292"/>
      <c r="F47" s="293"/>
      <c r="G47" s="293"/>
      <c r="H47" s="293"/>
      <c r="I47" s="293"/>
      <c r="J47" s="293"/>
      <c r="K47" s="293"/>
      <c r="L47" s="293"/>
      <c r="M47" s="293"/>
      <c r="N47" s="293"/>
      <c r="O47" s="294"/>
      <c r="P47" s="293"/>
    </row>
    <row r="50" spans="5:29">
      <c r="E50" s="309" t="s">
        <v>370</v>
      </c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</row>
    <row r="51" spans="5:29" ht="15">
      <c r="E51" s="280" t="s">
        <v>350</v>
      </c>
    </row>
    <row r="52" spans="5:29" ht="30">
      <c r="E52" s="311" t="s">
        <v>59</v>
      </c>
      <c r="F52" s="311" t="s">
        <v>31</v>
      </c>
      <c r="G52" s="311" t="s">
        <v>72</v>
      </c>
      <c r="H52" s="311" t="s">
        <v>73</v>
      </c>
      <c r="I52" s="311" t="s">
        <v>16</v>
      </c>
      <c r="J52" s="311" t="s">
        <v>28</v>
      </c>
      <c r="K52" s="311" t="s">
        <v>14</v>
      </c>
      <c r="L52" s="311" t="s">
        <v>13</v>
      </c>
      <c r="M52" s="311" t="s">
        <v>158</v>
      </c>
      <c r="N52" s="311" t="s">
        <v>10</v>
      </c>
      <c r="O52" s="311" t="s">
        <v>9</v>
      </c>
      <c r="P52" s="311" t="s">
        <v>62</v>
      </c>
      <c r="R52" s="311" t="s">
        <v>59</v>
      </c>
      <c r="S52" s="311" t="s">
        <v>31</v>
      </c>
      <c r="T52" s="311" t="s">
        <v>72</v>
      </c>
      <c r="U52" s="311" t="s">
        <v>73</v>
      </c>
      <c r="V52" s="311" t="s">
        <v>16</v>
      </c>
      <c r="W52" s="311" t="s">
        <v>28</v>
      </c>
      <c r="X52" s="311" t="s">
        <v>14</v>
      </c>
      <c r="Y52" s="311" t="s">
        <v>13</v>
      </c>
      <c r="Z52" s="311" t="s">
        <v>158</v>
      </c>
      <c r="AA52" s="311" t="s">
        <v>10</v>
      </c>
      <c r="AB52" s="311" t="s">
        <v>9</v>
      </c>
      <c r="AC52" s="311" t="s">
        <v>62</v>
      </c>
    </row>
    <row r="53" spans="5:29" ht="15">
      <c r="E53" s="287" t="s">
        <v>156</v>
      </c>
      <c r="R53" s="287" t="s">
        <v>156</v>
      </c>
    </row>
    <row r="54" spans="5:29">
      <c r="E54" s="289" t="s">
        <v>156</v>
      </c>
      <c r="F54" s="75">
        <f>F12</f>
        <v>0.65941690039178025</v>
      </c>
      <c r="G54" s="75">
        <f t="shared" ref="G54:P54" si="2">G12</f>
        <v>0.69620351326314256</v>
      </c>
      <c r="H54" s="75">
        <f t="shared" si="2"/>
        <v>0.7376879415122396</v>
      </c>
      <c r="I54" s="75">
        <f t="shared" si="2"/>
        <v>0.32651346780982121</v>
      </c>
      <c r="J54" s="75">
        <f t="shared" si="2"/>
        <v>0.67889131584351736</v>
      </c>
      <c r="K54" s="75">
        <f t="shared" si="2"/>
        <v>0.38588787104389072</v>
      </c>
      <c r="L54" s="75">
        <f t="shared" si="2"/>
        <v>0.1931370156651151</v>
      </c>
      <c r="M54" s="75">
        <f t="shared" si="2"/>
        <v>0.28070995477628574</v>
      </c>
      <c r="N54" s="75">
        <f t="shared" si="2"/>
        <v>0.47824090436896666</v>
      </c>
      <c r="O54" s="75">
        <f t="shared" si="2"/>
        <v>0.58423529861361789</v>
      </c>
      <c r="P54" s="75">
        <f t="shared" si="2"/>
        <v>0.54097015705415896</v>
      </c>
      <c r="R54" s="289" t="s">
        <v>156</v>
      </c>
      <c r="S54" s="56">
        <f>S12</f>
        <v>659.41690039178025</v>
      </c>
      <c r="T54" s="56">
        <f t="shared" ref="T54:AC54" si="3">T12</f>
        <v>696.20351326314255</v>
      </c>
      <c r="U54" s="56">
        <f t="shared" si="3"/>
        <v>737.6879415122396</v>
      </c>
      <c r="V54" s="56">
        <f t="shared" si="3"/>
        <v>326.51346780982124</v>
      </c>
      <c r="W54" s="56">
        <f t="shared" si="3"/>
        <v>678.89131584351742</v>
      </c>
      <c r="X54" s="56">
        <f t="shared" si="3"/>
        <v>385.8878710438907</v>
      </c>
      <c r="Y54" s="56">
        <f t="shared" si="3"/>
        <v>193.13701566511509</v>
      </c>
      <c r="Z54" s="56">
        <f t="shared" si="3"/>
        <v>280.70995477628577</v>
      </c>
      <c r="AA54" s="56">
        <f t="shared" si="3"/>
        <v>478.24090436896665</v>
      </c>
      <c r="AB54" s="56">
        <f t="shared" si="3"/>
        <v>584.23529861361794</v>
      </c>
      <c r="AC54" s="56">
        <f t="shared" si="3"/>
        <v>540.97015705415902</v>
      </c>
    </row>
    <row r="55" spans="5:29" ht="15">
      <c r="E55" s="287" t="s">
        <v>157</v>
      </c>
      <c r="R55" s="287" t="s">
        <v>157</v>
      </c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</row>
    <row r="56" spans="5:29">
      <c r="E56" s="289" t="s">
        <v>41</v>
      </c>
      <c r="F56" s="180">
        <f>SUM(F17,F18)</f>
        <v>9.1999126711839421E-2</v>
      </c>
      <c r="G56" s="180">
        <f t="shared" ref="G56:P56" si="4">SUM(G17,G18)</f>
        <v>3.9357328587284683E-2</v>
      </c>
      <c r="H56" s="180">
        <f t="shared" si="4"/>
        <v>4.3177792529770533E-2</v>
      </c>
      <c r="I56" s="180">
        <f t="shared" si="4"/>
        <v>5.7478280225147871E-4</v>
      </c>
      <c r="J56" s="180">
        <f t="shared" si="4"/>
        <v>5.9633182563258403E-3</v>
      </c>
      <c r="K56" s="180">
        <f t="shared" si="4"/>
        <v>0.10328680934104714</v>
      </c>
      <c r="L56" s="180">
        <f t="shared" si="4"/>
        <v>7.0852265580570881E-2</v>
      </c>
      <c r="M56" s="180">
        <f t="shared" si="4"/>
        <v>6.2759541341859709E-2</v>
      </c>
      <c r="N56" s="180">
        <f t="shared" si="4"/>
        <v>6.8285879256126947E-2</v>
      </c>
      <c r="O56" s="180">
        <f t="shared" si="4"/>
        <v>3.7939482169080378E-2</v>
      </c>
      <c r="P56" s="180">
        <f t="shared" si="4"/>
        <v>5.4168827268067758E-2</v>
      </c>
      <c r="R56" s="289" t="s">
        <v>41</v>
      </c>
      <c r="S56" s="56">
        <f>SUM(S17,S18)</f>
        <v>91.999126711839423</v>
      </c>
      <c r="T56" s="56">
        <f t="shared" ref="T56:AC56" si="5">SUM(T17,T18)</f>
        <v>39.357328587284684</v>
      </c>
      <c r="U56" s="56">
        <f t="shared" si="5"/>
        <v>43.177792529770535</v>
      </c>
      <c r="V56" s="56">
        <f t="shared" si="5"/>
        <v>0.57478280225147871</v>
      </c>
      <c r="W56" s="56">
        <f t="shared" si="5"/>
        <v>5.9633182563258407</v>
      </c>
      <c r="X56" s="56">
        <f t="shared" si="5"/>
        <v>103.28680934104715</v>
      </c>
      <c r="Y56" s="56">
        <f t="shared" si="5"/>
        <v>70.852265580570872</v>
      </c>
      <c r="Z56" s="56">
        <f t="shared" si="5"/>
        <v>62.759541341859709</v>
      </c>
      <c r="AA56" s="56">
        <f t="shared" si="5"/>
        <v>68.285879256126947</v>
      </c>
      <c r="AB56" s="56">
        <f t="shared" si="5"/>
        <v>37.939482169080378</v>
      </c>
      <c r="AC56" s="56">
        <f t="shared" si="5"/>
        <v>54.168827268067751</v>
      </c>
    </row>
    <row r="57" spans="5:29">
      <c r="E57" s="289" t="s">
        <v>65</v>
      </c>
      <c r="F57" s="180">
        <f>F19</f>
        <v>3.4955456067069693E-2</v>
      </c>
      <c r="G57" s="180">
        <f t="shared" ref="G57:P57" si="6">G19</f>
        <v>2.4906966536524178E-2</v>
      </c>
      <c r="H57" s="180">
        <f t="shared" si="6"/>
        <v>3.2660612915872691E-4</v>
      </c>
      <c r="I57" s="180">
        <f t="shared" si="6"/>
        <v>1.0479135622026184E-3</v>
      </c>
      <c r="J57" s="180">
        <f t="shared" si="6"/>
        <v>2.3350585893014701E-3</v>
      </c>
      <c r="K57" s="180">
        <f t="shared" si="6"/>
        <v>8.7382079692133699E-2</v>
      </c>
      <c r="L57" s="180">
        <f t="shared" si="6"/>
        <v>8.3597815276839932E-2</v>
      </c>
      <c r="M57" s="180">
        <f t="shared" si="6"/>
        <v>4.085041442578189E-2</v>
      </c>
      <c r="N57" s="180">
        <f t="shared" si="6"/>
        <v>6.2007385964082701E-2</v>
      </c>
      <c r="O57" s="180">
        <f t="shared" si="6"/>
        <v>2.2679577031480044E-2</v>
      </c>
      <c r="P57" s="180">
        <f t="shared" si="6"/>
        <v>3.1529182806611288E-2</v>
      </c>
      <c r="R57" s="289" t="s">
        <v>65</v>
      </c>
      <c r="S57" s="56">
        <f>S19</f>
        <v>34.95545606706969</v>
      </c>
      <c r="T57" s="56">
        <f t="shared" ref="T57:AC57" si="7">T19</f>
        <v>24.906966536524177</v>
      </c>
      <c r="U57" s="56">
        <f t="shared" si="7"/>
        <v>0.32660612915872689</v>
      </c>
      <c r="V57" s="56">
        <f t="shared" si="7"/>
        <v>1.0479135622026183</v>
      </c>
      <c r="W57" s="56">
        <f t="shared" si="7"/>
        <v>2.3350585893014699</v>
      </c>
      <c r="X57" s="56">
        <f t="shared" si="7"/>
        <v>87.382079692133701</v>
      </c>
      <c r="Y57" s="56">
        <f t="shared" si="7"/>
        <v>83.597815276839938</v>
      </c>
      <c r="Z57" s="56">
        <f t="shared" si="7"/>
        <v>40.850414425781892</v>
      </c>
      <c r="AA57" s="56">
        <f t="shared" si="7"/>
        <v>62.007385964082701</v>
      </c>
      <c r="AB57" s="56">
        <f t="shared" si="7"/>
        <v>22.679577031480044</v>
      </c>
      <c r="AC57" s="56">
        <f t="shared" si="7"/>
        <v>31.529182806611288</v>
      </c>
    </row>
    <row r="58" spans="5:29" ht="15">
      <c r="E58" s="287" t="s">
        <v>154</v>
      </c>
      <c r="R58" s="287" t="s">
        <v>154</v>
      </c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</row>
    <row r="59" spans="5:29">
      <c r="E59" s="289" t="s">
        <v>41</v>
      </c>
      <c r="F59" s="180">
        <f>SUM(F22:F25,F30)</f>
        <v>7.4773027726241872E-5</v>
      </c>
      <c r="G59" s="180">
        <f t="shared" ref="G59:P59" si="8">SUM(G22:G25,G30)</f>
        <v>5.7736292606252362E-2</v>
      </c>
      <c r="H59" s="180">
        <f t="shared" si="8"/>
        <v>0</v>
      </c>
      <c r="I59" s="180">
        <f t="shared" si="8"/>
        <v>2.5994128967375793E-4</v>
      </c>
      <c r="J59" s="180">
        <f t="shared" si="8"/>
        <v>7.1304420081417803E-4</v>
      </c>
      <c r="K59" s="180">
        <f t="shared" si="8"/>
        <v>3.1903948821403682E-3</v>
      </c>
      <c r="L59" s="180">
        <f t="shared" si="8"/>
        <v>0</v>
      </c>
      <c r="M59" s="180">
        <f t="shared" si="8"/>
        <v>2.4846755331075663E-3</v>
      </c>
      <c r="N59" s="180">
        <f t="shared" si="8"/>
        <v>7.6618895469586163E-3</v>
      </c>
      <c r="O59" s="180">
        <f t="shared" si="8"/>
        <v>0</v>
      </c>
      <c r="P59" s="180">
        <f t="shared" si="8"/>
        <v>1.1440928520907712E-2</v>
      </c>
      <c r="R59" s="289" t="s">
        <v>41</v>
      </c>
      <c r="S59" s="56">
        <f>SUM(S22:S25,S30)</f>
        <v>7.4773027726241878E-2</v>
      </c>
      <c r="T59" s="56">
        <f t="shared" ref="T59:AC59" si="9">SUM(T22:T25,T30)</f>
        <v>57.736292606252377</v>
      </c>
      <c r="U59" s="56">
        <f t="shared" si="9"/>
        <v>0</v>
      </c>
      <c r="V59" s="56">
        <f t="shared" si="9"/>
        <v>0.25994128967375796</v>
      </c>
      <c r="W59" s="56">
        <f t="shared" si="9"/>
        <v>0.71304420081417808</v>
      </c>
      <c r="X59" s="56">
        <f t="shared" si="9"/>
        <v>3.1903948821403683</v>
      </c>
      <c r="Y59" s="56">
        <f t="shared" si="9"/>
        <v>0</v>
      </c>
      <c r="Z59" s="56">
        <f t="shared" si="9"/>
        <v>2.4846755331075663</v>
      </c>
      <c r="AA59" s="56">
        <f t="shared" si="9"/>
        <v>7.6618895469586166</v>
      </c>
      <c r="AB59" s="56">
        <f t="shared" si="9"/>
        <v>0</v>
      </c>
      <c r="AC59" s="56">
        <f t="shared" si="9"/>
        <v>11.440928520907715</v>
      </c>
    </row>
    <row r="60" spans="5:29">
      <c r="E60" s="289" t="s">
        <v>65</v>
      </c>
      <c r="F60" s="180">
        <f>F27</f>
        <v>6.3633748064046282E-4</v>
      </c>
      <c r="G60" s="180">
        <f t="shared" ref="G60:P60" si="10">G27</f>
        <v>2.3751498007103102E-2</v>
      </c>
      <c r="H60" s="180">
        <f t="shared" si="10"/>
        <v>3.0238655641493194E-3</v>
      </c>
      <c r="I60" s="180">
        <f t="shared" si="10"/>
        <v>0</v>
      </c>
      <c r="J60" s="180">
        <f t="shared" si="10"/>
        <v>9.7353820168111449E-2</v>
      </c>
      <c r="K60" s="180">
        <f t="shared" si="10"/>
        <v>8.5695785349404308E-2</v>
      </c>
      <c r="L60" s="180">
        <f t="shared" si="10"/>
        <v>1.0564846854501578E-2</v>
      </c>
      <c r="M60" s="180">
        <f t="shared" si="10"/>
        <v>4.3270185807515729E-3</v>
      </c>
      <c r="N60" s="180">
        <f t="shared" si="10"/>
        <v>4.627945405546241E-2</v>
      </c>
      <c r="O60" s="180">
        <f t="shared" si="10"/>
        <v>1.6631700402182836E-3</v>
      </c>
      <c r="P60" s="180">
        <f t="shared" si="10"/>
        <v>1.5322949891349469E-2</v>
      </c>
      <c r="R60" s="289" t="s">
        <v>65</v>
      </c>
      <c r="S60" s="56">
        <f>S27</f>
        <v>0.6363374806404628</v>
      </c>
      <c r="T60" s="56">
        <f t="shared" ref="T60:AC60" si="11">T27</f>
        <v>23.751498007103102</v>
      </c>
      <c r="U60" s="56">
        <f t="shared" si="11"/>
        <v>3.0238655641493195</v>
      </c>
      <c r="V60" s="56">
        <f t="shared" si="11"/>
        <v>0</v>
      </c>
      <c r="W60" s="56">
        <f t="shared" si="11"/>
        <v>97.353820168111454</v>
      </c>
      <c r="X60" s="56">
        <f t="shared" si="11"/>
        <v>85.695785349404304</v>
      </c>
      <c r="Y60" s="56">
        <f t="shared" si="11"/>
        <v>10.564846854501578</v>
      </c>
      <c r="Z60" s="56">
        <f t="shared" si="11"/>
        <v>4.3270185807515729</v>
      </c>
      <c r="AA60" s="56">
        <f t="shared" si="11"/>
        <v>46.279454055462409</v>
      </c>
      <c r="AB60" s="56">
        <f t="shared" si="11"/>
        <v>1.6631700402182836</v>
      </c>
      <c r="AC60" s="56">
        <f t="shared" si="11"/>
        <v>15.322949891349468</v>
      </c>
    </row>
    <row r="61" spans="5:29" ht="15">
      <c r="E61" s="287" t="s">
        <v>155</v>
      </c>
      <c r="R61" s="287" t="s">
        <v>155</v>
      </c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</row>
    <row r="62" spans="5:29">
      <c r="E62" s="289" t="s">
        <v>156</v>
      </c>
      <c r="F62" s="180">
        <f>SUM(F32:F34)</f>
        <v>0</v>
      </c>
      <c r="G62" s="180">
        <f t="shared" ref="G62:P62" si="12">SUM(G32:G34)</f>
        <v>0.21982115566509014</v>
      </c>
      <c r="H62" s="180">
        <f t="shared" si="12"/>
        <v>9.5121809513183345E-2</v>
      </c>
      <c r="I62" s="180">
        <f t="shared" si="12"/>
        <v>0.16667190014639516</v>
      </c>
      <c r="J62" s="180">
        <f t="shared" si="12"/>
        <v>0.12379075782205014</v>
      </c>
      <c r="K62" s="180">
        <f t="shared" si="12"/>
        <v>0</v>
      </c>
      <c r="L62" s="180">
        <f t="shared" si="12"/>
        <v>1.317791803589066E-3</v>
      </c>
      <c r="M62" s="180">
        <f t="shared" si="12"/>
        <v>1.8290842298498808E-3</v>
      </c>
      <c r="N62" s="180">
        <f t="shared" si="12"/>
        <v>6.1290708289737462E-2</v>
      </c>
      <c r="O62" s="180">
        <f t="shared" si="12"/>
        <v>6.5762025365996721E-2</v>
      </c>
      <c r="P62" s="180">
        <f t="shared" si="12"/>
        <v>8.4430512907665414E-2</v>
      </c>
      <c r="R62" s="289" t="s">
        <v>156</v>
      </c>
      <c r="S62" s="56">
        <f>SUM(S32:S34)</f>
        <v>0</v>
      </c>
      <c r="T62" s="56">
        <f t="shared" ref="T62:AC62" si="13">SUM(T32:T34)</f>
        <v>219.82115566509015</v>
      </c>
      <c r="U62" s="56">
        <f t="shared" si="13"/>
        <v>95.121809513183337</v>
      </c>
      <c r="V62" s="56">
        <f t="shared" si="13"/>
        <v>166.67190014639516</v>
      </c>
      <c r="W62" s="56">
        <f t="shared" si="13"/>
        <v>123.79075782205014</v>
      </c>
      <c r="X62" s="56">
        <f t="shared" si="13"/>
        <v>0</v>
      </c>
      <c r="Y62" s="56">
        <f t="shared" si="13"/>
        <v>1.3177918035890659</v>
      </c>
      <c r="Z62" s="56">
        <f t="shared" si="13"/>
        <v>1.8290842298498808</v>
      </c>
      <c r="AA62" s="56">
        <f t="shared" si="13"/>
        <v>61.290708289737466</v>
      </c>
      <c r="AB62" s="56">
        <f t="shared" si="13"/>
        <v>65.76202536599672</v>
      </c>
      <c r="AC62" s="56">
        <f t="shared" si="13"/>
        <v>84.430512907665417</v>
      </c>
    </row>
    <row r="63" spans="5:29">
      <c r="E63" s="289" t="s">
        <v>33</v>
      </c>
      <c r="F63" s="180">
        <f>F35</f>
        <v>7.7040254677556456E-3</v>
      </c>
      <c r="G63" s="180">
        <f t="shared" ref="G63:P63" si="14">G35</f>
        <v>7.9716288944154792E-2</v>
      </c>
      <c r="H63" s="180">
        <f t="shared" si="14"/>
        <v>2.5332645425925619E-2</v>
      </c>
      <c r="I63" s="180">
        <f t="shared" si="14"/>
        <v>6.6608722060574319E-2</v>
      </c>
      <c r="J63" s="180">
        <f t="shared" si="14"/>
        <v>0</v>
      </c>
      <c r="K63" s="180">
        <f t="shared" si="14"/>
        <v>0</v>
      </c>
      <c r="L63" s="180">
        <f t="shared" si="14"/>
        <v>0</v>
      </c>
      <c r="M63" s="180">
        <f t="shared" si="14"/>
        <v>0</v>
      </c>
      <c r="N63" s="180">
        <f t="shared" si="14"/>
        <v>9.5303527346950412E-2</v>
      </c>
      <c r="O63" s="180">
        <f t="shared" si="14"/>
        <v>2.0664699079411406E-2</v>
      </c>
      <c r="P63" s="180">
        <f t="shared" si="14"/>
        <v>4.0759209482898219E-2</v>
      </c>
      <c r="R63" s="289" t="s">
        <v>33</v>
      </c>
      <c r="S63" s="56">
        <f>S35</f>
        <v>7.7040254677556455</v>
      </c>
      <c r="T63" s="56">
        <f t="shared" ref="T63:AC63" si="15">T35</f>
        <v>79.716288944154797</v>
      </c>
      <c r="U63" s="56">
        <f t="shared" si="15"/>
        <v>25.33264542592562</v>
      </c>
      <c r="V63" s="56">
        <f t="shared" si="15"/>
        <v>66.608722060574323</v>
      </c>
      <c r="W63" s="56">
        <f t="shared" si="15"/>
        <v>0</v>
      </c>
      <c r="X63" s="56">
        <f t="shared" si="15"/>
        <v>0</v>
      </c>
      <c r="Y63" s="56">
        <f t="shared" si="15"/>
        <v>0</v>
      </c>
      <c r="Z63" s="56">
        <f t="shared" si="15"/>
        <v>0</v>
      </c>
      <c r="AA63" s="56">
        <f t="shared" si="15"/>
        <v>95.303527346950418</v>
      </c>
      <c r="AB63" s="56">
        <f t="shared" si="15"/>
        <v>20.664699079411406</v>
      </c>
      <c r="AC63" s="56">
        <f t="shared" si="15"/>
        <v>40.759209482898221</v>
      </c>
    </row>
    <row r="64" spans="5:29" ht="15">
      <c r="E64" s="287" t="s">
        <v>9</v>
      </c>
      <c r="R64" s="287" t="s">
        <v>9</v>
      </c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</row>
    <row r="65" spans="2:29">
      <c r="E65" s="289" t="s">
        <v>41</v>
      </c>
      <c r="F65" s="180">
        <f>SUM(F38,F43,F42,F39)</f>
        <v>4.5261559479970064E-2</v>
      </c>
      <c r="G65" s="180">
        <f t="shared" ref="G65:P65" si="16">SUM(G38,G43,G42,G39)</f>
        <v>9.3310478983136096E-3</v>
      </c>
      <c r="H65" s="180">
        <f t="shared" si="16"/>
        <v>5.020575060311365E-2</v>
      </c>
      <c r="I65" s="180">
        <f t="shared" si="16"/>
        <v>2.1050583670292042E-2</v>
      </c>
      <c r="J65" s="180">
        <f t="shared" si="16"/>
        <v>0.1577137133895091</v>
      </c>
      <c r="K65" s="180">
        <f t="shared" si="16"/>
        <v>7.6925515866923741E-2</v>
      </c>
      <c r="L65" s="180">
        <f t="shared" si="16"/>
        <v>0.38895063631213583</v>
      </c>
      <c r="M65" s="180">
        <f t="shared" si="16"/>
        <v>0.19491468973491499</v>
      </c>
      <c r="N65" s="180">
        <f t="shared" si="16"/>
        <v>6.5068616865990248E-2</v>
      </c>
      <c r="O65" s="180">
        <f t="shared" si="16"/>
        <v>0.13751915627031558</v>
      </c>
      <c r="P65" s="180">
        <f t="shared" si="16"/>
        <v>7.9852126918154936E-2</v>
      </c>
      <c r="R65" s="289" t="s">
        <v>41</v>
      </c>
      <c r="S65" s="56">
        <f>SUM(S38,S43,S42,S39)</f>
        <v>45.261559479970067</v>
      </c>
      <c r="T65" s="56">
        <f t="shared" ref="T65:AC65" si="17">SUM(T38,T43,T42,T39)</f>
        <v>9.33104789831361</v>
      </c>
      <c r="U65" s="56">
        <f t="shared" si="17"/>
        <v>50.205750603113643</v>
      </c>
      <c r="V65" s="56">
        <f t="shared" si="17"/>
        <v>21.050583670292042</v>
      </c>
      <c r="W65" s="56">
        <f t="shared" si="17"/>
        <v>157.71371338950911</v>
      </c>
      <c r="X65" s="56">
        <f t="shared" si="17"/>
        <v>76.925515866923746</v>
      </c>
      <c r="Y65" s="56">
        <f t="shared" si="17"/>
        <v>388.95063631213577</v>
      </c>
      <c r="Z65" s="56">
        <f t="shared" si="17"/>
        <v>194.91468973491499</v>
      </c>
      <c r="AA65" s="56">
        <f t="shared" si="17"/>
        <v>65.068616865990236</v>
      </c>
      <c r="AB65" s="56">
        <f t="shared" si="17"/>
        <v>137.51915627031556</v>
      </c>
      <c r="AC65" s="56">
        <f t="shared" si="17"/>
        <v>79.852126918154937</v>
      </c>
    </row>
    <row r="66" spans="2:29">
      <c r="E66" s="289" t="s">
        <v>65</v>
      </c>
      <c r="F66" s="180">
        <f>F40</f>
        <v>3.033999631757673E-2</v>
      </c>
      <c r="G66" s="180">
        <f t="shared" ref="G66:P66" si="18">G40</f>
        <v>1.2591935803653339E-2</v>
      </c>
      <c r="H66" s="180">
        <f t="shared" si="18"/>
        <v>2.2415082116290268E-2</v>
      </c>
      <c r="I66" s="180">
        <f t="shared" si="18"/>
        <v>2.0907814820126266E-2</v>
      </c>
      <c r="J66" s="180">
        <f t="shared" si="18"/>
        <v>4.1358370360172404E-2</v>
      </c>
      <c r="K66" s="180">
        <f t="shared" si="18"/>
        <v>0.44891369707737799</v>
      </c>
      <c r="L66" s="180">
        <f t="shared" si="18"/>
        <v>0.17002104118778097</v>
      </c>
      <c r="M66" s="180">
        <f t="shared" si="18"/>
        <v>0.39514140163984302</v>
      </c>
      <c r="N66" s="180">
        <f t="shared" si="18"/>
        <v>0.11506017146805893</v>
      </c>
      <c r="O66" s="180">
        <f t="shared" si="18"/>
        <v>1.2732143813074082E-2</v>
      </c>
      <c r="P66" s="180">
        <f t="shared" si="18"/>
        <v>6.5161495064104735E-2</v>
      </c>
      <c r="R66" s="289" t="s">
        <v>65</v>
      </c>
      <c r="S66" s="56">
        <f>S40</f>
        <v>30.33999631757673</v>
      </c>
      <c r="T66" s="56">
        <f t="shared" ref="T66:AC66" si="19">T40</f>
        <v>12.591935803653339</v>
      </c>
      <c r="U66" s="56">
        <f t="shared" si="19"/>
        <v>22.415082116290268</v>
      </c>
      <c r="V66" s="56">
        <f t="shared" si="19"/>
        <v>20.907814820126266</v>
      </c>
      <c r="W66" s="56">
        <f t="shared" si="19"/>
        <v>41.358370360172401</v>
      </c>
      <c r="X66" s="56">
        <f t="shared" si="19"/>
        <v>448.913697077378</v>
      </c>
      <c r="Y66" s="56">
        <f t="shared" si="19"/>
        <v>170.02104118778098</v>
      </c>
      <c r="Z66" s="56">
        <f t="shared" si="19"/>
        <v>395.14140163984302</v>
      </c>
      <c r="AA66" s="56">
        <f t="shared" si="19"/>
        <v>115.06017146805893</v>
      </c>
      <c r="AB66" s="56">
        <f t="shared" si="19"/>
        <v>12.732143813074082</v>
      </c>
      <c r="AC66" s="56">
        <f t="shared" si="19"/>
        <v>65.161495064104741</v>
      </c>
    </row>
    <row r="69" spans="2:29">
      <c r="E69" s="309" t="s">
        <v>423</v>
      </c>
      <c r="F69" s="309"/>
      <c r="G69" s="309"/>
      <c r="H69" s="309"/>
      <c r="I69" s="309"/>
      <c r="J69" s="309"/>
      <c r="K69" s="309"/>
      <c r="L69" s="309"/>
      <c r="M69" s="309"/>
      <c r="N69" s="309"/>
      <c r="O69" s="309"/>
      <c r="P69" s="309"/>
    </row>
    <row r="70" spans="2:29">
      <c r="E70" s="289" t="s">
        <v>372</v>
      </c>
      <c r="F70" s="27">
        <f>1-[3]Results_Com!$AH$269</f>
        <v>0.98462593962173417</v>
      </c>
      <c r="H70" s="289" t="s">
        <v>371</v>
      </c>
      <c r="I70" s="27">
        <f>1-[3]Results_Com!$AH$273</f>
        <v>0.95515102065796975</v>
      </c>
    </row>
    <row r="71" spans="2:29">
      <c r="E71" t="s">
        <v>422</v>
      </c>
      <c r="F71" s="87">
        <v>0.9</v>
      </c>
      <c r="G71" s="87">
        <v>1</v>
      </c>
      <c r="H71" s="87">
        <v>0.9</v>
      </c>
      <c r="I71" s="87">
        <v>0.9</v>
      </c>
      <c r="J71" s="87">
        <v>1</v>
      </c>
      <c r="K71">
        <v>1</v>
      </c>
      <c r="L71">
        <v>1</v>
      </c>
      <c r="M71">
        <v>1</v>
      </c>
      <c r="N71">
        <v>1</v>
      </c>
      <c r="O71">
        <v>1</v>
      </c>
      <c r="P71" s="87">
        <f>SUMPRODUCT(F71:O71,F9:O9)/SUM(F9:O9)</f>
        <v>0.95736004996853075</v>
      </c>
    </row>
    <row r="72" spans="2:29" ht="15">
      <c r="E72" s="280" t="s">
        <v>350</v>
      </c>
    </row>
    <row r="73" spans="2:29" ht="39">
      <c r="B73" s="315" t="s">
        <v>381</v>
      </c>
      <c r="C73" s="315" t="s">
        <v>380</v>
      </c>
      <c r="D73" s="316" t="s">
        <v>400</v>
      </c>
      <c r="E73" s="311" t="s">
        <v>59</v>
      </c>
      <c r="F73" s="311" t="s">
        <v>31</v>
      </c>
      <c r="G73" s="311" t="s">
        <v>72</v>
      </c>
      <c r="H73" s="311" t="s">
        <v>73</v>
      </c>
      <c r="I73" s="311" t="s">
        <v>16</v>
      </c>
      <c r="J73" s="311" t="s">
        <v>28</v>
      </c>
      <c r="K73" s="311" t="s">
        <v>14</v>
      </c>
      <c r="L73" s="311" t="s">
        <v>13</v>
      </c>
      <c r="M73" s="311" t="s">
        <v>158</v>
      </c>
      <c r="N73" s="311" t="s">
        <v>10</v>
      </c>
      <c r="O73" s="311" t="s">
        <v>9</v>
      </c>
      <c r="P73" s="311" t="s">
        <v>62</v>
      </c>
      <c r="R73" s="326"/>
    </row>
    <row r="74" spans="2:29" ht="15">
      <c r="B74" s="153" t="s">
        <v>382</v>
      </c>
      <c r="C74" s="153"/>
      <c r="D74" s="314"/>
      <c r="E74" s="287" t="s">
        <v>156</v>
      </c>
    </row>
    <row r="75" spans="2:29">
      <c r="B75" s="153" t="s">
        <v>382</v>
      </c>
      <c r="C75" s="153" t="s">
        <v>388</v>
      </c>
      <c r="D75" s="317" t="str">
        <f>CONCATENATE(B75,"_",C75)</f>
        <v>LF_LF2018</v>
      </c>
      <c r="E75" s="289" t="s">
        <v>156</v>
      </c>
      <c r="F75" s="75">
        <f>F54*$F$70*F$71</f>
        <v>0.5843510866356374</v>
      </c>
      <c r="G75" s="75">
        <f t="shared" ref="G75:P75" si="20">G54*$F$70*G$71</f>
        <v>0.68550003841467422</v>
      </c>
      <c r="H75" s="75">
        <f t="shared" si="20"/>
        <v>0.65371201430320069</v>
      </c>
      <c r="I75" s="75">
        <f t="shared" si="20"/>
        <v>0.28934426703725646</v>
      </c>
      <c r="J75" s="75">
        <f t="shared" si="20"/>
        <v>0.66845399976345876</v>
      </c>
      <c r="K75" s="75">
        <f t="shared" si="20"/>
        <v>0.3799552076152215</v>
      </c>
      <c r="L75" s="75">
        <f t="shared" si="20"/>
        <v>0.19016771552500156</v>
      </c>
      <c r="M75" s="75">
        <f t="shared" si="20"/>
        <v>0.27639430298277484</v>
      </c>
      <c r="N75" s="75">
        <f t="shared" si="20"/>
        <v>0.47088839982984171</v>
      </c>
      <c r="O75" s="75">
        <f t="shared" si="20"/>
        <v>0.57525322985761795</v>
      </c>
      <c r="P75" s="75">
        <f t="shared" si="20"/>
        <v>0.50994094126691847</v>
      </c>
    </row>
    <row r="76" spans="2:29" ht="15">
      <c r="B76" s="153" t="s">
        <v>383</v>
      </c>
      <c r="C76" s="153"/>
      <c r="D76" s="317"/>
      <c r="E76" s="287" t="s">
        <v>157</v>
      </c>
    </row>
    <row r="77" spans="2:29">
      <c r="B77" s="153" t="s">
        <v>383</v>
      </c>
      <c r="C77" s="153" t="s">
        <v>41</v>
      </c>
      <c r="D77" s="317" t="str">
        <f t="shared" ref="D77:D87" si="21">CONCATENATE(B77,"_",C77)</f>
        <v>CAN_CFL</v>
      </c>
      <c r="E77" s="289" t="s">
        <v>41</v>
      </c>
      <c r="F77" s="180">
        <f>F56*F$71</f>
        <v>8.2799214040655475E-2</v>
      </c>
      <c r="G77" s="180">
        <f t="shared" ref="G77:P77" si="22">G56*G$71</f>
        <v>3.9357328587284683E-2</v>
      </c>
      <c r="H77" s="180">
        <f t="shared" si="22"/>
        <v>3.8860013276793483E-2</v>
      </c>
      <c r="I77" s="180">
        <f t="shared" si="22"/>
        <v>5.1730452202633081E-4</v>
      </c>
      <c r="J77" s="180">
        <f t="shared" si="22"/>
        <v>5.9633182563258403E-3</v>
      </c>
      <c r="K77" s="180">
        <f t="shared" si="22"/>
        <v>0.10328680934104714</v>
      </c>
      <c r="L77" s="180">
        <f t="shared" si="22"/>
        <v>7.0852265580570881E-2</v>
      </c>
      <c r="M77" s="180">
        <f t="shared" si="22"/>
        <v>6.2759541341859709E-2</v>
      </c>
      <c r="N77" s="180">
        <f t="shared" si="22"/>
        <v>6.8285879256126947E-2</v>
      </c>
      <c r="O77" s="180">
        <f t="shared" si="22"/>
        <v>3.7939482169080378E-2</v>
      </c>
      <c r="P77" s="180">
        <f t="shared" si="22"/>
        <v>5.1859071180094057E-2</v>
      </c>
    </row>
    <row r="78" spans="2:29">
      <c r="B78" s="153" t="s">
        <v>383</v>
      </c>
      <c r="C78" s="153" t="s">
        <v>389</v>
      </c>
      <c r="D78" s="317" t="str">
        <f t="shared" si="21"/>
        <v>CAN_INC_HAL</v>
      </c>
      <c r="E78" s="289" t="s">
        <v>65</v>
      </c>
      <c r="F78" s="180">
        <f>F57*$I$70*F$71</f>
        <v>3.0048965586023796E-2</v>
      </c>
      <c r="G78" s="180">
        <f t="shared" ref="G78:P78" si="23">G57*$I$70*G$71</f>
        <v>2.3789914508854967E-2</v>
      </c>
      <c r="H78" s="180">
        <f t="shared" si="23"/>
        <v>2.8076235985719601E-4</v>
      </c>
      <c r="I78" s="180">
        <f t="shared" si="23"/>
        <v>9.0082413764924383E-4</v>
      </c>
      <c r="J78" s="180">
        <f t="shared" si="23"/>
        <v>2.2303335948674584E-3</v>
      </c>
      <c r="K78" s="180">
        <f t="shared" si="23"/>
        <v>8.3463082605157557E-2</v>
      </c>
      <c r="L78" s="180">
        <f t="shared" si="23"/>
        <v>7.984853858645008E-2</v>
      </c>
      <c r="M78" s="180">
        <f t="shared" si="23"/>
        <v>3.9018315033086622E-2</v>
      </c>
      <c r="N78" s="180">
        <f t="shared" si="23"/>
        <v>5.922641799192626E-2</v>
      </c>
      <c r="O78" s="180">
        <f t="shared" si="23"/>
        <v>2.1662421149709211E-2</v>
      </c>
      <c r="P78" s="180">
        <f t="shared" si="23"/>
        <v>2.883102345132051E-2</v>
      </c>
    </row>
    <row r="79" spans="2:29" ht="15">
      <c r="B79" s="153" t="s">
        <v>385</v>
      </c>
      <c r="C79" s="153"/>
      <c r="D79" s="317"/>
      <c r="E79" s="287" t="s">
        <v>154</v>
      </c>
    </row>
    <row r="80" spans="2:29">
      <c r="B80" s="153" t="s">
        <v>385</v>
      </c>
      <c r="C80" s="153" t="s">
        <v>41</v>
      </c>
      <c r="D80" s="317" t="str">
        <f t="shared" si="21"/>
        <v>DISP_CFL</v>
      </c>
      <c r="E80" s="289" t="s">
        <v>41</v>
      </c>
      <c r="F80" s="180">
        <f>F56*F$71</f>
        <v>8.2799214040655475E-2</v>
      </c>
      <c r="G80" s="180">
        <f t="shared" ref="G80:P80" si="24">G56*G$71</f>
        <v>3.9357328587284683E-2</v>
      </c>
      <c r="H80" s="180">
        <f t="shared" si="24"/>
        <v>3.8860013276793483E-2</v>
      </c>
      <c r="I80" s="180">
        <f t="shared" si="24"/>
        <v>5.1730452202633081E-4</v>
      </c>
      <c r="J80" s="180">
        <f t="shared" si="24"/>
        <v>5.9633182563258403E-3</v>
      </c>
      <c r="K80" s="180">
        <f t="shared" si="24"/>
        <v>0.10328680934104714</v>
      </c>
      <c r="L80" s="180">
        <f t="shared" si="24"/>
        <v>7.0852265580570881E-2</v>
      </c>
      <c r="M80" s="180">
        <f t="shared" si="24"/>
        <v>6.2759541341859709E-2</v>
      </c>
      <c r="N80" s="180">
        <f t="shared" si="24"/>
        <v>6.8285879256126947E-2</v>
      </c>
      <c r="O80" s="180">
        <f t="shared" si="24"/>
        <v>3.7939482169080378E-2</v>
      </c>
      <c r="P80" s="180">
        <f t="shared" si="24"/>
        <v>5.1859071180094057E-2</v>
      </c>
    </row>
    <row r="81" spans="2:27">
      <c r="B81" s="153" t="s">
        <v>385</v>
      </c>
      <c r="C81" s="153" t="s">
        <v>389</v>
      </c>
      <c r="D81" s="317" t="str">
        <f t="shared" si="21"/>
        <v>DISP_INC_HAL</v>
      </c>
      <c r="E81" s="289" t="s">
        <v>65</v>
      </c>
      <c r="F81" s="180">
        <f>F60*$I$70*F$71</f>
        <v>5.4701855470499323E-4</v>
      </c>
      <c r="G81" s="180">
        <f t="shared" ref="G81:P81" si="25">G60*$I$70*G$71</f>
        <v>2.2686267563640262E-2</v>
      </c>
      <c r="H81" s="180">
        <f t="shared" si="25"/>
        <v>2.5994234519367389E-3</v>
      </c>
      <c r="I81" s="180">
        <f t="shared" si="25"/>
        <v>0</v>
      </c>
      <c r="J81" s="180">
        <f t="shared" si="25"/>
        <v>9.2987600698524089E-2</v>
      </c>
      <c r="K81" s="180">
        <f t="shared" si="25"/>
        <v>8.1852416842569817E-2</v>
      </c>
      <c r="L81" s="180">
        <f t="shared" si="25"/>
        <v>1.0091024256172323E-2</v>
      </c>
      <c r="M81" s="180">
        <f t="shared" si="25"/>
        <v>4.132956213810865E-3</v>
      </c>
      <c r="N81" s="180">
        <f t="shared" si="25"/>
        <v>4.4203867776568539E-2</v>
      </c>
      <c r="O81" s="180">
        <f t="shared" si="25"/>
        <v>1.5885785614422501E-3</v>
      </c>
      <c r="P81" s="180">
        <f t="shared" si="25"/>
        <v>1.401166437996834E-2</v>
      </c>
    </row>
    <row r="82" spans="2:27" ht="15">
      <c r="B82" s="153" t="s">
        <v>386</v>
      </c>
      <c r="C82" s="153"/>
      <c r="D82" s="317"/>
      <c r="E82" s="287" t="s">
        <v>155</v>
      </c>
    </row>
    <row r="83" spans="2:27">
      <c r="B83" s="153" t="s">
        <v>386</v>
      </c>
      <c r="C83" s="153" t="s">
        <v>388</v>
      </c>
      <c r="D83" s="317" t="str">
        <f t="shared" si="21"/>
        <v>HIGHBAY_LF2018</v>
      </c>
      <c r="E83" s="289" t="s">
        <v>156</v>
      </c>
      <c r="F83" s="180">
        <f>F62*$F$70</f>
        <v>0</v>
      </c>
      <c r="G83" s="180">
        <f t="shared" ref="G83:P83" si="26">G62*$F$70</f>
        <v>0.21644161194547487</v>
      </c>
      <c r="H83" s="180">
        <f t="shared" si="26"/>
        <v>9.3659401070437756E-2</v>
      </c>
      <c r="I83" s="180">
        <f t="shared" si="26"/>
        <v>0.16410947629018419</v>
      </c>
      <c r="J83" s="180">
        <f t="shared" si="26"/>
        <v>0.12188759123702265</v>
      </c>
      <c r="K83" s="180">
        <f t="shared" si="26"/>
        <v>0</v>
      </c>
      <c r="L83" s="180">
        <f t="shared" si="26"/>
        <v>1.2975319928347038E-3</v>
      </c>
      <c r="M83" s="180">
        <f t="shared" si="26"/>
        <v>1.8009637784632349E-3</v>
      </c>
      <c r="N83" s="180">
        <f t="shared" si="26"/>
        <v>6.0348421239864364E-2</v>
      </c>
      <c r="O83" s="180">
        <f t="shared" si="26"/>
        <v>6.4750996017422832E-2</v>
      </c>
      <c r="P83" s="180">
        <f t="shared" si="26"/>
        <v>8.3132473104455012E-2</v>
      </c>
    </row>
    <row r="84" spans="2:27">
      <c r="B84" s="153" t="s">
        <v>386</v>
      </c>
      <c r="C84" s="153" t="s">
        <v>33</v>
      </c>
      <c r="D84" s="317" t="str">
        <f t="shared" si="21"/>
        <v>HIGHBAY_HID</v>
      </c>
      <c r="E84" s="289" t="s">
        <v>33</v>
      </c>
      <c r="F84" s="180">
        <f>F63*F$71</f>
        <v>6.9336229209800808E-3</v>
      </c>
      <c r="G84" s="180">
        <f t="shared" ref="G84:P84" si="27">G63*G$71</f>
        <v>7.9716288944154792E-2</v>
      </c>
      <c r="H84" s="180">
        <f t="shared" si="27"/>
        <v>2.2799380883333057E-2</v>
      </c>
      <c r="I84" s="180">
        <f t="shared" si="27"/>
        <v>5.9947849854516885E-2</v>
      </c>
      <c r="J84" s="180">
        <f t="shared" si="27"/>
        <v>0</v>
      </c>
      <c r="K84" s="180">
        <f t="shared" si="27"/>
        <v>0</v>
      </c>
      <c r="L84" s="180">
        <f t="shared" si="27"/>
        <v>0</v>
      </c>
      <c r="M84" s="180">
        <f t="shared" si="27"/>
        <v>0</v>
      </c>
      <c r="N84" s="180">
        <f t="shared" si="27"/>
        <v>9.5303527346950412E-2</v>
      </c>
      <c r="O84" s="180">
        <f t="shared" si="27"/>
        <v>2.0664699079411406E-2</v>
      </c>
      <c r="P84" s="180">
        <f t="shared" si="27"/>
        <v>3.9021238827225253E-2</v>
      </c>
    </row>
    <row r="85" spans="2:27" ht="15">
      <c r="B85" s="153" t="s">
        <v>387</v>
      </c>
      <c r="C85" s="153"/>
      <c r="D85" s="317"/>
      <c r="E85" s="287" t="s">
        <v>9</v>
      </c>
    </row>
    <row r="86" spans="2:27">
      <c r="B86" s="153" t="s">
        <v>387</v>
      </c>
      <c r="C86" s="153" t="s">
        <v>41</v>
      </c>
      <c r="D86" s="317" t="str">
        <f t="shared" si="21"/>
        <v>OTHER_CFL</v>
      </c>
      <c r="E86" s="289" t="s">
        <v>41</v>
      </c>
      <c r="F86" s="180">
        <f>F65*F$71</f>
        <v>4.0735403531973059E-2</v>
      </c>
      <c r="G86" s="180">
        <f t="shared" ref="G86:P86" si="28">G65*G$71</f>
        <v>9.3310478983136096E-3</v>
      </c>
      <c r="H86" s="180">
        <f t="shared" si="28"/>
        <v>4.5185175542802283E-2</v>
      </c>
      <c r="I86" s="180">
        <f t="shared" si="28"/>
        <v>1.894552530326284E-2</v>
      </c>
      <c r="J86" s="180">
        <f t="shared" si="28"/>
        <v>0.1577137133895091</v>
      </c>
      <c r="K86" s="180">
        <f t="shared" si="28"/>
        <v>7.6925515866923741E-2</v>
      </c>
      <c r="L86" s="180">
        <f t="shared" si="28"/>
        <v>0.38895063631213583</v>
      </c>
      <c r="M86" s="180">
        <f t="shared" si="28"/>
        <v>0.19491468973491499</v>
      </c>
      <c r="N86" s="180">
        <f t="shared" si="28"/>
        <v>6.5068616865990248E-2</v>
      </c>
      <c r="O86" s="180">
        <f t="shared" si="28"/>
        <v>0.13751915627031558</v>
      </c>
      <c r="P86" s="180">
        <f t="shared" si="28"/>
        <v>7.644723621645827E-2</v>
      </c>
    </row>
    <row r="87" spans="2:27">
      <c r="B87" s="153" t="s">
        <v>387</v>
      </c>
      <c r="C87" s="153" t="s">
        <v>389</v>
      </c>
      <c r="D87" s="317" t="str">
        <f t="shared" si="21"/>
        <v>OTHER_INC_HAL</v>
      </c>
      <c r="E87" s="289" t="s">
        <v>65</v>
      </c>
      <c r="F87" s="180">
        <f>F66*$I$70*F$71</f>
        <v>2.6081350604543214E-2</v>
      </c>
      <c r="G87" s="180">
        <f t="shared" ref="G87:P87" si="29">G66*$I$70*G$71</f>
        <v>1.2027200334919119E-2</v>
      </c>
      <c r="H87" s="180">
        <f t="shared" si="29"/>
        <v>1.9268809705356171E-2</v>
      </c>
      <c r="I87" s="180">
        <f t="shared" si="29"/>
        <v>1.7973108598654287E-2</v>
      </c>
      <c r="J87" s="180">
        <f t="shared" si="29"/>
        <v>3.9503489662268999E-2</v>
      </c>
      <c r="K87" s="180">
        <f t="shared" si="29"/>
        <v>0.42878037595080026</v>
      </c>
      <c r="L87" s="180">
        <f t="shared" si="29"/>
        <v>0.1623957710238397</v>
      </c>
      <c r="M87" s="180">
        <f t="shared" si="29"/>
        <v>0.37741971308051681</v>
      </c>
      <c r="N87" s="180">
        <f t="shared" si="29"/>
        <v>0.1098998402147975</v>
      </c>
      <c r="O87" s="180">
        <f t="shared" si="29"/>
        <v>1.2161120158221763E-2</v>
      </c>
      <c r="P87" s="180">
        <f t="shared" si="29"/>
        <v>5.9585197746462822E-2</v>
      </c>
    </row>
    <row r="90" spans="2:27">
      <c r="E90" s="309" t="s">
        <v>374</v>
      </c>
      <c r="F90" s="309"/>
      <c r="G90" s="309"/>
      <c r="H90" s="309"/>
      <c r="I90" s="309"/>
      <c r="J90" s="309"/>
      <c r="K90" s="309"/>
      <c r="L90" s="309"/>
      <c r="M90" s="309"/>
      <c r="N90" s="309"/>
      <c r="O90" s="309"/>
      <c r="P90" s="309"/>
    </row>
    <row r="91" spans="2:27" ht="15">
      <c r="F91" s="319" t="s">
        <v>156</v>
      </c>
      <c r="G91" s="319" t="s">
        <v>157</v>
      </c>
      <c r="H91" s="319" t="s">
        <v>157</v>
      </c>
      <c r="I91" s="319" t="s">
        <v>154</v>
      </c>
      <c r="J91" s="319" t="s">
        <v>154</v>
      </c>
      <c r="K91" s="319" t="s">
        <v>155</v>
      </c>
      <c r="L91" s="319" t="s">
        <v>155</v>
      </c>
      <c r="M91" s="319" t="s">
        <v>9</v>
      </c>
      <c r="N91" s="319" t="s">
        <v>9</v>
      </c>
    </row>
    <row r="92" spans="2:27">
      <c r="F92" s="318" t="s">
        <v>156</v>
      </c>
      <c r="G92" s="318" t="s">
        <v>41</v>
      </c>
      <c r="H92" s="318" t="s">
        <v>65</v>
      </c>
      <c r="I92" s="318" t="s">
        <v>41</v>
      </c>
      <c r="J92" s="318" t="s">
        <v>65</v>
      </c>
      <c r="K92" s="318" t="s">
        <v>156</v>
      </c>
      <c r="L92" s="318" t="s">
        <v>33</v>
      </c>
      <c r="M92" s="318" t="s">
        <v>41</v>
      </c>
      <c r="N92" s="318" t="s">
        <v>65</v>
      </c>
    </row>
    <row r="93" spans="2:27">
      <c r="R93" t="s">
        <v>540</v>
      </c>
      <c r="S93">
        <v>1000</v>
      </c>
    </row>
    <row r="94" spans="2:27">
      <c r="E94" s="309" t="s">
        <v>539</v>
      </c>
      <c r="F94" s="309"/>
      <c r="G94" s="309"/>
      <c r="H94" s="309"/>
      <c r="I94" s="309"/>
      <c r="J94" s="309"/>
      <c r="K94" s="309"/>
      <c r="L94" s="309"/>
      <c r="M94" s="309"/>
      <c r="N94" s="309"/>
      <c r="O94" s="309"/>
      <c r="P94" s="309"/>
      <c r="R94" s="309" t="s">
        <v>414</v>
      </c>
      <c r="S94" s="309"/>
      <c r="T94" s="309"/>
      <c r="U94" s="309"/>
      <c r="V94" s="309"/>
      <c r="W94" s="309"/>
      <c r="X94" s="309"/>
      <c r="Y94" s="309"/>
      <c r="Z94" s="309"/>
      <c r="AA94" s="309"/>
    </row>
    <row r="95" spans="2:27" ht="15">
      <c r="E95" s="312" t="s">
        <v>198</v>
      </c>
      <c r="F95" s="317" t="s">
        <v>391</v>
      </c>
      <c r="G95" s="317" t="s">
        <v>392</v>
      </c>
      <c r="H95" s="317" t="s">
        <v>393</v>
      </c>
      <c r="I95" s="317" t="s">
        <v>394</v>
      </c>
      <c r="J95" s="317" t="s">
        <v>395</v>
      </c>
      <c r="K95" s="317" t="s">
        <v>396</v>
      </c>
      <c r="L95" s="317" t="s">
        <v>397</v>
      </c>
      <c r="M95" s="317" t="s">
        <v>398</v>
      </c>
      <c r="N95" s="317" t="s">
        <v>399</v>
      </c>
      <c r="R95" s="312" t="s">
        <v>198</v>
      </c>
      <c r="S95" s="391" t="s">
        <v>391</v>
      </c>
      <c r="T95" s="391" t="s">
        <v>392</v>
      </c>
      <c r="U95" s="391" t="s">
        <v>393</v>
      </c>
      <c r="V95" s="391" t="s">
        <v>394</v>
      </c>
      <c r="W95" s="391" t="s">
        <v>395</v>
      </c>
      <c r="X95" s="391" t="s">
        <v>396</v>
      </c>
      <c r="Y95" s="391" t="s">
        <v>397</v>
      </c>
      <c r="Z95" s="391" t="s">
        <v>398</v>
      </c>
      <c r="AA95" s="391" t="s">
        <v>399</v>
      </c>
    </row>
    <row r="96" spans="2:27">
      <c r="C96" s="153"/>
      <c r="D96" s="153" t="s">
        <v>31</v>
      </c>
      <c r="E96" s="313" t="s">
        <v>23</v>
      </c>
      <c r="F96" s="87">
        <f t="shared" ref="F96:N103" si="30">INDEX($D$73:$P$87,MATCH(F$95,$D$73:$D$87,0),MATCH($D96,$D$73:$P$73,0))</f>
        <v>0.5843510866356374</v>
      </c>
      <c r="G96" s="151">
        <f t="shared" si="30"/>
        <v>8.2799214040655475E-2</v>
      </c>
      <c r="H96" s="151">
        <f t="shared" si="30"/>
        <v>3.0048965586023796E-2</v>
      </c>
      <c r="I96" s="151">
        <f t="shared" si="30"/>
        <v>8.2799214040655475E-2</v>
      </c>
      <c r="J96" s="151">
        <f t="shared" si="30"/>
        <v>5.4701855470499323E-4</v>
      </c>
      <c r="K96" s="151">
        <f t="shared" si="30"/>
        <v>0</v>
      </c>
      <c r="L96" s="151">
        <f t="shared" si="30"/>
        <v>6.9336229209800808E-3</v>
      </c>
      <c r="M96" s="151">
        <f t="shared" si="30"/>
        <v>4.0735403531973059E-2</v>
      </c>
      <c r="N96" s="151">
        <f t="shared" si="30"/>
        <v>2.6081350604543214E-2</v>
      </c>
      <c r="R96" s="313" t="s">
        <v>23</v>
      </c>
      <c r="S96" s="392">
        <f>F96*$S$93</f>
        <v>584.35108663563744</v>
      </c>
      <c r="T96" s="392">
        <f t="shared" ref="T96:AA111" si="31">G96*$S$93</f>
        <v>82.799214040655471</v>
      </c>
      <c r="U96" s="392">
        <f t="shared" si="31"/>
        <v>30.048965586023797</v>
      </c>
      <c r="V96" s="392">
        <f t="shared" si="31"/>
        <v>82.799214040655471</v>
      </c>
      <c r="W96" s="392">
        <f t="shared" si="31"/>
        <v>0.54701855470499328</v>
      </c>
      <c r="X96" s="392">
        <f t="shared" si="31"/>
        <v>0</v>
      </c>
      <c r="Y96" s="392">
        <f t="shared" si="31"/>
        <v>6.9336229209800804</v>
      </c>
      <c r="Z96" s="392">
        <f t="shared" si="31"/>
        <v>40.735403531973063</v>
      </c>
      <c r="AA96" s="392">
        <f t="shared" si="31"/>
        <v>26.081350604543214</v>
      </c>
    </row>
    <row r="97" spans="3:27">
      <c r="C97" s="153"/>
      <c r="D97" s="153" t="s">
        <v>31</v>
      </c>
      <c r="E97" s="313" t="s">
        <v>22</v>
      </c>
      <c r="F97" s="87">
        <f t="shared" si="30"/>
        <v>0.5843510866356374</v>
      </c>
      <c r="G97" s="151">
        <f t="shared" si="30"/>
        <v>8.2799214040655475E-2</v>
      </c>
      <c r="H97" s="151">
        <f t="shared" si="30"/>
        <v>3.0048965586023796E-2</v>
      </c>
      <c r="I97" s="151">
        <f t="shared" si="30"/>
        <v>8.2799214040655475E-2</v>
      </c>
      <c r="J97" s="151">
        <f t="shared" si="30"/>
        <v>5.4701855470499323E-4</v>
      </c>
      <c r="K97" s="151">
        <f t="shared" si="30"/>
        <v>0</v>
      </c>
      <c r="L97" s="151">
        <f t="shared" si="30"/>
        <v>6.9336229209800808E-3</v>
      </c>
      <c r="M97" s="151">
        <f t="shared" si="30"/>
        <v>4.0735403531973059E-2</v>
      </c>
      <c r="N97" s="151">
        <f t="shared" si="30"/>
        <v>2.6081350604543214E-2</v>
      </c>
      <c r="R97" s="313" t="s">
        <v>22</v>
      </c>
      <c r="S97" s="392">
        <f t="shared" ref="S97:AA114" si="32">F97*$S$93</f>
        <v>584.35108663563744</v>
      </c>
      <c r="T97" s="392">
        <f t="shared" si="31"/>
        <v>82.799214040655471</v>
      </c>
      <c r="U97" s="392">
        <f t="shared" si="31"/>
        <v>30.048965586023797</v>
      </c>
      <c r="V97" s="392">
        <f t="shared" si="31"/>
        <v>82.799214040655471</v>
      </c>
      <c r="W97" s="392">
        <f t="shared" si="31"/>
        <v>0.54701855470499328</v>
      </c>
      <c r="X97" s="392">
        <f t="shared" si="31"/>
        <v>0</v>
      </c>
      <c r="Y97" s="392">
        <f t="shared" si="31"/>
        <v>6.9336229209800804</v>
      </c>
      <c r="Z97" s="392">
        <f t="shared" si="31"/>
        <v>40.735403531973063</v>
      </c>
      <c r="AA97" s="392">
        <f t="shared" si="31"/>
        <v>26.081350604543214</v>
      </c>
    </row>
    <row r="98" spans="3:27">
      <c r="C98" s="153"/>
      <c r="D98" s="153" t="s">
        <v>31</v>
      </c>
      <c r="E98" s="313" t="s">
        <v>21</v>
      </c>
      <c r="F98" s="87">
        <f t="shared" si="30"/>
        <v>0.5843510866356374</v>
      </c>
      <c r="G98" s="151">
        <f t="shared" si="30"/>
        <v>8.2799214040655475E-2</v>
      </c>
      <c r="H98" s="151">
        <f t="shared" si="30"/>
        <v>3.0048965586023796E-2</v>
      </c>
      <c r="I98" s="151">
        <f t="shared" si="30"/>
        <v>8.2799214040655475E-2</v>
      </c>
      <c r="J98" s="151">
        <f t="shared" si="30"/>
        <v>5.4701855470499323E-4</v>
      </c>
      <c r="K98" s="151">
        <f t="shared" si="30"/>
        <v>0</v>
      </c>
      <c r="L98" s="151">
        <f t="shared" si="30"/>
        <v>6.9336229209800808E-3</v>
      </c>
      <c r="M98" s="151">
        <f t="shared" si="30"/>
        <v>4.0735403531973059E-2</v>
      </c>
      <c r="N98" s="151">
        <f t="shared" si="30"/>
        <v>2.6081350604543214E-2</v>
      </c>
      <c r="R98" s="313" t="s">
        <v>21</v>
      </c>
      <c r="S98" s="392">
        <f t="shared" si="32"/>
        <v>584.35108663563744</v>
      </c>
      <c r="T98" s="392">
        <f t="shared" si="31"/>
        <v>82.799214040655471</v>
      </c>
      <c r="U98" s="392">
        <f t="shared" si="31"/>
        <v>30.048965586023797</v>
      </c>
      <c r="V98" s="392">
        <f t="shared" si="31"/>
        <v>82.799214040655471</v>
      </c>
      <c r="W98" s="392">
        <f t="shared" si="31"/>
        <v>0.54701855470499328</v>
      </c>
      <c r="X98" s="392">
        <f t="shared" si="31"/>
        <v>0</v>
      </c>
      <c r="Y98" s="392">
        <f t="shared" si="31"/>
        <v>6.9336229209800804</v>
      </c>
      <c r="Z98" s="392">
        <f t="shared" si="31"/>
        <v>40.735403531973063</v>
      </c>
      <c r="AA98" s="392">
        <f t="shared" si="31"/>
        <v>26.081350604543214</v>
      </c>
    </row>
    <row r="99" spans="3:27">
      <c r="C99" s="153"/>
      <c r="D99" s="153" t="s">
        <v>72</v>
      </c>
      <c r="E99" s="313" t="s">
        <v>375</v>
      </c>
      <c r="F99" s="87">
        <f t="shared" si="30"/>
        <v>0.68550003841467422</v>
      </c>
      <c r="G99" s="151">
        <f t="shared" si="30"/>
        <v>3.9357328587284683E-2</v>
      </c>
      <c r="H99" s="151">
        <f t="shared" si="30"/>
        <v>2.3789914508854967E-2</v>
      </c>
      <c r="I99" s="151">
        <f t="shared" si="30"/>
        <v>3.9357328587284683E-2</v>
      </c>
      <c r="J99" s="151">
        <f t="shared" si="30"/>
        <v>2.2686267563640262E-2</v>
      </c>
      <c r="K99" s="151">
        <f t="shared" si="30"/>
        <v>0.21644161194547487</v>
      </c>
      <c r="L99" s="151">
        <f t="shared" si="30"/>
        <v>7.9716288944154792E-2</v>
      </c>
      <c r="M99" s="151">
        <f t="shared" si="30"/>
        <v>9.3310478983136096E-3</v>
      </c>
      <c r="N99" s="151">
        <f t="shared" si="30"/>
        <v>1.2027200334919119E-2</v>
      </c>
      <c r="R99" s="313" t="s">
        <v>375</v>
      </c>
      <c r="S99" s="392">
        <f t="shared" si="32"/>
        <v>685.50003841467424</v>
      </c>
      <c r="T99" s="392">
        <f t="shared" si="31"/>
        <v>39.357328587284684</v>
      </c>
      <c r="U99" s="392">
        <f t="shared" si="31"/>
        <v>23.789914508854967</v>
      </c>
      <c r="V99" s="392">
        <f t="shared" si="31"/>
        <v>39.357328587284684</v>
      </c>
      <c r="W99" s="392">
        <f t="shared" si="31"/>
        <v>22.686267563640264</v>
      </c>
      <c r="X99" s="392">
        <f t="shared" si="31"/>
        <v>216.44161194547488</v>
      </c>
      <c r="Y99" s="392">
        <f t="shared" si="31"/>
        <v>79.716288944154797</v>
      </c>
      <c r="Z99" s="392">
        <f t="shared" si="31"/>
        <v>9.33104789831361</v>
      </c>
      <c r="AA99" s="392">
        <f t="shared" si="31"/>
        <v>12.027200334919119</v>
      </c>
    </row>
    <row r="100" spans="3:27">
      <c r="C100" s="153"/>
      <c r="D100" s="153" t="s">
        <v>72</v>
      </c>
      <c r="E100" s="313" t="s">
        <v>376</v>
      </c>
      <c r="F100" s="87">
        <f t="shared" si="30"/>
        <v>0.68550003841467422</v>
      </c>
      <c r="G100" s="151">
        <f t="shared" si="30"/>
        <v>3.9357328587284683E-2</v>
      </c>
      <c r="H100" s="151">
        <f t="shared" si="30"/>
        <v>2.3789914508854967E-2</v>
      </c>
      <c r="I100" s="151">
        <f t="shared" si="30"/>
        <v>3.9357328587284683E-2</v>
      </c>
      <c r="J100" s="151">
        <f t="shared" si="30"/>
        <v>2.2686267563640262E-2</v>
      </c>
      <c r="K100" s="151">
        <f t="shared" si="30"/>
        <v>0.21644161194547487</v>
      </c>
      <c r="L100" s="151">
        <f t="shared" si="30"/>
        <v>7.9716288944154792E-2</v>
      </c>
      <c r="M100" s="151">
        <f t="shared" si="30"/>
        <v>9.3310478983136096E-3</v>
      </c>
      <c r="N100" s="151">
        <f t="shared" si="30"/>
        <v>1.2027200334919119E-2</v>
      </c>
      <c r="R100" s="313" t="s">
        <v>376</v>
      </c>
      <c r="S100" s="392">
        <f t="shared" si="32"/>
        <v>685.50003841467424</v>
      </c>
      <c r="T100" s="392">
        <f t="shared" si="31"/>
        <v>39.357328587284684</v>
      </c>
      <c r="U100" s="392">
        <f t="shared" si="31"/>
        <v>23.789914508854967</v>
      </c>
      <c r="V100" s="392">
        <f t="shared" si="31"/>
        <v>39.357328587284684</v>
      </c>
      <c r="W100" s="392">
        <f t="shared" si="31"/>
        <v>22.686267563640264</v>
      </c>
      <c r="X100" s="392">
        <f t="shared" si="31"/>
        <v>216.44161194547488</v>
      </c>
      <c r="Y100" s="392">
        <f t="shared" si="31"/>
        <v>79.716288944154797</v>
      </c>
      <c r="Z100" s="392">
        <f t="shared" si="31"/>
        <v>9.33104789831361</v>
      </c>
      <c r="AA100" s="392">
        <f t="shared" si="31"/>
        <v>12.027200334919119</v>
      </c>
    </row>
    <row r="101" spans="3:27">
      <c r="C101" s="153"/>
      <c r="D101" s="153" t="s">
        <v>72</v>
      </c>
      <c r="E101" s="313" t="s">
        <v>377</v>
      </c>
      <c r="F101" s="87">
        <f t="shared" si="30"/>
        <v>0.68550003841467422</v>
      </c>
      <c r="G101" s="151">
        <f t="shared" si="30"/>
        <v>3.9357328587284683E-2</v>
      </c>
      <c r="H101" s="151">
        <f t="shared" si="30"/>
        <v>2.3789914508854967E-2</v>
      </c>
      <c r="I101" s="151">
        <f t="shared" si="30"/>
        <v>3.9357328587284683E-2</v>
      </c>
      <c r="J101" s="151">
        <f t="shared" si="30"/>
        <v>2.2686267563640262E-2</v>
      </c>
      <c r="K101" s="151">
        <f t="shared" si="30"/>
        <v>0.21644161194547487</v>
      </c>
      <c r="L101" s="151">
        <f t="shared" si="30"/>
        <v>7.9716288944154792E-2</v>
      </c>
      <c r="M101" s="151">
        <f t="shared" si="30"/>
        <v>9.3310478983136096E-3</v>
      </c>
      <c r="N101" s="151">
        <f t="shared" si="30"/>
        <v>1.2027200334919119E-2</v>
      </c>
      <c r="R101" s="313" t="s">
        <v>377</v>
      </c>
      <c r="S101" s="392">
        <f t="shared" si="32"/>
        <v>685.50003841467424</v>
      </c>
      <c r="T101" s="392">
        <f t="shared" si="31"/>
        <v>39.357328587284684</v>
      </c>
      <c r="U101" s="392">
        <f t="shared" si="31"/>
        <v>23.789914508854967</v>
      </c>
      <c r="V101" s="392">
        <f t="shared" si="31"/>
        <v>39.357328587284684</v>
      </c>
      <c r="W101" s="392">
        <f t="shared" si="31"/>
        <v>22.686267563640264</v>
      </c>
      <c r="X101" s="392">
        <f t="shared" si="31"/>
        <v>216.44161194547488</v>
      </c>
      <c r="Y101" s="392">
        <f t="shared" si="31"/>
        <v>79.716288944154797</v>
      </c>
      <c r="Z101" s="392">
        <f t="shared" si="31"/>
        <v>9.33104789831361</v>
      </c>
      <c r="AA101" s="392">
        <f t="shared" si="31"/>
        <v>12.027200334919119</v>
      </c>
    </row>
    <row r="102" spans="3:27">
      <c r="C102" s="153"/>
      <c r="D102" s="153" t="s">
        <v>72</v>
      </c>
      <c r="E102" s="313" t="s">
        <v>378</v>
      </c>
      <c r="F102" s="87">
        <f t="shared" si="30"/>
        <v>0.68550003841467422</v>
      </c>
      <c r="G102" s="151">
        <f t="shared" si="30"/>
        <v>3.9357328587284683E-2</v>
      </c>
      <c r="H102" s="151">
        <f t="shared" si="30"/>
        <v>2.3789914508854967E-2</v>
      </c>
      <c r="I102" s="151">
        <f t="shared" si="30"/>
        <v>3.9357328587284683E-2</v>
      </c>
      <c r="J102" s="151">
        <f t="shared" si="30"/>
        <v>2.2686267563640262E-2</v>
      </c>
      <c r="K102" s="151">
        <f t="shared" si="30"/>
        <v>0.21644161194547487</v>
      </c>
      <c r="L102" s="151">
        <f t="shared" si="30"/>
        <v>7.9716288944154792E-2</v>
      </c>
      <c r="M102" s="151">
        <f t="shared" si="30"/>
        <v>9.3310478983136096E-3</v>
      </c>
      <c r="N102" s="151">
        <f t="shared" si="30"/>
        <v>1.2027200334919119E-2</v>
      </c>
      <c r="R102" s="313" t="s">
        <v>378</v>
      </c>
      <c r="S102" s="392">
        <f t="shared" si="32"/>
        <v>685.50003841467424</v>
      </c>
      <c r="T102" s="392">
        <f t="shared" si="31"/>
        <v>39.357328587284684</v>
      </c>
      <c r="U102" s="392">
        <f t="shared" si="31"/>
        <v>23.789914508854967</v>
      </c>
      <c r="V102" s="392">
        <f t="shared" si="31"/>
        <v>39.357328587284684</v>
      </c>
      <c r="W102" s="392">
        <f t="shared" si="31"/>
        <v>22.686267563640264</v>
      </c>
      <c r="X102" s="392">
        <f t="shared" si="31"/>
        <v>216.44161194547488</v>
      </c>
      <c r="Y102" s="392">
        <f t="shared" si="31"/>
        <v>79.716288944154797</v>
      </c>
      <c r="Z102" s="392">
        <f t="shared" si="31"/>
        <v>9.33104789831361</v>
      </c>
      <c r="AA102" s="392">
        <f t="shared" si="31"/>
        <v>12.027200334919119</v>
      </c>
    </row>
    <row r="103" spans="3:27">
      <c r="C103" s="153"/>
      <c r="D103" s="153" t="s">
        <v>73</v>
      </c>
      <c r="E103" s="313" t="s">
        <v>73</v>
      </c>
      <c r="F103" s="87">
        <f t="shared" si="30"/>
        <v>0.65371201430320069</v>
      </c>
      <c r="G103" s="151">
        <f t="shared" si="30"/>
        <v>3.8860013276793483E-2</v>
      </c>
      <c r="H103" s="151">
        <f t="shared" si="30"/>
        <v>2.8076235985719601E-4</v>
      </c>
      <c r="I103" s="151">
        <f t="shared" si="30"/>
        <v>3.8860013276793483E-2</v>
      </c>
      <c r="J103" s="151">
        <f t="shared" si="30"/>
        <v>2.5994234519367389E-3</v>
      </c>
      <c r="K103" s="151">
        <f t="shared" si="30"/>
        <v>9.3659401070437756E-2</v>
      </c>
      <c r="L103" s="151">
        <f t="shared" si="30"/>
        <v>2.2799380883333057E-2</v>
      </c>
      <c r="M103" s="151">
        <f t="shared" si="30"/>
        <v>4.5185175542802283E-2</v>
      </c>
      <c r="N103" s="151">
        <f t="shared" si="30"/>
        <v>1.9268809705356171E-2</v>
      </c>
      <c r="R103" s="313" t="s">
        <v>73</v>
      </c>
      <c r="S103" s="392">
        <f t="shared" si="32"/>
        <v>653.7120143032007</v>
      </c>
      <c r="T103" s="392">
        <f t="shared" si="31"/>
        <v>38.860013276793481</v>
      </c>
      <c r="U103" s="392">
        <f t="shared" si="31"/>
        <v>0.280762359857196</v>
      </c>
      <c r="V103" s="392">
        <f t="shared" si="31"/>
        <v>38.860013276793481</v>
      </c>
      <c r="W103" s="392">
        <f t="shared" si="31"/>
        <v>2.599423451936739</v>
      </c>
      <c r="X103" s="392">
        <f t="shared" si="31"/>
        <v>93.659401070437752</v>
      </c>
      <c r="Y103" s="392">
        <f t="shared" si="31"/>
        <v>22.799380883333058</v>
      </c>
      <c r="Z103" s="392">
        <f t="shared" si="31"/>
        <v>45.185175542802284</v>
      </c>
      <c r="AA103" s="392">
        <f t="shared" si="31"/>
        <v>19.268809705356169</v>
      </c>
    </row>
    <row r="104" spans="3:27">
      <c r="C104" s="153">
        <v>1</v>
      </c>
      <c r="D104" s="153" t="s">
        <v>62</v>
      </c>
      <c r="E104" s="313" t="s">
        <v>17</v>
      </c>
      <c r="F104" s="87">
        <f t="shared" ref="F104:N104" si="33">INDEX($D$73:$P$87,MATCH(F$95,$D$73:$D$87,0),MATCH($D104,$D$73:$P$73,0))*$C$104</f>
        <v>0.50994094126691847</v>
      </c>
      <c r="G104" s="151">
        <f t="shared" si="33"/>
        <v>5.1859071180094057E-2</v>
      </c>
      <c r="H104" s="151">
        <f t="shared" si="33"/>
        <v>2.883102345132051E-2</v>
      </c>
      <c r="I104" s="151">
        <f t="shared" si="33"/>
        <v>5.1859071180094057E-2</v>
      </c>
      <c r="J104" s="151">
        <f t="shared" si="33"/>
        <v>1.401166437996834E-2</v>
      </c>
      <c r="K104" s="151">
        <f t="shared" si="33"/>
        <v>8.3132473104455012E-2</v>
      </c>
      <c r="L104" s="151">
        <f t="shared" si="33"/>
        <v>3.9021238827225253E-2</v>
      </c>
      <c r="M104" s="151">
        <f t="shared" si="33"/>
        <v>7.644723621645827E-2</v>
      </c>
      <c r="N104" s="151">
        <f t="shared" si="33"/>
        <v>5.9585197746462822E-2</v>
      </c>
      <c r="R104" s="313" t="s">
        <v>17</v>
      </c>
      <c r="S104" s="392">
        <f t="shared" si="32"/>
        <v>509.94094126691846</v>
      </c>
      <c r="T104" s="392">
        <f t="shared" si="31"/>
        <v>51.859071180094055</v>
      </c>
      <c r="U104" s="392">
        <f t="shared" si="31"/>
        <v>28.831023451320508</v>
      </c>
      <c r="V104" s="392">
        <f t="shared" si="31"/>
        <v>51.859071180094055</v>
      </c>
      <c r="W104" s="392">
        <f t="shared" si="31"/>
        <v>14.011664379968339</v>
      </c>
      <c r="X104" s="392">
        <f t="shared" si="31"/>
        <v>83.132473104455016</v>
      </c>
      <c r="Y104" s="392">
        <f t="shared" si="31"/>
        <v>39.021238827225254</v>
      </c>
      <c r="Z104" s="392">
        <f t="shared" si="31"/>
        <v>76.447236216458265</v>
      </c>
      <c r="AA104" s="392">
        <f t="shared" si="31"/>
        <v>59.585197746462825</v>
      </c>
    </row>
    <row r="105" spans="3:27">
      <c r="C105" s="153"/>
      <c r="D105" s="153" t="s">
        <v>16</v>
      </c>
      <c r="E105" s="313" t="s">
        <v>16</v>
      </c>
      <c r="F105" s="87">
        <f t="shared" ref="F105:N109" si="34">INDEX($D$73:$P$87,MATCH(F$95,$D$73:$D$87,0),MATCH($D105,$D$73:$P$73,0))</f>
        <v>0.28934426703725646</v>
      </c>
      <c r="G105" s="151">
        <f t="shared" si="34"/>
        <v>5.1730452202633081E-4</v>
      </c>
      <c r="H105" s="151">
        <f t="shared" si="34"/>
        <v>9.0082413764924383E-4</v>
      </c>
      <c r="I105" s="151">
        <f t="shared" si="34"/>
        <v>5.1730452202633081E-4</v>
      </c>
      <c r="J105" s="151">
        <f t="shared" si="34"/>
        <v>0</v>
      </c>
      <c r="K105" s="151">
        <f t="shared" si="34"/>
        <v>0.16410947629018419</v>
      </c>
      <c r="L105" s="151">
        <f t="shared" si="34"/>
        <v>5.9947849854516885E-2</v>
      </c>
      <c r="M105" s="151">
        <f t="shared" si="34"/>
        <v>1.894552530326284E-2</v>
      </c>
      <c r="N105" s="151">
        <f t="shared" si="34"/>
        <v>1.7973108598654287E-2</v>
      </c>
      <c r="R105" s="313" t="s">
        <v>16</v>
      </c>
      <c r="S105" s="392">
        <f t="shared" si="32"/>
        <v>289.34426703725649</v>
      </c>
      <c r="T105" s="392">
        <f t="shared" si="31"/>
        <v>0.51730452202633082</v>
      </c>
      <c r="U105" s="392">
        <f t="shared" si="31"/>
        <v>0.90082413764924385</v>
      </c>
      <c r="V105" s="392">
        <f t="shared" si="31"/>
        <v>0.51730452202633082</v>
      </c>
      <c r="W105" s="392">
        <f t="shared" si="31"/>
        <v>0</v>
      </c>
      <c r="X105" s="392">
        <f t="shared" si="31"/>
        <v>164.10947629018418</v>
      </c>
      <c r="Y105" s="392">
        <f t="shared" si="31"/>
        <v>59.947849854516882</v>
      </c>
      <c r="Z105" s="392">
        <f t="shared" si="31"/>
        <v>18.945525303262841</v>
      </c>
      <c r="AA105" s="392">
        <f t="shared" si="31"/>
        <v>17.973108598654289</v>
      </c>
    </row>
    <row r="106" spans="3:27">
      <c r="C106" s="153"/>
      <c r="D106" s="153" t="s">
        <v>28</v>
      </c>
      <c r="E106" s="313" t="s">
        <v>15</v>
      </c>
      <c r="F106" s="87">
        <f t="shared" si="34"/>
        <v>0.66845399976345876</v>
      </c>
      <c r="G106" s="151">
        <f t="shared" si="34"/>
        <v>5.9633182563258403E-3</v>
      </c>
      <c r="H106" s="151">
        <f t="shared" si="34"/>
        <v>2.2303335948674584E-3</v>
      </c>
      <c r="I106" s="151">
        <f t="shared" si="34"/>
        <v>5.9633182563258403E-3</v>
      </c>
      <c r="J106" s="151">
        <f t="shared" si="34"/>
        <v>9.2987600698524089E-2</v>
      </c>
      <c r="K106" s="151">
        <f t="shared" si="34"/>
        <v>0.12188759123702265</v>
      </c>
      <c r="L106" s="151">
        <f t="shared" si="34"/>
        <v>0</v>
      </c>
      <c r="M106" s="151">
        <f t="shared" si="34"/>
        <v>0.1577137133895091</v>
      </c>
      <c r="N106" s="151">
        <f t="shared" si="34"/>
        <v>3.9503489662268999E-2</v>
      </c>
      <c r="R106" s="313" t="s">
        <v>15</v>
      </c>
      <c r="S106" s="392">
        <f t="shared" si="32"/>
        <v>668.4539997634588</v>
      </c>
      <c r="T106" s="392">
        <f t="shared" si="31"/>
        <v>5.9633182563258407</v>
      </c>
      <c r="U106" s="392">
        <f t="shared" si="31"/>
        <v>2.2303335948674583</v>
      </c>
      <c r="V106" s="392">
        <f t="shared" si="31"/>
        <v>5.9633182563258407</v>
      </c>
      <c r="W106" s="392">
        <f t="shared" si="31"/>
        <v>92.987600698524091</v>
      </c>
      <c r="X106" s="392">
        <f t="shared" si="31"/>
        <v>121.88759123702266</v>
      </c>
      <c r="Y106" s="392">
        <f t="shared" si="31"/>
        <v>0</v>
      </c>
      <c r="Z106" s="392">
        <f t="shared" si="31"/>
        <v>157.71371338950911</v>
      </c>
      <c r="AA106" s="392">
        <f t="shared" si="31"/>
        <v>39.503489662268997</v>
      </c>
    </row>
    <row r="107" spans="3:27">
      <c r="C107" s="153"/>
      <c r="D107" s="153" t="s">
        <v>28</v>
      </c>
      <c r="E107" s="313" t="s">
        <v>54</v>
      </c>
      <c r="F107" s="87">
        <f t="shared" si="34"/>
        <v>0.66845399976345876</v>
      </c>
      <c r="G107" s="151">
        <f t="shared" si="34"/>
        <v>5.9633182563258403E-3</v>
      </c>
      <c r="H107" s="151">
        <f t="shared" si="34"/>
        <v>2.2303335948674584E-3</v>
      </c>
      <c r="I107" s="151">
        <f t="shared" si="34"/>
        <v>5.9633182563258403E-3</v>
      </c>
      <c r="J107" s="151">
        <f t="shared" si="34"/>
        <v>9.2987600698524089E-2</v>
      </c>
      <c r="K107" s="151">
        <f t="shared" si="34"/>
        <v>0.12188759123702265</v>
      </c>
      <c r="L107" s="151">
        <f t="shared" si="34"/>
        <v>0</v>
      </c>
      <c r="M107" s="151">
        <f t="shared" si="34"/>
        <v>0.1577137133895091</v>
      </c>
      <c r="N107" s="151">
        <f t="shared" si="34"/>
        <v>3.9503489662268999E-2</v>
      </c>
      <c r="R107" s="313" t="s">
        <v>54</v>
      </c>
      <c r="S107" s="392">
        <f t="shared" si="32"/>
        <v>668.4539997634588</v>
      </c>
      <c r="T107" s="392">
        <f t="shared" si="31"/>
        <v>5.9633182563258407</v>
      </c>
      <c r="U107" s="392">
        <f t="shared" si="31"/>
        <v>2.2303335948674583</v>
      </c>
      <c r="V107" s="392">
        <f t="shared" si="31"/>
        <v>5.9633182563258407</v>
      </c>
      <c r="W107" s="392">
        <f t="shared" si="31"/>
        <v>92.987600698524091</v>
      </c>
      <c r="X107" s="392">
        <f t="shared" si="31"/>
        <v>121.88759123702266</v>
      </c>
      <c r="Y107" s="392">
        <f t="shared" si="31"/>
        <v>0</v>
      </c>
      <c r="Z107" s="392">
        <f t="shared" si="31"/>
        <v>157.71371338950911</v>
      </c>
      <c r="AA107" s="392">
        <f t="shared" si="31"/>
        <v>39.503489662268997</v>
      </c>
    </row>
    <row r="108" spans="3:27">
      <c r="C108" s="153"/>
      <c r="D108" s="153" t="s">
        <v>14</v>
      </c>
      <c r="E108" s="313" t="s">
        <v>14</v>
      </c>
      <c r="F108" s="87">
        <f t="shared" si="34"/>
        <v>0.3799552076152215</v>
      </c>
      <c r="G108" s="151">
        <f t="shared" si="34"/>
        <v>0.10328680934104714</v>
      </c>
      <c r="H108" s="151">
        <f t="shared" si="34"/>
        <v>8.3463082605157557E-2</v>
      </c>
      <c r="I108" s="151">
        <f t="shared" si="34"/>
        <v>0.10328680934104714</v>
      </c>
      <c r="J108" s="151">
        <f t="shared" si="34"/>
        <v>8.1852416842569817E-2</v>
      </c>
      <c r="K108" s="151">
        <f t="shared" si="34"/>
        <v>0</v>
      </c>
      <c r="L108" s="151">
        <f t="shared" si="34"/>
        <v>0</v>
      </c>
      <c r="M108" s="151">
        <f t="shared" si="34"/>
        <v>7.6925515866923741E-2</v>
      </c>
      <c r="N108" s="151">
        <f t="shared" si="34"/>
        <v>0.42878037595080026</v>
      </c>
      <c r="R108" s="313" t="s">
        <v>14</v>
      </c>
      <c r="S108" s="392">
        <f t="shared" si="32"/>
        <v>379.95520761522152</v>
      </c>
      <c r="T108" s="392">
        <f t="shared" si="31"/>
        <v>103.28680934104715</v>
      </c>
      <c r="U108" s="392">
        <f t="shared" si="31"/>
        <v>83.463082605157553</v>
      </c>
      <c r="V108" s="392">
        <f t="shared" si="31"/>
        <v>103.28680934104715</v>
      </c>
      <c r="W108" s="392">
        <f t="shared" si="31"/>
        <v>81.852416842569824</v>
      </c>
      <c r="X108" s="392">
        <f t="shared" si="31"/>
        <v>0</v>
      </c>
      <c r="Y108" s="392">
        <f t="shared" si="31"/>
        <v>0</v>
      </c>
      <c r="Z108" s="392">
        <f t="shared" si="31"/>
        <v>76.925515866923746</v>
      </c>
      <c r="AA108" s="392">
        <f t="shared" si="31"/>
        <v>428.78037595080025</v>
      </c>
    </row>
    <row r="109" spans="3:27">
      <c r="C109" s="153"/>
      <c r="D109" s="153" t="s">
        <v>13</v>
      </c>
      <c r="E109" s="313" t="s">
        <v>13</v>
      </c>
      <c r="F109" s="87">
        <f t="shared" si="34"/>
        <v>0.19016771552500156</v>
      </c>
      <c r="G109" s="151">
        <f t="shared" si="34"/>
        <v>7.0852265580570881E-2</v>
      </c>
      <c r="H109" s="151">
        <f t="shared" si="34"/>
        <v>7.984853858645008E-2</v>
      </c>
      <c r="I109" s="151">
        <f t="shared" si="34"/>
        <v>7.0852265580570881E-2</v>
      </c>
      <c r="J109" s="151">
        <f t="shared" si="34"/>
        <v>1.0091024256172323E-2</v>
      </c>
      <c r="K109" s="151">
        <f t="shared" si="34"/>
        <v>1.2975319928347038E-3</v>
      </c>
      <c r="L109" s="151">
        <f t="shared" si="34"/>
        <v>0</v>
      </c>
      <c r="M109" s="151">
        <f t="shared" si="34"/>
        <v>0.38895063631213583</v>
      </c>
      <c r="N109" s="151">
        <f t="shared" si="34"/>
        <v>0.1623957710238397</v>
      </c>
      <c r="R109" s="313" t="s">
        <v>13</v>
      </c>
      <c r="S109" s="392">
        <f t="shared" si="32"/>
        <v>190.16771552500157</v>
      </c>
      <c r="T109" s="392">
        <f t="shared" si="31"/>
        <v>70.852265580570887</v>
      </c>
      <c r="U109" s="392">
        <f t="shared" si="31"/>
        <v>79.848538586450076</v>
      </c>
      <c r="V109" s="392">
        <f t="shared" si="31"/>
        <v>70.852265580570887</v>
      </c>
      <c r="W109" s="392">
        <f t="shared" si="31"/>
        <v>10.091024256172323</v>
      </c>
      <c r="X109" s="392">
        <f t="shared" si="31"/>
        <v>1.2975319928347038</v>
      </c>
      <c r="Y109" s="392">
        <f t="shared" si="31"/>
        <v>0</v>
      </c>
      <c r="Z109" s="392">
        <f t="shared" si="31"/>
        <v>388.95063631213583</v>
      </c>
      <c r="AA109" s="392">
        <f t="shared" si="31"/>
        <v>162.3957710238397</v>
      </c>
    </row>
    <row r="110" spans="3:27">
      <c r="C110" s="153">
        <v>1.1000000000000001</v>
      </c>
      <c r="D110" s="153" t="s">
        <v>62</v>
      </c>
      <c r="E110" s="313" t="s">
        <v>12</v>
      </c>
      <c r="F110" s="87">
        <f t="shared" ref="F110:N110" si="35">INDEX($D$73:$P$87,MATCH(F$95,$D$73:$D$87,0),MATCH($D110,$D$73:$P$73,0))*$C$110</f>
        <v>0.56093503539361034</v>
      </c>
      <c r="G110" s="151">
        <f t="shared" si="35"/>
        <v>5.7044978298103469E-2</v>
      </c>
      <c r="H110" s="151">
        <f t="shared" si="35"/>
        <v>3.1714125796452566E-2</v>
      </c>
      <c r="I110" s="151">
        <f t="shared" si="35"/>
        <v>5.7044978298103469E-2</v>
      </c>
      <c r="J110" s="151">
        <f t="shared" si="35"/>
        <v>1.5412830817965175E-2</v>
      </c>
      <c r="K110" s="151">
        <f t="shared" si="35"/>
        <v>9.1445720414900525E-2</v>
      </c>
      <c r="L110" s="151">
        <f t="shared" si="35"/>
        <v>4.2923362709947781E-2</v>
      </c>
      <c r="M110" s="151">
        <f t="shared" si="35"/>
        <v>8.4091959838104108E-2</v>
      </c>
      <c r="N110" s="151">
        <f t="shared" si="35"/>
        <v>6.5543717521109116E-2</v>
      </c>
      <c r="R110" s="313" t="s">
        <v>12</v>
      </c>
      <c r="S110" s="392">
        <f t="shared" si="32"/>
        <v>560.93503539361029</v>
      </c>
      <c r="T110" s="392">
        <f t="shared" si="31"/>
        <v>57.044978298103466</v>
      </c>
      <c r="U110" s="392">
        <f t="shared" si="31"/>
        <v>31.714125796452567</v>
      </c>
      <c r="V110" s="392">
        <f t="shared" si="31"/>
        <v>57.044978298103466</v>
      </c>
      <c r="W110" s="392">
        <f t="shared" si="31"/>
        <v>15.412830817965176</v>
      </c>
      <c r="X110" s="392">
        <f t="shared" si="31"/>
        <v>91.445720414900521</v>
      </c>
      <c r="Y110" s="392">
        <f t="shared" si="31"/>
        <v>42.923362709947781</v>
      </c>
      <c r="Z110" s="392">
        <f t="shared" si="31"/>
        <v>84.091959838104103</v>
      </c>
      <c r="AA110" s="392">
        <f t="shared" si="31"/>
        <v>65.543717521109116</v>
      </c>
    </row>
    <row r="111" spans="3:27">
      <c r="C111" s="153"/>
      <c r="D111" s="153" t="s">
        <v>158</v>
      </c>
      <c r="E111" s="313" t="s">
        <v>158</v>
      </c>
      <c r="F111" s="87">
        <f t="shared" ref="F111:N114" si="36">INDEX($D$73:$P$87,MATCH(F$95,$D$73:$D$87,0),MATCH($D111,$D$73:$P$73,0))</f>
        <v>0.27639430298277484</v>
      </c>
      <c r="G111" s="151">
        <f t="shared" si="36"/>
        <v>6.2759541341859709E-2</v>
      </c>
      <c r="H111" s="151">
        <f t="shared" si="36"/>
        <v>3.9018315033086622E-2</v>
      </c>
      <c r="I111" s="151">
        <f t="shared" si="36"/>
        <v>6.2759541341859709E-2</v>
      </c>
      <c r="J111" s="151">
        <f t="shared" si="36"/>
        <v>4.132956213810865E-3</v>
      </c>
      <c r="K111" s="151">
        <f t="shared" si="36"/>
        <v>1.8009637784632349E-3</v>
      </c>
      <c r="L111" s="151">
        <f t="shared" si="36"/>
        <v>0</v>
      </c>
      <c r="M111" s="151">
        <f t="shared" si="36"/>
        <v>0.19491468973491499</v>
      </c>
      <c r="N111" s="151">
        <f t="shared" si="36"/>
        <v>0.37741971308051681</v>
      </c>
      <c r="R111" s="313" t="s">
        <v>158</v>
      </c>
      <c r="S111" s="392">
        <f t="shared" si="32"/>
        <v>276.39430298277483</v>
      </c>
      <c r="T111" s="392">
        <f t="shared" si="31"/>
        <v>62.759541341859709</v>
      </c>
      <c r="U111" s="392">
        <f t="shared" si="31"/>
        <v>39.018315033086623</v>
      </c>
      <c r="V111" s="392">
        <f t="shared" si="31"/>
        <v>62.759541341859709</v>
      </c>
      <c r="W111" s="392">
        <f t="shared" si="31"/>
        <v>4.1329562138108651</v>
      </c>
      <c r="X111" s="392">
        <f t="shared" si="31"/>
        <v>1.8009637784632349</v>
      </c>
      <c r="Y111" s="392">
        <f t="shared" si="31"/>
        <v>0</v>
      </c>
      <c r="Z111" s="392">
        <f t="shared" si="31"/>
        <v>194.91468973491499</v>
      </c>
      <c r="AA111" s="392">
        <f t="shared" si="31"/>
        <v>377.41971308051683</v>
      </c>
    </row>
    <row r="112" spans="3:27">
      <c r="C112" s="153"/>
      <c r="D112" s="153" t="s">
        <v>10</v>
      </c>
      <c r="E112" s="313" t="s">
        <v>10</v>
      </c>
      <c r="F112" s="87">
        <f t="shared" si="36"/>
        <v>0.47088839982984171</v>
      </c>
      <c r="G112" s="151">
        <f t="shared" si="36"/>
        <v>6.8285879256126947E-2</v>
      </c>
      <c r="H112" s="151">
        <f t="shared" si="36"/>
        <v>5.922641799192626E-2</v>
      </c>
      <c r="I112" s="151">
        <f t="shared" si="36"/>
        <v>6.8285879256126947E-2</v>
      </c>
      <c r="J112" s="151">
        <f t="shared" si="36"/>
        <v>4.4203867776568539E-2</v>
      </c>
      <c r="K112" s="151">
        <f t="shared" si="36"/>
        <v>6.0348421239864364E-2</v>
      </c>
      <c r="L112" s="151">
        <f t="shared" si="36"/>
        <v>9.5303527346950412E-2</v>
      </c>
      <c r="M112" s="151">
        <f t="shared" si="36"/>
        <v>6.5068616865990248E-2</v>
      </c>
      <c r="N112" s="151">
        <f t="shared" si="36"/>
        <v>0.1098998402147975</v>
      </c>
      <c r="R112" s="313" t="s">
        <v>10</v>
      </c>
      <c r="S112" s="392">
        <f t="shared" si="32"/>
        <v>470.88839982984172</v>
      </c>
      <c r="T112" s="392">
        <f t="shared" si="32"/>
        <v>68.285879256126947</v>
      </c>
      <c r="U112" s="392">
        <f t="shared" si="32"/>
        <v>59.226417991926262</v>
      </c>
      <c r="V112" s="392">
        <f t="shared" si="32"/>
        <v>68.285879256126947</v>
      </c>
      <c r="W112" s="392">
        <f t="shared" si="32"/>
        <v>44.203867776568536</v>
      </c>
      <c r="X112" s="392">
        <f t="shared" si="32"/>
        <v>60.348421239864365</v>
      </c>
      <c r="Y112" s="392">
        <f t="shared" si="32"/>
        <v>95.303527346950418</v>
      </c>
      <c r="Z112" s="392">
        <f t="shared" si="32"/>
        <v>65.068616865990251</v>
      </c>
      <c r="AA112" s="392">
        <f t="shared" si="32"/>
        <v>109.89984021479749</v>
      </c>
    </row>
    <row r="113" spans="3:27">
      <c r="C113" s="153"/>
      <c r="D113" s="153" t="s">
        <v>9</v>
      </c>
      <c r="E113" s="313" t="s">
        <v>9</v>
      </c>
      <c r="F113" s="87">
        <f t="shared" si="36"/>
        <v>0.57525322985761795</v>
      </c>
      <c r="G113" s="151">
        <f t="shared" si="36"/>
        <v>3.7939482169080378E-2</v>
      </c>
      <c r="H113" s="151">
        <f t="shared" si="36"/>
        <v>2.1662421149709211E-2</v>
      </c>
      <c r="I113" s="151">
        <f t="shared" si="36"/>
        <v>3.7939482169080378E-2</v>
      </c>
      <c r="J113" s="151">
        <f t="shared" si="36"/>
        <v>1.5885785614422501E-3</v>
      </c>
      <c r="K113" s="151">
        <f t="shared" si="36"/>
        <v>6.4750996017422832E-2</v>
      </c>
      <c r="L113" s="151">
        <f t="shared" si="36"/>
        <v>2.0664699079411406E-2</v>
      </c>
      <c r="M113" s="151">
        <f t="shared" si="36"/>
        <v>0.13751915627031558</v>
      </c>
      <c r="N113" s="151">
        <f t="shared" si="36"/>
        <v>1.2161120158221763E-2</v>
      </c>
      <c r="R113" s="313" t="s">
        <v>9</v>
      </c>
      <c r="S113" s="392">
        <f t="shared" si="32"/>
        <v>575.25322985761795</v>
      </c>
      <c r="T113" s="392">
        <f t="shared" si="32"/>
        <v>37.939482169080378</v>
      </c>
      <c r="U113" s="392">
        <f t="shared" si="32"/>
        <v>21.662421149709211</v>
      </c>
      <c r="V113" s="392">
        <f t="shared" si="32"/>
        <v>37.939482169080378</v>
      </c>
      <c r="W113" s="392">
        <f t="shared" si="32"/>
        <v>1.5885785614422501</v>
      </c>
      <c r="X113" s="392">
        <f t="shared" si="32"/>
        <v>64.750996017422835</v>
      </c>
      <c r="Y113" s="392">
        <f t="shared" si="32"/>
        <v>20.664699079411406</v>
      </c>
      <c r="Z113" s="392">
        <f t="shared" si="32"/>
        <v>137.51915627031559</v>
      </c>
      <c r="AA113" s="392">
        <f t="shared" si="32"/>
        <v>12.161120158221763</v>
      </c>
    </row>
    <row r="114" spans="3:27">
      <c r="C114" s="153"/>
      <c r="D114" s="153" t="s">
        <v>62</v>
      </c>
      <c r="E114" s="313" t="s">
        <v>379</v>
      </c>
      <c r="F114" s="87">
        <f t="shared" si="36"/>
        <v>0.50994094126691847</v>
      </c>
      <c r="G114" s="151">
        <f t="shared" si="36"/>
        <v>5.1859071180094057E-2</v>
      </c>
      <c r="H114" s="151">
        <f t="shared" si="36"/>
        <v>2.883102345132051E-2</v>
      </c>
      <c r="I114" s="151">
        <f t="shared" si="36"/>
        <v>5.1859071180094057E-2</v>
      </c>
      <c r="J114" s="151">
        <f t="shared" si="36"/>
        <v>1.401166437996834E-2</v>
      </c>
      <c r="K114" s="151">
        <f t="shared" si="36"/>
        <v>8.3132473104455012E-2</v>
      </c>
      <c r="L114" s="151">
        <f t="shared" si="36"/>
        <v>3.9021238827225253E-2</v>
      </c>
      <c r="M114" s="151">
        <f t="shared" si="36"/>
        <v>7.644723621645827E-2</v>
      </c>
      <c r="N114" s="151">
        <f t="shared" si="36"/>
        <v>5.9585197746462822E-2</v>
      </c>
      <c r="R114" s="313" t="s">
        <v>379</v>
      </c>
      <c r="S114" s="392">
        <f t="shared" si="32"/>
        <v>509.94094126691846</v>
      </c>
      <c r="T114" s="392">
        <f t="shared" si="32"/>
        <v>51.859071180094055</v>
      </c>
      <c r="U114" s="392">
        <f t="shared" si="32"/>
        <v>28.831023451320508</v>
      </c>
      <c r="V114" s="392">
        <f t="shared" si="32"/>
        <v>51.859071180094055</v>
      </c>
      <c r="W114" s="392">
        <f t="shared" si="32"/>
        <v>14.011664379968339</v>
      </c>
      <c r="X114" s="392">
        <f t="shared" si="32"/>
        <v>83.132473104455016</v>
      </c>
      <c r="Y114" s="392">
        <f t="shared" si="32"/>
        <v>39.021238827225254</v>
      </c>
      <c r="Z114" s="392">
        <f t="shared" si="32"/>
        <v>76.447236216458265</v>
      </c>
      <c r="AA114" s="392">
        <f t="shared" si="32"/>
        <v>59.585197746462825</v>
      </c>
    </row>
    <row r="115" spans="3:27">
      <c r="F115" s="87"/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"/>
  <dimension ref="A1:AP95"/>
  <sheetViews>
    <sheetView workbookViewId="0">
      <selection activeCell="D44" sqref="D44:F44"/>
    </sheetView>
  </sheetViews>
  <sheetFormatPr defaultRowHeight="12.75"/>
  <cols>
    <col min="1" max="1" width="20.7109375" customWidth="1"/>
    <col min="2" max="2" width="37.28515625" customWidth="1"/>
    <col min="3" max="3" width="15.42578125" customWidth="1"/>
    <col min="4" max="4" width="8.7109375" customWidth="1"/>
    <col min="5" max="5" width="9.7109375" bestFit="1" customWidth="1"/>
    <col min="6" max="6" width="10.5703125" customWidth="1"/>
    <col min="8" max="8" width="10" customWidth="1"/>
    <col min="9" max="9" width="10.85546875" customWidth="1"/>
    <col min="10" max="10" width="9.85546875" customWidth="1"/>
    <col min="11" max="11" width="7.28515625" customWidth="1"/>
    <col min="12" max="12" width="6.85546875" customWidth="1"/>
    <col min="14" max="14" width="10.7109375" customWidth="1"/>
    <col min="15" max="15" width="9.7109375" customWidth="1"/>
    <col min="16" max="16" width="8.7109375" customWidth="1"/>
    <col min="17" max="17" width="9.7109375" customWidth="1"/>
    <col min="20" max="21" width="10.28515625" customWidth="1"/>
    <col min="24" max="24" width="11.42578125" customWidth="1"/>
    <col min="29" max="29" width="17.28515625" customWidth="1"/>
    <col min="30" max="31" width="9.42578125" customWidth="1"/>
    <col min="36" max="36" width="19.28515625" customWidth="1"/>
  </cols>
  <sheetData>
    <row r="1" spans="1:40">
      <c r="A1" s="323" t="s">
        <v>411</v>
      </c>
      <c r="B1" s="322"/>
      <c r="C1" s="322"/>
      <c r="D1" s="322"/>
      <c r="E1" s="322"/>
    </row>
    <row r="5" spans="1:40">
      <c r="A5" s="1" t="s">
        <v>361</v>
      </c>
      <c r="B5" s="1"/>
      <c r="C5" s="1"/>
      <c r="D5" s="512" t="s">
        <v>31</v>
      </c>
      <c r="E5" s="512"/>
      <c r="F5" s="512"/>
      <c r="G5" s="512" t="s">
        <v>30</v>
      </c>
      <c r="H5" s="512"/>
      <c r="I5" s="512"/>
      <c r="J5" s="512"/>
      <c r="K5" s="513" t="s">
        <v>29</v>
      </c>
      <c r="L5" s="514"/>
      <c r="M5" s="9" t="s">
        <v>16</v>
      </c>
      <c r="N5" s="513" t="s">
        <v>28</v>
      </c>
      <c r="O5" s="514"/>
      <c r="P5" s="9" t="s">
        <v>14</v>
      </c>
      <c r="Q5" s="9" t="s">
        <v>13</v>
      </c>
      <c r="R5" s="512" t="s">
        <v>27</v>
      </c>
      <c r="S5" s="512"/>
      <c r="T5" s="9" t="s">
        <v>10</v>
      </c>
      <c r="U5" s="9" t="s">
        <v>9</v>
      </c>
      <c r="AB5" s="83" t="s">
        <v>367</v>
      </c>
      <c r="AJ5" s="83" t="s">
        <v>367</v>
      </c>
    </row>
    <row r="6" spans="1:40" ht="51.75">
      <c r="A6" s="9" t="s">
        <v>705</v>
      </c>
      <c r="B6" s="9" t="s">
        <v>25</v>
      </c>
      <c r="C6" s="9" t="s">
        <v>26</v>
      </c>
      <c r="D6" s="9" t="s">
        <v>23</v>
      </c>
      <c r="E6" s="9" t="s">
        <v>22</v>
      </c>
      <c r="F6" s="9" t="s">
        <v>21</v>
      </c>
      <c r="G6" s="11" t="s">
        <v>375</v>
      </c>
      <c r="H6" s="11" t="s">
        <v>376</v>
      </c>
      <c r="I6" s="11" t="s">
        <v>377</v>
      </c>
      <c r="J6" s="11" t="s">
        <v>378</v>
      </c>
      <c r="K6" s="9" t="s">
        <v>73</v>
      </c>
      <c r="L6" s="9" t="s">
        <v>17</v>
      </c>
      <c r="M6" s="9" t="s">
        <v>16</v>
      </c>
      <c r="N6" s="9" t="s">
        <v>15</v>
      </c>
      <c r="O6" s="9" t="s">
        <v>54</v>
      </c>
      <c r="P6" s="9" t="s">
        <v>14</v>
      </c>
      <c r="Q6" s="9" t="s">
        <v>13</v>
      </c>
      <c r="R6" s="9" t="s">
        <v>12</v>
      </c>
      <c r="S6" s="9" t="s">
        <v>158</v>
      </c>
      <c r="T6" s="10" t="s">
        <v>10</v>
      </c>
      <c r="U6" s="9" t="s">
        <v>9</v>
      </c>
      <c r="W6" s="11" t="s">
        <v>180</v>
      </c>
      <c r="X6" s="11" t="s">
        <v>362</v>
      </c>
      <c r="AB6" s="60" t="s">
        <v>178</v>
      </c>
      <c r="AC6" s="60"/>
      <c r="AD6" s="60"/>
      <c r="AE6" s="60"/>
      <c r="AF6" s="60"/>
      <c r="AJ6" s="307" t="s">
        <v>364</v>
      </c>
      <c r="AK6" s="307"/>
      <c r="AL6" s="60"/>
      <c r="AM6" s="60"/>
      <c r="AN6" s="60"/>
    </row>
    <row r="7" spans="1:40" ht="15">
      <c r="A7" s="321"/>
      <c r="B7" s="1" t="s">
        <v>6</v>
      </c>
      <c r="C7" s="487" t="s">
        <v>7</v>
      </c>
      <c r="D7" s="5">
        <f>VLOOKUP($C7,[1]!POST2013,MATCH(D$6,[1]!BLDGTYPE,0),FALSE)</f>
        <v>3300</v>
      </c>
      <c r="E7" s="5">
        <f>VLOOKUP($C7,[1]!POST2013,MATCH(E$6,[1]!BLDGTYPE,0),FALSE)</f>
        <v>2800</v>
      </c>
      <c r="F7" s="5">
        <f>VLOOKUP($C7,[1]!POST2013,MATCH(F$6,[1]!BLDGTYPE,0),FALSE)</f>
        <v>2600</v>
      </c>
      <c r="G7" s="5">
        <f>VLOOKUP($C7,[1]!POST2013,MATCH(G$6,[1]!BLDGTYPE,0),FALSE)</f>
        <v>6200</v>
      </c>
      <c r="H7" s="5">
        <f>VLOOKUP($C7,[1]!POST2013,MATCH(H$6,[1]!BLDGTYPE,0),FALSE)</f>
        <v>3800</v>
      </c>
      <c r="I7" s="5">
        <f>VLOOKUP($C7,[1]!POST2013,MATCH(I$6,[1]!BLDGTYPE,0),FALSE)</f>
        <v>3800</v>
      </c>
      <c r="J7" s="5">
        <f>VLOOKUP($C7,[1]!POST2013,MATCH(J$6,[1]!BLDGTYPE,0),FALSE)</f>
        <v>2800</v>
      </c>
      <c r="K7" s="5">
        <f>VLOOKUP($C7,[1]!POST2013,MATCH(K$6,[1]!BLDGTYPE,0),FALSE)</f>
        <v>2700</v>
      </c>
      <c r="L7" s="5">
        <f>VLOOKUP($C7,[1]!POST2013,MATCH(L$6,[1]!BLDGTYPE,0),FALSE)</f>
        <v>3600</v>
      </c>
      <c r="M7" s="5">
        <f>VLOOKUP($C7,[1]!POST2013,MATCH(M$6,[1]!BLDGTYPE,0),FALSE)</f>
        <v>2700</v>
      </c>
      <c r="N7" s="5">
        <f>VLOOKUP($C7,[1]!POST2013,MATCH(N$6,[1]!BLDGTYPE,0),FALSE)</f>
        <v>7300</v>
      </c>
      <c r="O7" s="5">
        <f>VLOOKUP($C7,[1]!POST2013,MATCH(O$6,[1]!BLDGTYPE,0),FALSE)</f>
        <v>6800</v>
      </c>
      <c r="P7" s="5">
        <f>VLOOKUP($C7,[1]!POST2013,MATCH(P$6,[1]!BLDGTYPE,0),FALSE)</f>
        <v>5400</v>
      </c>
      <c r="Q7" s="5">
        <f>VLOOKUP($C7,[1]!POST2013,MATCH(Q$6,[1]!BLDGTYPE,0),FALSE)</f>
        <v>3000</v>
      </c>
      <c r="R7" s="5">
        <f>VLOOKUP($C7,[1]!POST2013,MATCH(R$6,[1]!BLDGTYPE,0),FALSE)</f>
        <v>6400</v>
      </c>
      <c r="S7" s="5">
        <f>VLOOKUP($C7,[1]!POST2013,MATCH(S$6,[1]!BLDGTYPE,0),FALSE)</f>
        <v>5700</v>
      </c>
      <c r="T7" s="5">
        <f>VLOOKUP($C7,[1]!POST2013,MATCH(T$6,[1]!BLDGTYPE,0),FALSE)</f>
        <v>3000</v>
      </c>
      <c r="U7" s="5">
        <f>VLOOKUP($C7,[1]!POST2013,MATCH(U$6,[1]!BLDGTYPE,0),FALSE)</f>
        <v>4100</v>
      </c>
      <c r="W7" s="56">
        <f>SUMPRODUCT(D7:U7,$D$39:$U$39)/SUM($D$39:$U$39)</f>
        <v>3716.2347663009282</v>
      </c>
      <c r="AB7" s="60" t="s">
        <v>169</v>
      </c>
      <c r="AC7" s="60" t="s">
        <v>358</v>
      </c>
      <c r="AD7" s="60"/>
      <c r="AE7" s="60"/>
      <c r="AF7" s="60"/>
      <c r="AJ7" s="307" t="s">
        <v>169</v>
      </c>
      <c r="AK7" s="307" t="s">
        <v>171</v>
      </c>
      <c r="AL7" s="60"/>
      <c r="AM7" s="60"/>
      <c r="AN7" s="60"/>
    </row>
    <row r="8" spans="1:40" ht="15">
      <c r="A8" s="321"/>
      <c r="B8" s="136" t="s">
        <v>707</v>
      </c>
      <c r="C8" s="487" t="s">
        <v>706</v>
      </c>
      <c r="D8" s="5">
        <f>VLOOKUP($C8,[1]!POST2013,MATCH(D$6,[1]!BLDGTYPE,0),FALSE)</f>
        <v>1</v>
      </c>
      <c r="E8" s="5">
        <f>VLOOKUP($C8,[1]!POST2013,MATCH(E$6,[1]!BLDGTYPE,0),FALSE)</f>
        <v>1</v>
      </c>
      <c r="F8" s="5">
        <f>VLOOKUP($C8,[1]!POST2013,MATCH(F$6,[1]!BLDGTYPE,0),FALSE)</f>
        <v>1</v>
      </c>
      <c r="G8" s="5">
        <f>VLOOKUP($C8,[1]!POST2013,MATCH(G$6,[1]!BLDGTYPE,0),FALSE)</f>
        <v>1</v>
      </c>
      <c r="H8" s="5">
        <f>VLOOKUP($C8,[1]!POST2013,MATCH(H$6,[1]!BLDGTYPE,0),FALSE)</f>
        <v>1</v>
      </c>
      <c r="I8" s="5">
        <f>VLOOKUP($C8,[1]!POST2013,MATCH(I$6,[1]!BLDGTYPE,0),FALSE)</f>
        <v>1</v>
      </c>
      <c r="J8" s="5">
        <f>VLOOKUP($C8,[1]!POST2013,MATCH(J$6,[1]!BLDGTYPE,0),FALSE)</f>
        <v>1</v>
      </c>
      <c r="K8" s="5">
        <f>VLOOKUP($C8,[1]!POST2013,MATCH(K$6,[1]!BLDGTYPE,0),FALSE)</f>
        <v>1</v>
      </c>
      <c r="L8" s="5">
        <f>VLOOKUP($C8,[1]!POST2013,MATCH(L$6,[1]!BLDGTYPE,0),FALSE)</f>
        <v>1</v>
      </c>
      <c r="M8" s="5">
        <f>VLOOKUP($C8,[1]!POST2013,MATCH(M$6,[1]!BLDGTYPE,0),FALSE)</f>
        <v>1</v>
      </c>
      <c r="N8" s="5">
        <f>VLOOKUP($C8,[1]!POST2013,MATCH(N$6,[1]!BLDGTYPE,0),FALSE)</f>
        <v>1</v>
      </c>
      <c r="O8" s="5">
        <f>VLOOKUP($C8,[1]!POST2013,MATCH(O$6,[1]!BLDGTYPE,0),FALSE)</f>
        <v>1</v>
      </c>
      <c r="P8" s="5">
        <f>VLOOKUP($C8,[1]!POST2013,MATCH(P$6,[1]!BLDGTYPE,0),FALSE)</f>
        <v>1</v>
      </c>
      <c r="Q8" s="5">
        <f>VLOOKUP($C8,[1]!POST2013,MATCH(Q$6,[1]!BLDGTYPE,0),FALSE)</f>
        <v>1</v>
      </c>
      <c r="R8" s="5">
        <f>VLOOKUP($C8,[1]!POST2013,MATCH(R$6,[1]!BLDGTYPE,0),FALSE)</f>
        <v>1</v>
      </c>
      <c r="S8" s="5">
        <f>VLOOKUP($C8,[1]!POST2013,MATCH(S$6,[1]!BLDGTYPE,0),FALSE)</f>
        <v>1</v>
      </c>
      <c r="T8" s="5">
        <f>VLOOKUP($C8,[1]!POST2013,MATCH(T$6,[1]!BLDGTYPE,0),FALSE)</f>
        <v>1</v>
      </c>
      <c r="U8" s="5">
        <f>VLOOKUP($C8,[1]!POST2013,MATCH(U$6,[1]!BLDGTYPE,0),FALSE)</f>
        <v>1</v>
      </c>
      <c r="W8" s="56"/>
      <c r="AB8" s="60"/>
      <c r="AC8" s="60"/>
      <c r="AD8" s="60"/>
      <c r="AE8" s="60"/>
      <c r="AF8" s="60"/>
      <c r="AJ8" s="307"/>
      <c r="AK8" s="307"/>
      <c r="AL8" s="60"/>
      <c r="AM8" s="60"/>
      <c r="AN8" s="60"/>
    </row>
    <row r="9" spans="1:40" ht="15">
      <c r="A9" s="7" t="s">
        <v>5</v>
      </c>
      <c r="B9" s="5" t="s">
        <v>588</v>
      </c>
      <c r="C9" s="5"/>
      <c r="D9" s="6">
        <v>0.6</v>
      </c>
      <c r="E9" s="6">
        <v>0.81</v>
      </c>
      <c r="F9" s="6">
        <v>1.4</v>
      </c>
      <c r="G9" s="6">
        <v>1.2</v>
      </c>
      <c r="H9" s="6">
        <v>1.2</v>
      </c>
      <c r="I9" s="6">
        <v>1.2</v>
      </c>
      <c r="J9" s="6">
        <v>1.2</v>
      </c>
      <c r="K9" s="6">
        <v>0.98</v>
      </c>
      <c r="L9" s="25">
        <v>1</v>
      </c>
      <c r="M9" s="6">
        <v>0.6</v>
      </c>
      <c r="N9" s="6">
        <v>1.4</v>
      </c>
      <c r="O9" s="6">
        <v>1</v>
      </c>
      <c r="P9" s="6">
        <v>1.2</v>
      </c>
      <c r="Q9" s="6">
        <v>0.9</v>
      </c>
      <c r="R9" s="25">
        <v>1.1000000000000001</v>
      </c>
      <c r="S9" s="6">
        <v>0.95</v>
      </c>
      <c r="T9" s="6">
        <v>1</v>
      </c>
      <c r="U9" s="6">
        <v>0.9</v>
      </c>
      <c r="AB9" s="60"/>
      <c r="AC9" s="60"/>
      <c r="AD9" s="60"/>
      <c r="AE9" s="60"/>
      <c r="AF9" s="60"/>
      <c r="AJ9" s="307"/>
      <c r="AK9" s="307"/>
      <c r="AL9" s="60"/>
      <c r="AM9" s="60"/>
      <c r="AN9" s="60"/>
    </row>
    <row r="10" spans="1:40" ht="15">
      <c r="A10" s="7"/>
      <c r="B10" s="5" t="s">
        <v>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AB10" s="60"/>
      <c r="AC10" s="60" t="s">
        <v>183</v>
      </c>
      <c r="AD10" s="60"/>
      <c r="AE10" s="60"/>
      <c r="AF10" s="60"/>
      <c r="AJ10" s="307"/>
      <c r="AK10" s="307" t="s">
        <v>183</v>
      </c>
      <c r="AL10" s="60"/>
      <c r="AM10" s="60"/>
      <c r="AN10" s="60"/>
    </row>
    <row r="11" spans="1:40" ht="13.5" customHeight="1">
      <c r="A11" s="7"/>
      <c r="B11" s="5" t="s">
        <v>3</v>
      </c>
      <c r="C11" s="5"/>
      <c r="D11" s="6"/>
      <c r="E11" s="6"/>
      <c r="F11" s="6"/>
      <c r="G11" s="5"/>
      <c r="H11" s="5"/>
      <c r="I11" s="5"/>
      <c r="J11" s="5"/>
      <c r="K11" s="5"/>
      <c r="L11" s="5"/>
      <c r="M11" s="5"/>
      <c r="N11" s="5"/>
      <c r="O11" s="5"/>
      <c r="P11" s="8"/>
      <c r="Q11" s="8"/>
      <c r="R11" s="5"/>
      <c r="S11" s="6"/>
      <c r="T11" s="6"/>
      <c r="U11" s="6"/>
      <c r="AB11" s="60" t="s">
        <v>59</v>
      </c>
      <c r="AC11" s="60" t="s">
        <v>326</v>
      </c>
      <c r="AD11" s="60" t="s">
        <v>359</v>
      </c>
      <c r="AE11" s="60" t="s">
        <v>178</v>
      </c>
      <c r="AF11" s="60" t="s">
        <v>171</v>
      </c>
      <c r="AJ11" s="307" t="s">
        <v>59</v>
      </c>
      <c r="AK11" s="307" t="s">
        <v>326</v>
      </c>
      <c r="AL11" s="296" t="s">
        <v>359</v>
      </c>
      <c r="AM11" s="296" t="s">
        <v>365</v>
      </c>
      <c r="AN11" s="296" t="s">
        <v>366</v>
      </c>
    </row>
    <row r="12" spans="1:40" ht="15">
      <c r="A12" s="7"/>
      <c r="B12" s="5" t="s">
        <v>55</v>
      </c>
      <c r="C12" s="5"/>
      <c r="D12" s="6"/>
      <c r="E12" s="8"/>
      <c r="F12" s="8"/>
      <c r="G12" s="6"/>
      <c r="H12" s="6"/>
      <c r="I12" s="6"/>
      <c r="J12" s="8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AB12" t="s">
        <v>10</v>
      </c>
      <c r="AC12" s="56">
        <v>202964358.99999991</v>
      </c>
      <c r="AD12" s="56">
        <v>201539246.50043008</v>
      </c>
      <c r="AE12" s="87">
        <v>0.99297850860815506</v>
      </c>
      <c r="AF12" s="87">
        <v>1.0316841871229478</v>
      </c>
      <c r="AJ12" s="287" t="s">
        <v>28</v>
      </c>
      <c r="AK12" s="300">
        <v>26180913.999999989</v>
      </c>
      <c r="AL12" s="300">
        <v>29899541.674456939</v>
      </c>
      <c r="AM12" s="300">
        <v>21</v>
      </c>
      <c r="AN12" s="87">
        <f>AL12/AK12</f>
        <v>1.1420358232893226</v>
      </c>
    </row>
    <row r="13" spans="1:40">
      <c r="A13" s="7"/>
      <c r="B13" s="5" t="s">
        <v>56</v>
      </c>
      <c r="C13" s="5"/>
      <c r="D13" s="13">
        <v>9</v>
      </c>
      <c r="E13" s="13">
        <v>26</v>
      </c>
      <c r="F13" s="13">
        <v>12</v>
      </c>
      <c r="G13" s="13">
        <v>0</v>
      </c>
      <c r="H13" s="13">
        <v>13</v>
      </c>
      <c r="I13" s="13">
        <v>15</v>
      </c>
      <c r="J13" s="13">
        <v>10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AB13" t="s">
        <v>28</v>
      </c>
      <c r="AC13" s="56">
        <v>50939923.999999993</v>
      </c>
      <c r="AD13" s="56">
        <v>58685961.483112872</v>
      </c>
      <c r="AE13" s="87">
        <v>1.1520622112257741</v>
      </c>
      <c r="AF13" s="87">
        <v>1.1420358232893224</v>
      </c>
      <c r="AJ13" s="289" t="s">
        <v>110</v>
      </c>
      <c r="AK13" s="56">
        <v>3519089.9999999991</v>
      </c>
      <c r="AL13" s="56">
        <v>3568811.2999856179</v>
      </c>
      <c r="AM13" s="56">
        <v>11</v>
      </c>
      <c r="AN13" s="87">
        <f t="shared" ref="AN13:AN39" si="0">AL13/AK13</f>
        <v>1.0141290219873942</v>
      </c>
    </row>
    <row r="14" spans="1:40">
      <c r="A14" s="7"/>
      <c r="B14" s="5" t="s">
        <v>592</v>
      </c>
      <c r="C14" s="5"/>
      <c r="D14" s="8">
        <f>D9*D8*D7/1000</f>
        <v>1.98</v>
      </c>
      <c r="E14" s="8">
        <f t="shared" ref="E14:U14" si="1">E9*E8*E7/1000</f>
        <v>2.2679999999999998</v>
      </c>
      <c r="F14" s="8">
        <f t="shared" si="1"/>
        <v>3.6399999999999997</v>
      </c>
      <c r="G14" s="8">
        <f t="shared" si="1"/>
        <v>7.44</v>
      </c>
      <c r="H14" s="8">
        <f t="shared" si="1"/>
        <v>4.5599999999999996</v>
      </c>
      <c r="I14" s="8">
        <f t="shared" si="1"/>
        <v>4.5599999999999996</v>
      </c>
      <c r="J14" s="8">
        <f t="shared" si="1"/>
        <v>3.36</v>
      </c>
      <c r="K14" s="8">
        <f t="shared" si="1"/>
        <v>2.6459999999999999</v>
      </c>
      <c r="L14" s="8">
        <f t="shared" si="1"/>
        <v>3.6</v>
      </c>
      <c r="M14" s="8">
        <f t="shared" si="1"/>
        <v>1.62</v>
      </c>
      <c r="N14" s="8">
        <f t="shared" si="1"/>
        <v>10.220000000000001</v>
      </c>
      <c r="O14" s="8">
        <f t="shared" si="1"/>
        <v>6.8</v>
      </c>
      <c r="P14" s="8">
        <f t="shared" si="1"/>
        <v>6.48</v>
      </c>
      <c r="Q14" s="8">
        <f t="shared" si="1"/>
        <v>2.7</v>
      </c>
      <c r="R14" s="8">
        <f t="shared" si="1"/>
        <v>7.0400000000000009</v>
      </c>
      <c r="S14" s="8">
        <f t="shared" si="1"/>
        <v>5.415</v>
      </c>
      <c r="T14" s="8">
        <f t="shared" si="1"/>
        <v>3</v>
      </c>
      <c r="U14" s="8">
        <f t="shared" si="1"/>
        <v>3.69</v>
      </c>
      <c r="AC14" s="56"/>
      <c r="AD14" s="56"/>
      <c r="AE14" s="87"/>
      <c r="AF14" s="87"/>
      <c r="AJ14" s="289"/>
      <c r="AK14" s="56"/>
      <c r="AL14" s="56"/>
      <c r="AM14" s="56"/>
      <c r="AN14" s="87"/>
    </row>
    <row r="15" spans="1:40">
      <c r="A15" s="7"/>
      <c r="B15" s="5"/>
      <c r="C15" s="5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AB15" t="s">
        <v>13</v>
      </c>
      <c r="AC15" s="56">
        <v>99556760.000000015</v>
      </c>
      <c r="AD15" s="56">
        <v>82291196.774094</v>
      </c>
      <c r="AE15" s="87">
        <v>0.82657568179291885</v>
      </c>
      <c r="AF15" s="87">
        <v>0.93423090425310751</v>
      </c>
      <c r="AJ15" s="289" t="s">
        <v>114</v>
      </c>
      <c r="AK15" s="56">
        <v>4873991.1952417521</v>
      </c>
      <c r="AL15" s="56">
        <v>4477422.576743979</v>
      </c>
      <c r="AM15" s="56">
        <v>6</v>
      </c>
      <c r="AN15" s="87">
        <f t="shared" si="0"/>
        <v>0.91863575402333009</v>
      </c>
    </row>
    <row r="16" spans="1:40">
      <c r="A16" s="7"/>
      <c r="AB16" t="s">
        <v>31</v>
      </c>
      <c r="AC16" s="56">
        <v>434884820</v>
      </c>
      <c r="AD16" s="56">
        <v>474373924.8850016</v>
      </c>
      <c r="AE16" s="298">
        <v>1.0908035945816679</v>
      </c>
      <c r="AF16" s="299">
        <v>0.79599950056040059</v>
      </c>
      <c r="AG16" t="s">
        <v>360</v>
      </c>
      <c r="AJ16" s="289" t="s">
        <v>111</v>
      </c>
      <c r="AK16" s="56">
        <v>11467754.27422069</v>
      </c>
      <c r="AL16" s="56">
        <v>14000324.028722826</v>
      </c>
      <c r="AM16" s="56">
        <v>3</v>
      </c>
      <c r="AN16" s="87">
        <f t="shared" si="0"/>
        <v>1.2208426945627278</v>
      </c>
    </row>
    <row r="17" spans="1:42">
      <c r="A17" s="7" t="s">
        <v>2</v>
      </c>
      <c r="B17" s="117" t="s">
        <v>2</v>
      </c>
      <c r="C17" s="117"/>
      <c r="D17" s="118">
        <v>0.5</v>
      </c>
      <c r="E17" s="118">
        <v>0.5</v>
      </c>
      <c r="F17" s="118">
        <v>0.7</v>
      </c>
      <c r="G17" s="118">
        <v>0.8</v>
      </c>
      <c r="H17" s="118">
        <v>0.8</v>
      </c>
      <c r="I17" s="118">
        <v>0.9</v>
      </c>
      <c r="J17" s="118">
        <v>0.9</v>
      </c>
      <c r="K17" s="118">
        <v>0.7</v>
      </c>
      <c r="L17" s="118">
        <v>0.7</v>
      </c>
      <c r="M17" s="118">
        <v>0.4</v>
      </c>
      <c r="N17" s="118">
        <v>0.9</v>
      </c>
      <c r="O17" s="118">
        <v>0.9</v>
      </c>
      <c r="P17" s="118">
        <v>0.7</v>
      </c>
      <c r="Q17" s="118">
        <v>0.65</v>
      </c>
      <c r="R17" s="118">
        <v>0.85</v>
      </c>
      <c r="S17" s="118">
        <v>0.7</v>
      </c>
      <c r="T17" s="118">
        <v>0.8</v>
      </c>
      <c r="U17" s="118">
        <v>0.7</v>
      </c>
      <c r="AB17" t="s">
        <v>9</v>
      </c>
      <c r="AC17" s="56">
        <v>176220553.00000006</v>
      </c>
      <c r="AD17" s="56">
        <v>146414672.70518047</v>
      </c>
      <c r="AE17" s="87">
        <v>0.8308603634059667</v>
      </c>
      <c r="AF17" s="87">
        <v>0.86450049628517189</v>
      </c>
      <c r="AJ17" s="289" t="s">
        <v>112</v>
      </c>
      <c r="AK17" s="56">
        <v>6320078.5305375503</v>
      </c>
      <c r="AL17" s="56">
        <v>7852983.7690045182</v>
      </c>
      <c r="AM17" s="56">
        <v>1</v>
      </c>
      <c r="AN17" s="87">
        <f t="shared" si="0"/>
        <v>1.2425452834265001</v>
      </c>
    </row>
    <row r="18" spans="1:42" ht="15">
      <c r="A18" s="7"/>
      <c r="AB18" t="s">
        <v>158</v>
      </c>
      <c r="AC18" s="56">
        <v>71193896</v>
      </c>
      <c r="AD18" s="56">
        <v>82912286.295873582</v>
      </c>
      <c r="AE18" s="87">
        <v>1.1645982444319887</v>
      </c>
      <c r="AF18" s="87">
        <v>0.97735070020613657</v>
      </c>
      <c r="AJ18" s="287" t="s">
        <v>31</v>
      </c>
      <c r="AK18" s="300">
        <v>299473306</v>
      </c>
      <c r="AL18" s="300">
        <v>238380602.00717208</v>
      </c>
      <c r="AM18" s="300">
        <v>47</v>
      </c>
      <c r="AN18" s="87">
        <f t="shared" si="0"/>
        <v>0.79599950056040081</v>
      </c>
    </row>
    <row r="19" spans="1:42">
      <c r="A19" s="7" t="s">
        <v>368</v>
      </c>
      <c r="B19" s="5" t="s">
        <v>589</v>
      </c>
      <c r="C19" s="5"/>
      <c r="D19" s="6">
        <v>0.91</v>
      </c>
      <c r="E19" s="6">
        <v>0.91</v>
      </c>
      <c r="F19" s="6">
        <v>0.91</v>
      </c>
      <c r="G19" s="6">
        <v>1.36</v>
      </c>
      <c r="H19" s="6">
        <v>1.36</v>
      </c>
      <c r="I19" s="6">
        <v>1.36</v>
      </c>
      <c r="J19" s="6">
        <v>1.36</v>
      </c>
      <c r="K19" s="6">
        <v>1.01</v>
      </c>
      <c r="L19" s="6">
        <v>1.01</v>
      </c>
      <c r="M19" s="6">
        <v>0.68</v>
      </c>
      <c r="N19" s="6">
        <v>1.32</v>
      </c>
      <c r="O19" s="6">
        <v>1.32</v>
      </c>
      <c r="P19" s="6">
        <v>0.9</v>
      </c>
      <c r="Q19" s="6">
        <v>1</v>
      </c>
      <c r="R19" s="6">
        <v>1.08</v>
      </c>
      <c r="S19" s="6">
        <v>1</v>
      </c>
      <c r="T19" s="6">
        <v>1</v>
      </c>
      <c r="U19" s="6">
        <v>1</v>
      </c>
      <c r="W19" s="115"/>
      <c r="AB19" t="s">
        <v>14</v>
      </c>
      <c r="AC19" s="56">
        <v>36956808.000000007</v>
      </c>
      <c r="AD19" s="56">
        <v>42521622.575505719</v>
      </c>
      <c r="AE19" s="87">
        <v>1.1505761692272154</v>
      </c>
      <c r="AF19" s="87">
        <v>1.2284160756840987</v>
      </c>
      <c r="AJ19" s="289" t="s">
        <v>110</v>
      </c>
      <c r="AK19" s="56">
        <v>23029482.214190248</v>
      </c>
      <c r="AL19" s="56">
        <v>32550953.448330976</v>
      </c>
      <c r="AM19" s="56">
        <v>12</v>
      </c>
      <c r="AN19" s="87">
        <f t="shared" si="0"/>
        <v>1.4134470391294256</v>
      </c>
    </row>
    <row r="20" spans="1:42">
      <c r="A20" s="7"/>
      <c r="B20" s="5" t="s">
        <v>231</v>
      </c>
      <c r="C20" s="5"/>
      <c r="D20" s="6">
        <f t="shared" ref="D20:U20" si="2">D19-D17</f>
        <v>0.41000000000000003</v>
      </c>
      <c r="E20" s="6">
        <f t="shared" si="2"/>
        <v>0.41000000000000003</v>
      </c>
      <c r="F20" s="6">
        <f t="shared" si="2"/>
        <v>0.21000000000000008</v>
      </c>
      <c r="G20" s="6">
        <f t="shared" si="2"/>
        <v>0.56000000000000005</v>
      </c>
      <c r="H20" s="6">
        <f t="shared" si="2"/>
        <v>0.56000000000000005</v>
      </c>
      <c r="I20" s="6">
        <f t="shared" si="2"/>
        <v>0.46000000000000008</v>
      </c>
      <c r="J20" s="6">
        <f t="shared" si="2"/>
        <v>0.46000000000000008</v>
      </c>
      <c r="K20" s="6">
        <f t="shared" si="2"/>
        <v>0.31000000000000005</v>
      </c>
      <c r="L20" s="6">
        <f t="shared" si="2"/>
        <v>0.31000000000000005</v>
      </c>
      <c r="M20" s="6">
        <f t="shared" si="2"/>
        <v>0.28000000000000003</v>
      </c>
      <c r="N20" s="6">
        <f t="shared" si="2"/>
        <v>0.42000000000000004</v>
      </c>
      <c r="O20" s="6">
        <f t="shared" si="2"/>
        <v>0.42000000000000004</v>
      </c>
      <c r="P20" s="6">
        <f t="shared" si="2"/>
        <v>0.20000000000000007</v>
      </c>
      <c r="Q20" s="6">
        <f t="shared" si="2"/>
        <v>0.35</v>
      </c>
      <c r="R20" s="6">
        <f t="shared" si="2"/>
        <v>0.23000000000000009</v>
      </c>
      <c r="S20" s="6">
        <f t="shared" si="2"/>
        <v>0.30000000000000004</v>
      </c>
      <c r="T20" s="6">
        <f t="shared" si="2"/>
        <v>0.19999999999999996</v>
      </c>
      <c r="U20" s="6">
        <f t="shared" si="2"/>
        <v>0.30000000000000004</v>
      </c>
      <c r="W20" s="115"/>
      <c r="AB20" t="s">
        <v>72</v>
      </c>
      <c r="AC20" s="56">
        <v>361074607.9999997</v>
      </c>
      <c r="AD20" s="56">
        <v>430763890.30067581</v>
      </c>
      <c r="AE20" s="87">
        <v>1.1930052148687125</v>
      </c>
      <c r="AF20" s="87">
        <v>1.1931302657564764</v>
      </c>
      <c r="AJ20" s="289" t="s">
        <v>114</v>
      </c>
      <c r="AK20" s="56">
        <v>85725023.785809711</v>
      </c>
      <c r="AL20" s="56">
        <v>84443684.792295247</v>
      </c>
      <c r="AM20" s="56">
        <v>13</v>
      </c>
      <c r="AN20" s="87">
        <f t="shared" si="0"/>
        <v>0.98505291760879554</v>
      </c>
      <c r="AP20" s="87">
        <f>SUMPRODUCT(AN20:AN22,AK20:AK22)/SUM(AK20:AK22)</f>
        <v>0.81430234182930294</v>
      </c>
    </row>
    <row r="21" spans="1:42">
      <c r="A21" s="7"/>
      <c r="B21" s="5" t="s">
        <v>167</v>
      </c>
      <c r="C21" s="5"/>
      <c r="D21" s="3">
        <f t="shared" ref="D21:U21" si="3">1-(D17/D19)</f>
        <v>0.45054945054945061</v>
      </c>
      <c r="E21" s="3">
        <f t="shared" si="3"/>
        <v>0.45054945054945061</v>
      </c>
      <c r="F21" s="3">
        <f t="shared" si="3"/>
        <v>0.23076923076923084</v>
      </c>
      <c r="G21" s="3">
        <f t="shared" si="3"/>
        <v>0.41176470588235292</v>
      </c>
      <c r="H21" s="3">
        <f t="shared" si="3"/>
        <v>0.41176470588235292</v>
      </c>
      <c r="I21" s="3">
        <f t="shared" si="3"/>
        <v>0.33823529411764708</v>
      </c>
      <c r="J21" s="3">
        <f t="shared" si="3"/>
        <v>0.33823529411764708</v>
      </c>
      <c r="K21" s="3">
        <f t="shared" si="3"/>
        <v>0.30693069306930698</v>
      </c>
      <c r="L21" s="3">
        <f t="shared" si="3"/>
        <v>0.30693069306930698</v>
      </c>
      <c r="M21" s="3">
        <f t="shared" si="3"/>
        <v>0.41176470588235292</v>
      </c>
      <c r="N21" s="3">
        <f t="shared" si="3"/>
        <v>0.31818181818181823</v>
      </c>
      <c r="O21" s="3">
        <f t="shared" si="3"/>
        <v>0.31818181818181823</v>
      </c>
      <c r="P21" s="3">
        <f t="shared" si="3"/>
        <v>0.22222222222222232</v>
      </c>
      <c r="Q21" s="3">
        <f t="shared" si="3"/>
        <v>0.35</v>
      </c>
      <c r="R21" s="3">
        <f t="shared" si="3"/>
        <v>0.21296296296296302</v>
      </c>
      <c r="S21" s="3">
        <f t="shared" si="3"/>
        <v>0.30000000000000004</v>
      </c>
      <c r="T21" s="3">
        <f t="shared" si="3"/>
        <v>0.19999999999999996</v>
      </c>
      <c r="U21" s="3">
        <f t="shared" si="3"/>
        <v>0.30000000000000004</v>
      </c>
      <c r="W21" s="112">
        <f>SUMPRODUCT(D21:U21,$D$39:$U$39)/SUM($D$39:$U$39)</f>
        <v>0.34394310656646282</v>
      </c>
      <c r="AB21" t="s">
        <v>73</v>
      </c>
      <c r="AC21" s="56">
        <v>131787451.99999994</v>
      </c>
      <c r="AD21" s="56">
        <v>128143914.33689827</v>
      </c>
      <c r="AE21" s="87">
        <v>0.97235292428977471</v>
      </c>
      <c r="AF21" s="87">
        <v>0.98067793139577475</v>
      </c>
      <c r="AJ21" s="289" t="s">
        <v>111</v>
      </c>
      <c r="AK21" s="56">
        <v>41872639.901227869</v>
      </c>
      <c r="AL21" s="56">
        <v>36827400.178704225</v>
      </c>
      <c r="AM21" s="56">
        <v>8</v>
      </c>
      <c r="AN21" s="87">
        <f t="shared" si="0"/>
        <v>0.87950987245072887</v>
      </c>
    </row>
    <row r="22" spans="1:42">
      <c r="A22" s="7"/>
      <c r="B22" s="7" t="s">
        <v>598</v>
      </c>
      <c r="C22" s="7"/>
      <c r="D22" s="84">
        <f>D20*D7/1000</f>
        <v>1.353</v>
      </c>
      <c r="E22" s="84">
        <f t="shared" ref="E22:U22" si="4">E20*E7/1000</f>
        <v>1.1479999999999999</v>
      </c>
      <c r="F22" s="84">
        <f t="shared" si="4"/>
        <v>0.54600000000000026</v>
      </c>
      <c r="G22" s="84">
        <f t="shared" si="4"/>
        <v>3.4720000000000004</v>
      </c>
      <c r="H22" s="84">
        <f t="shared" si="4"/>
        <v>2.1280000000000001</v>
      </c>
      <c r="I22" s="84">
        <f t="shared" si="4"/>
        <v>1.7480000000000002</v>
      </c>
      <c r="J22" s="84">
        <f t="shared" si="4"/>
        <v>1.2880000000000003</v>
      </c>
      <c r="K22" s="84">
        <f t="shared" si="4"/>
        <v>0.83700000000000008</v>
      </c>
      <c r="L22" s="84">
        <f t="shared" si="4"/>
        <v>1.1160000000000003</v>
      </c>
      <c r="M22" s="84">
        <f t="shared" si="4"/>
        <v>0.75600000000000012</v>
      </c>
      <c r="N22" s="84">
        <f t="shared" si="4"/>
        <v>3.0660000000000003</v>
      </c>
      <c r="O22" s="84">
        <f t="shared" si="4"/>
        <v>2.8560000000000003</v>
      </c>
      <c r="P22" s="84">
        <f t="shared" si="4"/>
        <v>1.0800000000000005</v>
      </c>
      <c r="Q22" s="84">
        <f t="shared" si="4"/>
        <v>1.05</v>
      </c>
      <c r="R22" s="84">
        <f t="shared" si="4"/>
        <v>1.4720000000000006</v>
      </c>
      <c r="S22" s="84">
        <f t="shared" si="4"/>
        <v>1.7100000000000002</v>
      </c>
      <c r="T22" s="84">
        <f t="shared" si="4"/>
        <v>0.59999999999999987</v>
      </c>
      <c r="U22" s="84">
        <f t="shared" si="4"/>
        <v>1.2300000000000002</v>
      </c>
      <c r="W22" s="75">
        <f>SUMPRODUCT(D22:U22,$D$40:$U$40)/SUM($D$40:$U$40)</f>
        <v>1.2373586979946172</v>
      </c>
      <c r="X22" s="85">
        <f>1000000*SUMPRODUCT(D22:U22,$D$40:$U$40)/8760/1000</f>
        <v>129.38590951633208</v>
      </c>
      <c r="Y22" t="s">
        <v>363</v>
      </c>
      <c r="AB22" t="s">
        <v>16</v>
      </c>
      <c r="AC22" s="56">
        <v>318886066.99999994</v>
      </c>
      <c r="AD22" s="56">
        <v>181874798.91667199</v>
      </c>
      <c r="AE22" s="87">
        <v>0.57034413772826276</v>
      </c>
      <c r="AF22" s="87">
        <v>0.60365088316134208</v>
      </c>
      <c r="AJ22" s="289" t="s">
        <v>112</v>
      </c>
      <c r="AK22" s="56">
        <v>63929821.098772161</v>
      </c>
      <c r="AL22" s="56">
        <v>34690194.414761588</v>
      </c>
      <c r="AM22" s="56">
        <v>5</v>
      </c>
      <c r="AN22" s="87">
        <f t="shared" si="0"/>
        <v>0.54262930536228027</v>
      </c>
    </row>
    <row r="23" spans="1:42">
      <c r="A23" s="7"/>
      <c r="B23" s="7" t="s">
        <v>590</v>
      </c>
      <c r="C23" s="7"/>
      <c r="D23" s="84">
        <f>D19*D7*D8/1000</f>
        <v>3.0030000000000001</v>
      </c>
      <c r="E23" s="84">
        <f t="shared" ref="E23:U23" si="5">E19*E7*E8/1000</f>
        <v>2.548</v>
      </c>
      <c r="F23" s="84">
        <f t="shared" si="5"/>
        <v>2.3660000000000001</v>
      </c>
      <c r="G23" s="84">
        <f t="shared" si="5"/>
        <v>8.4320000000000004</v>
      </c>
      <c r="H23" s="84">
        <f t="shared" si="5"/>
        <v>5.1680000000000001</v>
      </c>
      <c r="I23" s="84">
        <f t="shared" si="5"/>
        <v>5.1680000000000001</v>
      </c>
      <c r="J23" s="84">
        <f t="shared" si="5"/>
        <v>3.8080000000000003</v>
      </c>
      <c r="K23" s="84">
        <f t="shared" si="5"/>
        <v>2.7269999999999999</v>
      </c>
      <c r="L23" s="84">
        <f t="shared" si="5"/>
        <v>3.6360000000000001</v>
      </c>
      <c r="M23" s="84">
        <f t="shared" si="5"/>
        <v>1.8360000000000003</v>
      </c>
      <c r="N23" s="84">
        <f t="shared" si="5"/>
        <v>9.6359999999999992</v>
      </c>
      <c r="O23" s="84">
        <f t="shared" si="5"/>
        <v>8.9760000000000009</v>
      </c>
      <c r="P23" s="84">
        <f t="shared" si="5"/>
        <v>4.8600000000000003</v>
      </c>
      <c r="Q23" s="84">
        <f t="shared" si="5"/>
        <v>3</v>
      </c>
      <c r="R23" s="84">
        <f t="shared" si="5"/>
        <v>6.9119999999999999</v>
      </c>
      <c r="S23" s="84">
        <f t="shared" si="5"/>
        <v>5.7</v>
      </c>
      <c r="T23" s="84">
        <f t="shared" si="5"/>
        <v>3</v>
      </c>
      <c r="U23" s="84">
        <f t="shared" si="5"/>
        <v>4.0999999999999996</v>
      </c>
      <c r="W23" s="75">
        <f t="shared" ref="W23:W24" si="6">SUMPRODUCT(D23:U23,$D$40:$U$40)/SUM($D$40:$U$40)</f>
        <v>3.7287129397743892</v>
      </c>
      <c r="X23" s="85"/>
      <c r="AC23" s="56"/>
      <c r="AD23" s="56"/>
      <c r="AE23" s="87"/>
      <c r="AF23" s="87"/>
      <c r="AJ23" s="289"/>
      <c r="AK23" s="56"/>
      <c r="AL23" s="56"/>
      <c r="AM23" s="56"/>
      <c r="AN23" s="87"/>
    </row>
    <row r="24" spans="1:42">
      <c r="A24" s="7"/>
      <c r="B24" s="5" t="s">
        <v>591</v>
      </c>
      <c r="C24" s="5"/>
      <c r="D24" s="61">
        <f>D17*D7*D8/1000</f>
        <v>1.65</v>
      </c>
      <c r="E24" s="61">
        <f t="shared" ref="E24:U24" si="7">E17*E7*E8/1000</f>
        <v>1.4</v>
      </c>
      <c r="F24" s="61">
        <f t="shared" si="7"/>
        <v>1.8199999999999998</v>
      </c>
      <c r="G24" s="61">
        <f t="shared" si="7"/>
        <v>4.96</v>
      </c>
      <c r="H24" s="61">
        <f t="shared" si="7"/>
        <v>3.04</v>
      </c>
      <c r="I24" s="61">
        <f t="shared" si="7"/>
        <v>3.42</v>
      </c>
      <c r="J24" s="61">
        <f t="shared" si="7"/>
        <v>2.52</v>
      </c>
      <c r="K24" s="61">
        <f t="shared" si="7"/>
        <v>1.8899999999999997</v>
      </c>
      <c r="L24" s="61">
        <f t="shared" si="7"/>
        <v>2.52</v>
      </c>
      <c r="M24" s="61">
        <f t="shared" si="7"/>
        <v>1.08</v>
      </c>
      <c r="N24" s="61">
        <f t="shared" si="7"/>
        <v>6.57</v>
      </c>
      <c r="O24" s="61">
        <f t="shared" si="7"/>
        <v>6.12</v>
      </c>
      <c r="P24" s="61">
        <f t="shared" si="7"/>
        <v>3.7799999999999994</v>
      </c>
      <c r="Q24" s="61">
        <f t="shared" si="7"/>
        <v>1.95</v>
      </c>
      <c r="R24" s="61">
        <f t="shared" si="7"/>
        <v>5.44</v>
      </c>
      <c r="S24" s="61">
        <f t="shared" si="7"/>
        <v>3.9899999999999993</v>
      </c>
      <c r="T24" s="61">
        <f t="shared" si="7"/>
        <v>2.4</v>
      </c>
      <c r="U24" s="61">
        <f t="shared" si="7"/>
        <v>2.87</v>
      </c>
      <c r="W24" s="75">
        <f t="shared" si="6"/>
        <v>2.4913542417797716</v>
      </c>
      <c r="AB24" t="s">
        <v>62</v>
      </c>
      <c r="AC24" s="56">
        <v>1884465246.9999998</v>
      </c>
      <c r="AD24" s="56">
        <v>1829521514.7734447</v>
      </c>
      <c r="AE24" s="298">
        <v>0.97084386018048163</v>
      </c>
      <c r="AF24" s="299">
        <v>0.93030232253269507</v>
      </c>
      <c r="AG24" t="s">
        <v>360</v>
      </c>
      <c r="AJ24" s="289" t="s">
        <v>113</v>
      </c>
      <c r="AK24" s="56">
        <v>84916339</v>
      </c>
      <c r="AL24" s="56">
        <v>49868369.173080035</v>
      </c>
      <c r="AM24" s="56">
        <v>9</v>
      </c>
      <c r="AN24" s="87">
        <f t="shared" si="0"/>
        <v>0.58726470971717271</v>
      </c>
    </row>
    <row r="25" spans="1:42">
      <c r="A25" s="7"/>
      <c r="B25" s="5"/>
      <c r="C25" s="5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W25" s="112"/>
      <c r="AC25" s="56"/>
      <c r="AD25" s="56"/>
      <c r="AE25" s="397"/>
      <c r="AF25" s="397"/>
      <c r="AJ25" s="289"/>
      <c r="AK25" s="56"/>
      <c r="AL25" s="56"/>
      <c r="AM25" s="56"/>
      <c r="AN25" s="87"/>
    </row>
    <row r="26" spans="1:42">
      <c r="A26" s="7"/>
      <c r="B26" s="5"/>
      <c r="C26" s="5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W26" s="112"/>
      <c r="AC26" s="56"/>
      <c r="AD26" s="56"/>
      <c r="AE26" s="397"/>
      <c r="AF26" s="397"/>
      <c r="AJ26" s="289"/>
      <c r="AK26" s="56"/>
      <c r="AL26" s="56"/>
      <c r="AM26" s="56"/>
      <c r="AN26" s="87"/>
    </row>
    <row r="27" spans="1:42" ht="15">
      <c r="A27" s="7"/>
      <c r="B27" s="5"/>
      <c r="C27" s="5"/>
      <c r="D27" s="6"/>
      <c r="E27" s="6"/>
      <c r="F27" s="6"/>
      <c r="G27" s="5"/>
      <c r="H27" s="5"/>
      <c r="I27" s="5"/>
      <c r="J27" s="5"/>
      <c r="K27" s="6"/>
      <c r="L27" s="6"/>
      <c r="M27" s="6"/>
      <c r="N27" s="5"/>
      <c r="O27" s="8"/>
      <c r="P27" s="6"/>
      <c r="Q27" s="6"/>
      <c r="R27" s="6"/>
      <c r="S27" s="6"/>
      <c r="T27" s="6"/>
      <c r="U27" s="6"/>
      <c r="AJ27" s="287" t="s">
        <v>72</v>
      </c>
      <c r="AK27" s="300">
        <v>209854879.99999997</v>
      </c>
      <c r="AL27" s="300">
        <v>250384208.74469346</v>
      </c>
      <c r="AM27" s="300">
        <v>50</v>
      </c>
      <c r="AN27" s="87">
        <f t="shared" si="0"/>
        <v>1.1931302657564766</v>
      </c>
    </row>
    <row r="28" spans="1:42">
      <c r="A28" s="74" t="s">
        <v>233</v>
      </c>
      <c r="B28" s="7" t="s">
        <v>0</v>
      </c>
      <c r="C28" s="7"/>
      <c r="D28" s="6">
        <f t="shared" ref="D28:U28" si="8">D9-D17</f>
        <v>9.9999999999999978E-2</v>
      </c>
      <c r="E28" s="6">
        <f t="shared" si="8"/>
        <v>0.31000000000000005</v>
      </c>
      <c r="F28" s="6">
        <f t="shared" si="8"/>
        <v>0.7</v>
      </c>
      <c r="G28" s="6">
        <f t="shared" si="8"/>
        <v>0.39999999999999991</v>
      </c>
      <c r="H28" s="6">
        <f t="shared" si="8"/>
        <v>0.39999999999999991</v>
      </c>
      <c r="I28" s="6">
        <f t="shared" si="8"/>
        <v>0.29999999999999993</v>
      </c>
      <c r="J28" s="6">
        <f t="shared" si="8"/>
        <v>0.29999999999999993</v>
      </c>
      <c r="K28" s="6">
        <f t="shared" si="8"/>
        <v>0.28000000000000003</v>
      </c>
      <c r="L28" s="6">
        <f t="shared" si="8"/>
        <v>0.30000000000000004</v>
      </c>
      <c r="M28" s="6">
        <f t="shared" si="8"/>
        <v>0.19999999999999996</v>
      </c>
      <c r="N28" s="6">
        <f t="shared" si="8"/>
        <v>0.49999999999999989</v>
      </c>
      <c r="O28" s="6">
        <f t="shared" si="8"/>
        <v>9.9999999999999978E-2</v>
      </c>
      <c r="P28" s="6">
        <f t="shared" si="8"/>
        <v>0.5</v>
      </c>
      <c r="Q28" s="6">
        <f t="shared" si="8"/>
        <v>0.25</v>
      </c>
      <c r="R28" s="6">
        <f t="shared" si="8"/>
        <v>0.25000000000000011</v>
      </c>
      <c r="S28" s="6">
        <f t="shared" si="8"/>
        <v>0.25</v>
      </c>
      <c r="T28" s="6">
        <f t="shared" si="8"/>
        <v>0.19999999999999996</v>
      </c>
      <c r="U28" s="6">
        <f t="shared" si="8"/>
        <v>0.20000000000000007</v>
      </c>
      <c r="W28" s="75"/>
      <c r="AJ28" s="289" t="s">
        <v>110</v>
      </c>
      <c r="AK28" s="56">
        <v>9866053.874212442</v>
      </c>
      <c r="AL28" s="56">
        <v>12213725.012983736</v>
      </c>
      <c r="AM28" s="56">
        <v>10</v>
      </c>
      <c r="AN28" s="87">
        <f t="shared" si="0"/>
        <v>1.2379544211599693</v>
      </c>
    </row>
    <row r="29" spans="1:42">
      <c r="A29" s="74"/>
      <c r="B29" s="5" t="s">
        <v>167</v>
      </c>
      <c r="C29" s="5"/>
      <c r="D29" s="3">
        <f>1-D17/D9</f>
        <v>0.16666666666666663</v>
      </c>
      <c r="E29" s="3">
        <f t="shared" ref="E29:U29" si="9">1-E17/E9</f>
        <v>0.38271604938271608</v>
      </c>
      <c r="F29" s="3">
        <f t="shared" si="9"/>
        <v>0.5</v>
      </c>
      <c r="G29" s="3">
        <f t="shared" si="9"/>
        <v>0.33333333333333326</v>
      </c>
      <c r="H29" s="3">
        <f t="shared" si="9"/>
        <v>0.33333333333333326</v>
      </c>
      <c r="I29" s="3">
        <f t="shared" si="9"/>
        <v>0.25</v>
      </c>
      <c r="J29" s="3">
        <f t="shared" si="9"/>
        <v>0.25</v>
      </c>
      <c r="K29" s="3">
        <f t="shared" si="9"/>
        <v>0.2857142857142857</v>
      </c>
      <c r="L29" s="3">
        <f t="shared" si="9"/>
        <v>0.30000000000000004</v>
      </c>
      <c r="M29" s="3">
        <f t="shared" si="9"/>
        <v>0.33333333333333326</v>
      </c>
      <c r="N29" s="3">
        <f t="shared" si="9"/>
        <v>0.3571428571428571</v>
      </c>
      <c r="O29" s="3">
        <f t="shared" si="9"/>
        <v>9.9999999999999978E-2</v>
      </c>
      <c r="P29" s="3">
        <f t="shared" si="9"/>
        <v>0.41666666666666663</v>
      </c>
      <c r="Q29" s="3">
        <f t="shared" si="9"/>
        <v>0.27777777777777779</v>
      </c>
      <c r="R29" s="3">
        <f t="shared" si="9"/>
        <v>0.2272727272727274</v>
      </c>
      <c r="S29" s="3">
        <f t="shared" si="9"/>
        <v>0.26315789473684215</v>
      </c>
      <c r="T29" s="3">
        <f t="shared" si="9"/>
        <v>0.19999999999999996</v>
      </c>
      <c r="U29" s="3">
        <f t="shared" si="9"/>
        <v>0.22222222222222232</v>
      </c>
      <c r="W29" s="112">
        <f>SUMPRODUCT(D29:U29,$D$39:$U$39)/SUM($D$39:$U$39)</f>
        <v>0.26719330111986839</v>
      </c>
      <c r="AJ29" s="289" t="s">
        <v>114</v>
      </c>
      <c r="AK29" s="56">
        <v>68116175.125787556</v>
      </c>
      <c r="AL29" s="56">
        <v>87770257.386006102</v>
      </c>
      <c r="AM29" s="56">
        <v>15</v>
      </c>
      <c r="AN29" s="87">
        <f t="shared" si="0"/>
        <v>1.2885376670654818</v>
      </c>
    </row>
    <row r="30" spans="1:42">
      <c r="A30" s="74"/>
      <c r="B30" s="7" t="s">
        <v>159</v>
      </c>
      <c r="C30" s="7"/>
      <c r="D30" s="61">
        <f>D28*D7*D8/1000</f>
        <v>0.32999999999999996</v>
      </c>
      <c r="E30" s="61">
        <f t="shared" ref="E30:U30" si="10">E28*E7*E8/1000</f>
        <v>0.8680000000000001</v>
      </c>
      <c r="F30" s="61">
        <f t="shared" si="10"/>
        <v>1.8199999999999998</v>
      </c>
      <c r="G30" s="61">
        <f t="shared" si="10"/>
        <v>2.4799999999999995</v>
      </c>
      <c r="H30" s="61">
        <f t="shared" si="10"/>
        <v>1.5199999999999998</v>
      </c>
      <c r="I30" s="61">
        <f t="shared" si="10"/>
        <v>1.1399999999999997</v>
      </c>
      <c r="J30" s="61">
        <f t="shared" si="10"/>
        <v>0.83999999999999975</v>
      </c>
      <c r="K30" s="61">
        <f t="shared" si="10"/>
        <v>0.75600000000000012</v>
      </c>
      <c r="L30" s="61">
        <f t="shared" si="10"/>
        <v>1.0800000000000003</v>
      </c>
      <c r="M30" s="61">
        <f t="shared" si="10"/>
        <v>0.53999999999999992</v>
      </c>
      <c r="N30" s="61">
        <f t="shared" si="10"/>
        <v>3.649999999999999</v>
      </c>
      <c r="O30" s="61">
        <f t="shared" si="10"/>
        <v>0.67999999999999994</v>
      </c>
      <c r="P30" s="61">
        <f t="shared" si="10"/>
        <v>2.7</v>
      </c>
      <c r="Q30" s="61">
        <f t="shared" si="10"/>
        <v>0.75</v>
      </c>
      <c r="R30" s="61">
        <f t="shared" si="10"/>
        <v>1.6000000000000008</v>
      </c>
      <c r="S30" s="61">
        <f t="shared" si="10"/>
        <v>1.425</v>
      </c>
      <c r="T30" s="61">
        <f t="shared" si="10"/>
        <v>0.59999999999999987</v>
      </c>
      <c r="U30" s="61">
        <f t="shared" si="10"/>
        <v>0.82000000000000017</v>
      </c>
      <c r="W30" s="75">
        <f>SUMPRODUCT(D30:U30,$D$40:$U$40)/SUM($D$40:$U$40)</f>
        <v>0.912204870658477</v>
      </c>
      <c r="X30" s="85">
        <f>1000000*SUMPRODUCT(D30:U30,$D$40:$U$40)/8760/1000</f>
        <v>95.385806109950309</v>
      </c>
      <c r="Y30" t="s">
        <v>363</v>
      </c>
      <c r="AJ30" s="289" t="s">
        <v>111</v>
      </c>
      <c r="AK30" s="56">
        <v>72646953.99999997</v>
      </c>
      <c r="AL30" s="56">
        <v>75484940.236989751</v>
      </c>
      <c r="AM30" s="56">
        <v>13</v>
      </c>
      <c r="AN30" s="87">
        <f t="shared" si="0"/>
        <v>1.0390654539623201</v>
      </c>
    </row>
    <row r="31" spans="1:42">
      <c r="A31" s="74"/>
      <c r="B31" s="7"/>
      <c r="C31" s="7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W31" s="75"/>
      <c r="X31" s="85"/>
      <c r="AJ31" s="289"/>
      <c r="AK31" s="56"/>
      <c r="AL31" s="56"/>
      <c r="AM31" s="56"/>
      <c r="AN31" s="87"/>
    </row>
    <row r="32" spans="1:42">
      <c r="A32" s="74"/>
      <c r="B32" s="7"/>
      <c r="C32" s="7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W32" s="75"/>
      <c r="X32" s="85"/>
      <c r="AJ32" s="289"/>
      <c r="AK32" s="56"/>
      <c r="AL32" s="56"/>
      <c r="AM32" s="56"/>
      <c r="AN32" s="87"/>
    </row>
    <row r="33" spans="1:40">
      <c r="A33" s="74" t="s">
        <v>617</v>
      </c>
      <c r="B33" s="7" t="s">
        <v>618</v>
      </c>
      <c r="C33" s="7"/>
      <c r="D33" s="116">
        <f>D9-D19</f>
        <v>-0.31000000000000005</v>
      </c>
      <c r="E33" s="116">
        <f t="shared" ref="E33:U33" si="11">E9-E19</f>
        <v>-9.9999999999999978E-2</v>
      </c>
      <c r="F33" s="116">
        <f t="shared" si="11"/>
        <v>0.48999999999999988</v>
      </c>
      <c r="G33" s="116">
        <f>G9-G19</f>
        <v>-0.16000000000000014</v>
      </c>
      <c r="H33" s="116">
        <f t="shared" si="11"/>
        <v>-0.16000000000000014</v>
      </c>
      <c r="I33" s="116">
        <f t="shared" si="11"/>
        <v>-0.16000000000000014</v>
      </c>
      <c r="J33" s="116">
        <f t="shared" si="11"/>
        <v>-0.16000000000000014</v>
      </c>
      <c r="K33" s="116">
        <f t="shared" si="11"/>
        <v>-3.0000000000000027E-2</v>
      </c>
      <c r="L33" s="116">
        <f t="shared" si="11"/>
        <v>-1.0000000000000009E-2</v>
      </c>
      <c r="M33" s="116">
        <f t="shared" si="11"/>
        <v>-8.0000000000000071E-2</v>
      </c>
      <c r="N33" s="116">
        <f t="shared" si="11"/>
        <v>7.9999999999999849E-2</v>
      </c>
      <c r="O33" s="116">
        <f t="shared" si="11"/>
        <v>-0.32000000000000006</v>
      </c>
      <c r="P33" s="116">
        <f t="shared" si="11"/>
        <v>0.29999999999999993</v>
      </c>
      <c r="Q33" s="116">
        <f t="shared" si="11"/>
        <v>-9.9999999999999978E-2</v>
      </c>
      <c r="R33" s="116">
        <f t="shared" si="11"/>
        <v>2.0000000000000018E-2</v>
      </c>
      <c r="S33" s="116">
        <f t="shared" si="11"/>
        <v>-5.0000000000000044E-2</v>
      </c>
      <c r="T33" s="116">
        <f t="shared" si="11"/>
        <v>0</v>
      </c>
      <c r="U33" s="116">
        <f t="shared" si="11"/>
        <v>-9.9999999999999978E-2</v>
      </c>
      <c r="W33" s="75"/>
      <c r="X33" s="85"/>
      <c r="AJ33" s="289"/>
      <c r="AK33" s="56"/>
      <c r="AL33" s="56"/>
      <c r="AM33" s="56"/>
      <c r="AN33" s="87"/>
    </row>
    <row r="34" spans="1:40">
      <c r="A34" s="321"/>
      <c r="B34" s="7" t="s">
        <v>619</v>
      </c>
      <c r="C34" s="7"/>
      <c r="D34" s="3">
        <f>D9/D19</f>
        <v>0.65934065934065933</v>
      </c>
      <c r="E34" s="3">
        <f t="shared" ref="E34:U34" si="12">E9/E19</f>
        <v>0.89010989010989017</v>
      </c>
      <c r="F34" s="3">
        <f t="shared" si="12"/>
        <v>1.5384615384615383</v>
      </c>
      <c r="G34" s="3">
        <f t="shared" si="12"/>
        <v>0.88235294117647045</v>
      </c>
      <c r="H34" s="3">
        <f t="shared" si="12"/>
        <v>0.88235294117647045</v>
      </c>
      <c r="I34" s="3">
        <f t="shared" si="12"/>
        <v>0.88235294117647045</v>
      </c>
      <c r="J34" s="3">
        <f t="shared" si="12"/>
        <v>0.88235294117647045</v>
      </c>
      <c r="K34" s="3">
        <f t="shared" si="12"/>
        <v>0.97029702970297027</v>
      </c>
      <c r="L34" s="3">
        <f t="shared" si="12"/>
        <v>0.99009900990099009</v>
      </c>
      <c r="M34" s="3">
        <f t="shared" si="12"/>
        <v>0.88235294117647045</v>
      </c>
      <c r="N34" s="3">
        <f t="shared" si="12"/>
        <v>1.0606060606060606</v>
      </c>
      <c r="O34" s="3">
        <f t="shared" si="12"/>
        <v>0.75757575757575757</v>
      </c>
      <c r="P34" s="3">
        <f t="shared" si="12"/>
        <v>1.3333333333333333</v>
      </c>
      <c r="Q34" s="3">
        <f t="shared" si="12"/>
        <v>0.9</v>
      </c>
      <c r="R34" s="3">
        <f t="shared" si="12"/>
        <v>1.0185185185185186</v>
      </c>
      <c r="S34" s="3">
        <f t="shared" si="12"/>
        <v>0.95</v>
      </c>
      <c r="T34" s="3">
        <f t="shared" si="12"/>
        <v>1</v>
      </c>
      <c r="U34" s="3">
        <f t="shared" si="12"/>
        <v>0.9</v>
      </c>
      <c r="W34" s="75"/>
      <c r="X34" s="85"/>
      <c r="AJ34" s="289"/>
      <c r="AK34" s="56"/>
      <c r="AL34" s="56"/>
      <c r="AM34" s="56"/>
      <c r="AN34" s="87"/>
    </row>
    <row r="35" spans="1:40">
      <c r="A35" s="5"/>
      <c r="B35" s="7"/>
      <c r="C35" s="7"/>
      <c r="D35" s="523">
        <f>SUMPRODUCT(D33:F33,D40:F40)/SUM(D40:F40)</f>
        <v>-0.1431411867776862</v>
      </c>
      <c r="E35" s="523"/>
      <c r="F35" s="523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W35" s="75"/>
      <c r="X35" s="85"/>
      <c r="AJ35" s="289"/>
      <c r="AK35" s="56"/>
      <c r="AL35" s="56"/>
      <c r="AM35" s="56"/>
      <c r="AN35" s="87"/>
    </row>
    <row r="36" spans="1:40">
      <c r="A36" s="5"/>
      <c r="B36" s="7"/>
      <c r="C36" s="7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W36" s="75"/>
      <c r="X36" s="85"/>
      <c r="AJ36" s="289"/>
      <c r="AK36" s="56"/>
      <c r="AL36" s="56"/>
      <c r="AM36" s="56"/>
      <c r="AN36" s="87"/>
    </row>
    <row r="37" spans="1:40">
      <c r="A37" s="5"/>
      <c r="B37" s="7"/>
      <c r="C37" s="7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W37" s="75"/>
      <c r="X37" s="85"/>
      <c r="AJ37" s="289"/>
      <c r="AK37" s="56"/>
      <c r="AL37" s="56"/>
      <c r="AM37" s="56"/>
      <c r="AN37" s="87"/>
    </row>
    <row r="38" spans="1:40">
      <c r="A38" s="5"/>
      <c r="B38" s="7"/>
      <c r="C38" s="7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W38" s="75"/>
      <c r="X38" s="85"/>
      <c r="AJ38" s="289"/>
      <c r="AK38" s="56"/>
      <c r="AL38" s="56"/>
      <c r="AM38" s="56"/>
      <c r="AN38" s="87"/>
    </row>
    <row r="39" spans="1:40" ht="15">
      <c r="A39" s="5"/>
      <c r="B39" s="297" t="s">
        <v>357</v>
      </c>
      <c r="C39" s="297"/>
      <c r="D39" s="3">
        <f>[1]CHAR!C18</f>
        <v>0.15073291148870363</v>
      </c>
      <c r="E39" s="3">
        <f>[1]CHAR!D18</f>
        <v>0.12013270538231059</v>
      </c>
      <c r="F39" s="3">
        <f>[1]CHAR!E18</f>
        <v>3.1538695729415013E-2</v>
      </c>
      <c r="G39" s="3">
        <f>[1]CHAR!F18</f>
        <v>2.6820893655991742E-2</v>
      </c>
      <c r="H39" s="3">
        <f>[1]CHAR!G18</f>
        <v>1.0839638408159987E-2</v>
      </c>
      <c r="I39" s="3">
        <f>[1]CHAR!H18</f>
        <v>4.0894012773033235E-2</v>
      </c>
      <c r="J39" s="3">
        <f>[1]CHAR!I18</f>
        <v>1.3016203517984767E-2</v>
      </c>
      <c r="K39" s="3">
        <f>[1]CHAR!J18</f>
        <v>3.0886857559635036E-2</v>
      </c>
      <c r="L39" s="3">
        <f>[1]CHAR!K18</f>
        <v>2.2325826170102026E-2</v>
      </c>
      <c r="M39" s="3">
        <f>[1]CHAR!L18</f>
        <v>0.10087192274660353</v>
      </c>
      <c r="N39" s="3">
        <f>[1]CHAR!M18</f>
        <v>6.1675003194375045E-3</v>
      </c>
      <c r="O39" s="3">
        <f>[1]CHAR!N18</f>
        <v>2.5477723102065148E-3</v>
      </c>
      <c r="P39" s="3">
        <f>[1]CHAR!O18</f>
        <v>1.1693580853842011E-2</v>
      </c>
      <c r="Q39" s="3">
        <f>[1]CHAR!P18</f>
        <v>2.3957473342185561E-2</v>
      </c>
      <c r="R39" s="3">
        <f>[1]CHAR!Q18</f>
        <v>4.4965056377242296E-2</v>
      </c>
      <c r="S39" s="3">
        <f>[1]CHAR!R18</f>
        <v>5.827742495837801E-2</v>
      </c>
      <c r="T39" s="3">
        <f>[1]CHAR!S18</f>
        <v>9.0984350406775827E-2</v>
      </c>
      <c r="U39" s="3">
        <f>[1]CHAR!T18</f>
        <v>0.21334717399999265</v>
      </c>
      <c r="AJ39" s="290" t="s">
        <v>62</v>
      </c>
      <c r="AK39" s="301">
        <v>535509100</v>
      </c>
      <c r="AL39" s="301">
        <v>518664352.42632228</v>
      </c>
      <c r="AM39" s="301">
        <v>118</v>
      </c>
      <c r="AN39" s="87">
        <f t="shared" si="0"/>
        <v>0.96854442329051416</v>
      </c>
    </row>
    <row r="40" spans="1:40" ht="15">
      <c r="A40" s="5"/>
      <c r="B40" s="7" t="s">
        <v>236</v>
      </c>
      <c r="C40" s="7"/>
      <c r="D40" s="85">
        <f t="shared" ref="D40:U40" si="13">$W$40*D39</f>
        <v>138.07134692365253</v>
      </c>
      <c r="E40" s="85">
        <f t="shared" si="13"/>
        <v>110.04155813019651</v>
      </c>
      <c r="F40" s="85">
        <f t="shared" si="13"/>
        <v>28.889445288144152</v>
      </c>
      <c r="G40" s="85">
        <f t="shared" si="13"/>
        <v>24.567938588888435</v>
      </c>
      <c r="H40" s="85">
        <f t="shared" si="13"/>
        <v>9.9291087818745485</v>
      </c>
      <c r="I40" s="85">
        <f t="shared" si="13"/>
        <v>37.458915700098444</v>
      </c>
      <c r="J40" s="85">
        <f t="shared" si="13"/>
        <v>11.922842422474046</v>
      </c>
      <c r="K40" s="85">
        <f t="shared" si="13"/>
        <v>28.292361524625694</v>
      </c>
      <c r="L40" s="85">
        <f t="shared" si="13"/>
        <v>20.450456771813457</v>
      </c>
      <c r="M40" s="85">
        <f t="shared" si="13"/>
        <v>92.39868123588883</v>
      </c>
      <c r="N40" s="85">
        <f t="shared" si="13"/>
        <v>5.6494302926047544</v>
      </c>
      <c r="O40" s="85">
        <f t="shared" si="13"/>
        <v>2.3337594361491676</v>
      </c>
      <c r="P40" s="85">
        <f t="shared" si="13"/>
        <v>10.711320062119283</v>
      </c>
      <c r="Q40" s="85">
        <f t="shared" si="13"/>
        <v>21.945045581441974</v>
      </c>
      <c r="R40" s="85">
        <f t="shared" si="13"/>
        <v>41.187991641553943</v>
      </c>
      <c r="S40" s="85">
        <f t="shared" si="13"/>
        <v>53.382121261874261</v>
      </c>
      <c r="T40" s="85">
        <f t="shared" si="13"/>
        <v>83.341664972606651</v>
      </c>
      <c r="U40" s="85">
        <f t="shared" si="13"/>
        <v>195.42601138399326</v>
      </c>
      <c r="W40" s="56">
        <v>916</v>
      </c>
      <c r="AJ40" s="304"/>
      <c r="AK40" s="305"/>
      <c r="AL40" s="305"/>
      <c r="AM40" s="303"/>
      <c r="AN40" s="302"/>
    </row>
    <row r="41" spans="1:40">
      <c r="A41" t="s">
        <v>409</v>
      </c>
      <c r="B41" s="7" t="s">
        <v>405</v>
      </c>
      <c r="C41" s="7"/>
      <c r="D41" s="62">
        <f>D30*D40*1000000/1000/8760</f>
        <v>5.2013178635622515</v>
      </c>
      <c r="E41" s="62">
        <f t="shared" ref="E41:U41" si="14">E30*E40*1000000/1000/8760</f>
        <v>10.903661239384769</v>
      </c>
      <c r="F41" s="62">
        <f t="shared" si="14"/>
        <v>6.0021450256189901</v>
      </c>
      <c r="G41" s="62">
        <f t="shared" si="14"/>
        <v>6.9553068151190987</v>
      </c>
      <c r="H41" s="62">
        <f t="shared" si="14"/>
        <v>1.722859058042159</v>
      </c>
      <c r="I41" s="62">
        <f t="shared" si="14"/>
        <v>4.8747903993278783</v>
      </c>
      <c r="J41" s="62">
        <f t="shared" si="14"/>
        <v>1.1432862596892917</v>
      </c>
      <c r="K41" s="62">
        <f t="shared" si="14"/>
        <v>2.4416695562348205</v>
      </c>
      <c r="L41" s="62">
        <f t="shared" si="14"/>
        <v>2.5212891910454953</v>
      </c>
      <c r="M41" s="62">
        <f t="shared" si="14"/>
        <v>5.6958091172808176</v>
      </c>
      <c r="N41" s="62">
        <f t="shared" si="14"/>
        <v>2.3539292885853134</v>
      </c>
      <c r="O41" s="62">
        <f t="shared" si="14"/>
        <v>0.1811594082855518</v>
      </c>
      <c r="P41" s="62">
        <f t="shared" si="14"/>
        <v>3.3014342657216971</v>
      </c>
      <c r="Q41" s="62">
        <f t="shared" si="14"/>
        <v>1.8788566422467443</v>
      </c>
      <c r="R41" s="62">
        <f t="shared" si="14"/>
        <v>7.5229208477724132</v>
      </c>
      <c r="S41" s="62">
        <f t="shared" si="14"/>
        <v>8.6837354792432446</v>
      </c>
      <c r="T41" s="62">
        <f t="shared" si="14"/>
        <v>5.7083332173018242</v>
      </c>
      <c r="U41" s="62">
        <f t="shared" si="14"/>
        <v>18.293302435487959</v>
      </c>
      <c r="W41" s="56">
        <f>SUM(D41:U41)</f>
        <v>95.385806109950309</v>
      </c>
      <c r="Y41" t="s">
        <v>363</v>
      </c>
      <c r="AJ41" s="306"/>
      <c r="AK41" s="302"/>
      <c r="AL41" s="302"/>
      <c r="AM41" s="303"/>
      <c r="AN41" s="302"/>
    </row>
    <row r="42" spans="1:40" ht="15">
      <c r="A42" s="5"/>
      <c r="B42" s="74"/>
      <c r="C42" s="74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W42" s="27"/>
      <c r="AJ42" s="304"/>
      <c r="AK42" s="305"/>
      <c r="AL42" s="305"/>
      <c r="AM42" s="303"/>
      <c r="AN42" s="302"/>
    </row>
    <row r="43" spans="1:40">
      <c r="A43" s="5"/>
      <c r="B43" s="7"/>
      <c r="C43" s="7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W43" s="27"/>
      <c r="AJ43" s="306"/>
      <c r="AK43" s="302"/>
      <c r="AL43" s="302"/>
      <c r="AM43" s="303"/>
      <c r="AN43" s="302"/>
    </row>
    <row r="44" spans="1:40">
      <c r="A44" s="5" t="s">
        <v>703</v>
      </c>
      <c r="B44" s="7" t="s">
        <v>700</v>
      </c>
      <c r="C44" s="7"/>
      <c r="D44" s="116">
        <f>D17</f>
        <v>0.5</v>
      </c>
      <c r="E44" s="116">
        <f t="shared" ref="E44:U44" si="15">E17</f>
        <v>0.5</v>
      </c>
      <c r="F44" s="116">
        <f t="shared" si="15"/>
        <v>0.7</v>
      </c>
      <c r="G44" s="116">
        <f t="shared" si="15"/>
        <v>0.8</v>
      </c>
      <c r="H44" s="116">
        <f t="shared" si="15"/>
        <v>0.8</v>
      </c>
      <c r="I44" s="116">
        <f t="shared" si="15"/>
        <v>0.9</v>
      </c>
      <c r="J44" s="116">
        <f t="shared" si="15"/>
        <v>0.9</v>
      </c>
      <c r="K44" s="116">
        <f t="shared" si="15"/>
        <v>0.7</v>
      </c>
      <c r="L44" s="116">
        <f t="shared" si="15"/>
        <v>0.7</v>
      </c>
      <c r="M44" s="116">
        <f t="shared" si="15"/>
        <v>0.4</v>
      </c>
      <c r="N44" s="116">
        <f t="shared" si="15"/>
        <v>0.9</v>
      </c>
      <c r="O44" s="116">
        <f t="shared" si="15"/>
        <v>0.9</v>
      </c>
      <c r="P44" s="116">
        <f t="shared" si="15"/>
        <v>0.7</v>
      </c>
      <c r="Q44" s="116">
        <f t="shared" si="15"/>
        <v>0.65</v>
      </c>
      <c r="R44" s="116">
        <f t="shared" si="15"/>
        <v>0.85</v>
      </c>
      <c r="S44" s="116">
        <f t="shared" si="15"/>
        <v>0.7</v>
      </c>
      <c r="T44" s="116">
        <f t="shared" si="15"/>
        <v>0.8</v>
      </c>
      <c r="U44" s="116">
        <f t="shared" si="15"/>
        <v>0.7</v>
      </c>
      <c r="W44" s="27"/>
      <c r="AJ44" s="306"/>
      <c r="AK44" s="302"/>
      <c r="AL44" s="302"/>
      <c r="AM44" s="303"/>
      <c r="AN44" s="302"/>
    </row>
    <row r="45" spans="1:40">
      <c r="A45" s="18"/>
      <c r="B45" s="18" t="s">
        <v>701</v>
      </c>
      <c r="C45" s="18"/>
      <c r="D45" s="486">
        <f>D44*D7*D8/1000</f>
        <v>1.65</v>
      </c>
      <c r="E45" s="486">
        <f t="shared" ref="E45:U45" si="16">E44*E7*E8/1000</f>
        <v>1.4</v>
      </c>
      <c r="F45" s="486">
        <f t="shared" si="16"/>
        <v>1.8199999999999998</v>
      </c>
      <c r="G45" s="486">
        <f t="shared" si="16"/>
        <v>4.96</v>
      </c>
      <c r="H45" s="486">
        <f t="shared" si="16"/>
        <v>3.04</v>
      </c>
      <c r="I45" s="486">
        <f t="shared" si="16"/>
        <v>3.42</v>
      </c>
      <c r="J45" s="486">
        <f t="shared" si="16"/>
        <v>2.52</v>
      </c>
      <c r="K45" s="486">
        <f t="shared" si="16"/>
        <v>1.8899999999999997</v>
      </c>
      <c r="L45" s="486">
        <f t="shared" si="16"/>
        <v>2.52</v>
      </c>
      <c r="M45" s="486">
        <f t="shared" si="16"/>
        <v>1.08</v>
      </c>
      <c r="N45" s="486">
        <f t="shared" si="16"/>
        <v>6.57</v>
      </c>
      <c r="O45" s="486">
        <f t="shared" si="16"/>
        <v>6.12</v>
      </c>
      <c r="P45" s="486">
        <f t="shared" si="16"/>
        <v>3.7799999999999994</v>
      </c>
      <c r="Q45" s="486">
        <f t="shared" si="16"/>
        <v>1.95</v>
      </c>
      <c r="R45" s="486">
        <f t="shared" si="16"/>
        <v>5.44</v>
      </c>
      <c r="S45" s="486">
        <f t="shared" si="16"/>
        <v>3.9899999999999993</v>
      </c>
      <c r="T45" s="486">
        <f t="shared" si="16"/>
        <v>2.4</v>
      </c>
      <c r="U45" s="486">
        <f t="shared" si="16"/>
        <v>2.87</v>
      </c>
      <c r="W45" s="27"/>
      <c r="AJ45" s="306"/>
      <c r="AK45" s="302"/>
      <c r="AL45" s="302"/>
      <c r="AM45" s="303"/>
      <c r="AN45" s="302"/>
    </row>
    <row r="46" spans="1:40">
      <c r="A46" s="5"/>
      <c r="B46" s="7"/>
      <c r="C46" s="7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W46" s="27"/>
      <c r="AJ46" s="306"/>
      <c r="AK46" s="302"/>
      <c r="AL46" s="302"/>
      <c r="AM46" s="303"/>
      <c r="AN46" s="302"/>
    </row>
    <row r="47" spans="1:40">
      <c r="A47" s="5"/>
      <c r="B47" s="7"/>
      <c r="C47" s="7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W47" s="27"/>
      <c r="AJ47" s="306"/>
      <c r="AK47" s="302"/>
      <c r="AL47" s="302"/>
      <c r="AM47" s="303"/>
      <c r="AN47" s="302"/>
    </row>
    <row r="48" spans="1:40">
      <c r="A48" s="5" t="s">
        <v>704</v>
      </c>
      <c r="B48" s="7" t="s">
        <v>700</v>
      </c>
      <c r="C48" s="7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W48" s="27"/>
      <c r="AJ48" s="306"/>
      <c r="AK48" s="302"/>
      <c r="AL48" s="302"/>
      <c r="AM48" s="303"/>
      <c r="AN48" s="302"/>
    </row>
    <row r="49" spans="1:41">
      <c r="A49" s="5"/>
      <c r="B49" s="18" t="s">
        <v>701</v>
      </c>
      <c r="C49" s="18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W49" s="27"/>
      <c r="AJ49" s="306"/>
      <c r="AK49" s="302"/>
      <c r="AL49" s="302"/>
      <c r="AM49" s="303"/>
      <c r="AN49" s="302"/>
    </row>
    <row r="50" spans="1:41">
      <c r="A50" s="5"/>
      <c r="B50" s="7"/>
      <c r="C50" s="7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W50" s="27"/>
      <c r="AJ50" s="306"/>
      <c r="AK50" s="302"/>
      <c r="AL50" s="302"/>
      <c r="AM50" s="303"/>
      <c r="AN50" s="302"/>
    </row>
    <row r="51" spans="1:41">
      <c r="A51" s="5"/>
      <c r="B51" s="7"/>
      <c r="C51" s="7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W51" s="27"/>
      <c r="AJ51" s="306"/>
      <c r="AK51" s="302"/>
      <c r="AL51" s="302"/>
      <c r="AM51" s="303"/>
      <c r="AN51" s="302"/>
    </row>
    <row r="52" spans="1:41">
      <c r="A52" s="5"/>
      <c r="B52" s="7"/>
      <c r="C52" s="7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W52" s="27"/>
      <c r="AJ52" s="306"/>
      <c r="AK52" s="302"/>
      <c r="AL52" s="302"/>
      <c r="AM52" s="303"/>
      <c r="AN52" s="302"/>
    </row>
    <row r="53" spans="1:41">
      <c r="A53" s="5"/>
      <c r="B53" s="7"/>
      <c r="C53" s="7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W53" s="27"/>
      <c r="AJ53" s="306"/>
      <c r="AK53" s="302"/>
      <c r="AL53" s="302"/>
      <c r="AM53" s="303"/>
      <c r="AN53" s="302"/>
    </row>
    <row r="54" spans="1:41">
      <c r="A54" s="5"/>
      <c r="B54" s="7"/>
      <c r="C54" s="7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W54" s="27"/>
      <c r="AJ54" s="306"/>
      <c r="AK54" s="302"/>
      <c r="AL54" s="302"/>
      <c r="AM54" s="303"/>
      <c r="AN54" s="302"/>
    </row>
    <row r="55" spans="1:41">
      <c r="A55" s="5"/>
      <c r="B55" s="7"/>
      <c r="C55" s="7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AJ55" s="306"/>
      <c r="AK55" s="302"/>
      <c r="AL55" s="302"/>
      <c r="AM55" s="303"/>
      <c r="AN55" s="302"/>
    </row>
    <row r="56" spans="1:41">
      <c r="A56" s="5"/>
      <c r="B56" s="7"/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AJ56" s="306"/>
      <c r="AK56" s="302"/>
      <c r="AL56" s="302"/>
      <c r="AM56" s="303"/>
      <c r="AN56" s="302"/>
    </row>
    <row r="57" spans="1:41" ht="15">
      <c r="A57" s="1"/>
      <c r="B57" s="5"/>
      <c r="C57" s="5"/>
      <c r="D57" s="6"/>
      <c r="E57" s="6"/>
      <c r="F57" s="6"/>
      <c r="G57" s="5"/>
      <c r="H57" s="5"/>
      <c r="I57" s="5"/>
      <c r="J57" s="5"/>
      <c r="K57" s="6"/>
      <c r="L57" s="6"/>
      <c r="M57" s="6"/>
      <c r="N57" s="5"/>
      <c r="O57" s="8"/>
      <c r="P57" s="6"/>
      <c r="Q57" s="6"/>
      <c r="R57" s="6"/>
      <c r="S57" s="6"/>
      <c r="T57" s="6"/>
      <c r="U57" s="6"/>
      <c r="AJ57" s="304"/>
      <c r="AK57" s="305"/>
      <c r="AL57" s="305"/>
      <c r="AM57" s="303"/>
      <c r="AN57" s="302"/>
    </row>
    <row r="58" spans="1:4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AJ58" s="306"/>
      <c r="AK58" s="302"/>
      <c r="AL58" s="302"/>
      <c r="AM58" s="303"/>
      <c r="AN58" s="302"/>
    </row>
    <row r="59" spans="1:41">
      <c r="A59" s="1"/>
      <c r="Q59" s="1"/>
      <c r="R59" s="1"/>
      <c r="S59" s="1"/>
      <c r="T59" s="1"/>
      <c r="U59" s="1"/>
      <c r="AJ59" s="306"/>
      <c r="AK59" s="302"/>
      <c r="AL59" s="302"/>
      <c r="AM59" s="303"/>
      <c r="AN59" s="302"/>
    </row>
    <row r="60" spans="1:41" ht="15">
      <c r="A60" s="1"/>
      <c r="B60" s="83" t="s">
        <v>235</v>
      </c>
      <c r="C60" s="83"/>
      <c r="D60" s="83"/>
      <c r="E60" s="83"/>
      <c r="F60" s="83"/>
      <c r="G60" s="83"/>
      <c r="H60" s="83" t="s">
        <v>237</v>
      </c>
      <c r="I60" s="83" t="s">
        <v>237</v>
      </c>
      <c r="J60" s="83" t="s">
        <v>238</v>
      </c>
      <c r="R60" s="1"/>
      <c r="S60" s="1"/>
      <c r="T60" s="1"/>
      <c r="U60" s="1"/>
      <c r="V60" s="1"/>
      <c r="AK60" s="304"/>
      <c r="AL60" s="305"/>
      <c r="AM60" s="305"/>
      <c r="AN60" s="303"/>
      <c r="AO60" s="302"/>
    </row>
    <row r="61" spans="1:41" ht="63.75">
      <c r="A61" s="1"/>
      <c r="B61" s="76"/>
      <c r="C61" s="76"/>
      <c r="D61" s="78" t="s">
        <v>6</v>
      </c>
      <c r="E61" s="78" t="s">
        <v>5</v>
      </c>
      <c r="F61" s="78" t="s">
        <v>368</v>
      </c>
      <c r="G61" s="78" t="s">
        <v>2</v>
      </c>
      <c r="H61" s="78" t="s">
        <v>181</v>
      </c>
      <c r="I61" s="78" t="s">
        <v>230</v>
      </c>
      <c r="J61" s="78" t="s">
        <v>182</v>
      </c>
      <c r="M61" s="78" t="s">
        <v>413</v>
      </c>
      <c r="R61" s="1"/>
      <c r="S61" s="1"/>
      <c r="T61" s="1"/>
      <c r="U61" s="1"/>
      <c r="V61" s="1"/>
      <c r="AK61" s="306"/>
      <c r="AL61" s="302"/>
      <c r="AM61" s="302"/>
      <c r="AN61" s="303"/>
      <c r="AO61" s="302"/>
    </row>
    <row r="62" spans="1:41" ht="15">
      <c r="A62" s="1"/>
      <c r="B62" s="78"/>
      <c r="C62" s="78"/>
      <c r="D62" s="77"/>
      <c r="E62" s="18"/>
      <c r="F62" s="18"/>
      <c r="R62" s="1"/>
      <c r="S62" s="1"/>
      <c r="T62" s="1"/>
      <c r="U62" s="1"/>
      <c r="V62" s="1"/>
      <c r="AK62" s="304"/>
      <c r="AL62" s="305"/>
      <c r="AM62" s="305"/>
      <c r="AN62" s="303"/>
      <c r="AO62" s="302"/>
    </row>
    <row r="63" spans="1:41">
      <c r="A63" s="1"/>
      <c r="B63" s="76" t="s">
        <v>23</v>
      </c>
      <c r="C63" s="76"/>
      <c r="D63" s="18" t="e">
        <f>INDEX($A$6:$U$55,MATCH(D$61,$A$6:$A$55,0),MATCH($B63,$A$6:$U$6,0))</f>
        <v>#N/A</v>
      </c>
      <c r="E63" s="68">
        <f t="shared" ref="E63:G63" si="17">INDEX($A$6:$U$55,MATCH(E$61,$A$6:$A$55,0),MATCH($B63,$A$6:$U$6,0))</f>
        <v>0.6</v>
      </c>
      <c r="F63" s="68">
        <f t="shared" si="17"/>
        <v>0.91</v>
      </c>
      <c r="G63" s="68">
        <f t="shared" si="17"/>
        <v>0.5</v>
      </c>
      <c r="H63" s="84" t="e">
        <f>E63*D63/1000</f>
        <v>#N/A</v>
      </c>
      <c r="J63" s="6">
        <v>0.6</v>
      </c>
      <c r="M63" s="112">
        <f>E63/F63</f>
        <v>0.65934065934065933</v>
      </c>
      <c r="R63" s="1"/>
      <c r="S63" s="1"/>
      <c r="T63" s="1"/>
      <c r="U63" s="1"/>
      <c r="V63" s="1"/>
    </row>
    <row r="64" spans="1:41">
      <c r="A64" s="1"/>
      <c r="B64" s="76" t="s">
        <v>22</v>
      </c>
      <c r="C64" s="76"/>
      <c r="D64" s="18" t="e">
        <f t="shared" ref="D64:G80" si="18">INDEX($A$6:$U$55,MATCH(D$61,$A$6:$A$55,0),MATCH($B64,$A$6:$U$6,0))</f>
        <v>#N/A</v>
      </c>
      <c r="E64" s="68">
        <f t="shared" si="18"/>
        <v>0.81</v>
      </c>
      <c r="F64" s="68">
        <f t="shared" si="18"/>
        <v>0.91</v>
      </c>
      <c r="G64" s="68">
        <f t="shared" si="18"/>
        <v>0.5</v>
      </c>
      <c r="H64" s="84" t="e">
        <f t="shared" ref="H64:H80" si="19">E64*D64/1000</f>
        <v>#N/A</v>
      </c>
      <c r="J64" s="6">
        <v>0.6</v>
      </c>
      <c r="M64" s="112">
        <f t="shared" ref="M64:M80" si="20">E64/F64</f>
        <v>0.89010989010989017</v>
      </c>
      <c r="R64" s="1"/>
      <c r="S64" s="1"/>
      <c r="T64" s="1"/>
      <c r="U64" s="1"/>
      <c r="V64" s="1"/>
    </row>
    <row r="65" spans="1:22">
      <c r="A65" s="1"/>
      <c r="B65" s="76" t="s">
        <v>21</v>
      </c>
      <c r="C65" s="76"/>
      <c r="D65" s="18" t="e">
        <f t="shared" si="18"/>
        <v>#N/A</v>
      </c>
      <c r="E65" s="68">
        <f t="shared" si="18"/>
        <v>1.4</v>
      </c>
      <c r="F65" s="68">
        <f t="shared" si="18"/>
        <v>0.91</v>
      </c>
      <c r="G65" s="68">
        <f t="shared" si="18"/>
        <v>0.7</v>
      </c>
      <c r="H65" s="84" t="e">
        <f t="shared" si="19"/>
        <v>#N/A</v>
      </c>
      <c r="J65" s="6">
        <v>0.6</v>
      </c>
      <c r="M65" s="112">
        <f t="shared" si="20"/>
        <v>1.5384615384615383</v>
      </c>
      <c r="R65" s="1"/>
      <c r="S65" s="1"/>
      <c r="T65" s="1"/>
      <c r="U65" s="1"/>
      <c r="V65" s="1"/>
    </row>
    <row r="66" spans="1:22">
      <c r="A66" s="1"/>
      <c r="B66" s="78" t="s">
        <v>375</v>
      </c>
      <c r="C66" s="78"/>
      <c r="D66" s="18" t="e">
        <f t="shared" si="18"/>
        <v>#N/A</v>
      </c>
      <c r="E66" s="68">
        <f t="shared" si="18"/>
        <v>1.2</v>
      </c>
      <c r="F66" s="68">
        <f t="shared" si="18"/>
        <v>1.36</v>
      </c>
      <c r="G66" s="68">
        <f t="shared" si="18"/>
        <v>0.8</v>
      </c>
      <c r="H66" s="84" t="e">
        <f t="shared" si="19"/>
        <v>#N/A</v>
      </c>
      <c r="J66" s="6">
        <v>1.2</v>
      </c>
      <c r="M66" s="112">
        <f t="shared" si="20"/>
        <v>0.88235294117647045</v>
      </c>
      <c r="R66" s="1"/>
      <c r="S66" s="1"/>
      <c r="T66" s="1"/>
      <c r="U66" s="1"/>
      <c r="V66" s="1"/>
    </row>
    <row r="67" spans="1:22">
      <c r="A67" s="1"/>
      <c r="B67" s="78" t="s">
        <v>376</v>
      </c>
      <c r="C67" s="78"/>
      <c r="D67" s="18" t="e">
        <f t="shared" si="18"/>
        <v>#N/A</v>
      </c>
      <c r="E67" s="68">
        <f t="shared" si="18"/>
        <v>1.2</v>
      </c>
      <c r="F67" s="68">
        <f t="shared" si="18"/>
        <v>1.36</v>
      </c>
      <c r="G67" s="68">
        <f t="shared" si="18"/>
        <v>0.8</v>
      </c>
      <c r="H67" s="84" t="e">
        <f t="shared" si="19"/>
        <v>#N/A</v>
      </c>
      <c r="J67" s="6">
        <v>1.2</v>
      </c>
      <c r="M67" s="112">
        <f t="shared" si="20"/>
        <v>0.88235294117647045</v>
      </c>
      <c r="R67" s="1"/>
      <c r="S67" s="1"/>
      <c r="T67" s="1"/>
      <c r="U67" s="1"/>
      <c r="V67" s="1"/>
    </row>
    <row r="68" spans="1:22">
      <c r="A68" s="1"/>
      <c r="B68" s="78" t="s">
        <v>377</v>
      </c>
      <c r="C68" s="78"/>
      <c r="D68" s="18" t="e">
        <f t="shared" si="18"/>
        <v>#N/A</v>
      </c>
      <c r="E68" s="68">
        <f t="shared" si="18"/>
        <v>1.2</v>
      </c>
      <c r="F68" s="68">
        <f t="shared" si="18"/>
        <v>1.36</v>
      </c>
      <c r="G68" s="68">
        <f t="shared" si="18"/>
        <v>0.9</v>
      </c>
      <c r="H68" s="84" t="e">
        <f t="shared" si="19"/>
        <v>#N/A</v>
      </c>
      <c r="J68" s="6">
        <v>1.2</v>
      </c>
      <c r="M68" s="112">
        <f t="shared" si="20"/>
        <v>0.88235294117647045</v>
      </c>
      <c r="R68" s="1"/>
      <c r="S68" s="1"/>
      <c r="T68" s="1"/>
      <c r="U68" s="1"/>
      <c r="V68" s="1"/>
    </row>
    <row r="69" spans="1:22">
      <c r="A69" s="1"/>
      <c r="B69" s="78" t="s">
        <v>378</v>
      </c>
      <c r="C69" s="78"/>
      <c r="D69" s="18" t="e">
        <f t="shared" si="18"/>
        <v>#N/A</v>
      </c>
      <c r="E69" s="68">
        <f t="shared" si="18"/>
        <v>1.2</v>
      </c>
      <c r="F69" s="68">
        <f t="shared" si="18"/>
        <v>1.36</v>
      </c>
      <c r="G69" s="68">
        <f t="shared" si="18"/>
        <v>0.9</v>
      </c>
      <c r="H69" s="84" t="e">
        <f t="shared" si="19"/>
        <v>#N/A</v>
      </c>
      <c r="J69" s="6">
        <v>1.2</v>
      </c>
      <c r="M69" s="112">
        <f t="shared" si="20"/>
        <v>0.88235294117647045</v>
      </c>
      <c r="R69" s="1"/>
      <c r="S69" s="1"/>
      <c r="T69" s="1"/>
      <c r="U69" s="1"/>
      <c r="V69" s="1"/>
    </row>
    <row r="70" spans="1:22">
      <c r="A70" s="1"/>
      <c r="B70" s="76" t="s">
        <v>73</v>
      </c>
      <c r="C70" s="76"/>
      <c r="D70" s="18" t="e">
        <f t="shared" si="18"/>
        <v>#N/A</v>
      </c>
      <c r="E70" s="68">
        <f t="shared" si="18"/>
        <v>0.98</v>
      </c>
      <c r="F70" s="68">
        <f t="shared" si="18"/>
        <v>1.01</v>
      </c>
      <c r="G70" s="68">
        <f t="shared" si="18"/>
        <v>0.7</v>
      </c>
      <c r="H70" s="84" t="e">
        <f t="shared" si="19"/>
        <v>#N/A</v>
      </c>
      <c r="J70" s="6">
        <v>0.46</v>
      </c>
      <c r="M70" s="112">
        <f t="shared" si="20"/>
        <v>0.97029702970297027</v>
      </c>
      <c r="R70" s="1"/>
      <c r="S70" s="1"/>
      <c r="T70" s="1"/>
      <c r="U70" s="1"/>
      <c r="V70" s="1"/>
    </row>
    <row r="71" spans="1:22">
      <c r="A71" s="1"/>
      <c r="B71" s="76" t="s">
        <v>17</v>
      </c>
      <c r="C71" s="76"/>
      <c r="D71" s="18" t="e">
        <f t="shared" si="18"/>
        <v>#N/A</v>
      </c>
      <c r="E71" s="68">
        <f t="shared" si="18"/>
        <v>1</v>
      </c>
      <c r="F71" s="68">
        <f t="shared" si="18"/>
        <v>1.01</v>
      </c>
      <c r="G71" s="68">
        <f t="shared" si="18"/>
        <v>0.7</v>
      </c>
      <c r="H71" s="26" t="e">
        <f t="shared" si="19"/>
        <v>#N/A</v>
      </c>
      <c r="J71" s="6">
        <v>0.6</v>
      </c>
      <c r="M71" s="112">
        <f t="shared" si="20"/>
        <v>0.99009900990099009</v>
      </c>
      <c r="R71" s="1"/>
      <c r="S71" s="1"/>
      <c r="T71" s="1"/>
      <c r="U71" s="1"/>
      <c r="V71" s="1"/>
    </row>
    <row r="72" spans="1:22">
      <c r="A72" s="1"/>
      <c r="B72" s="76" t="s">
        <v>16</v>
      </c>
      <c r="C72" s="76"/>
      <c r="D72" s="18" t="e">
        <f t="shared" si="18"/>
        <v>#N/A</v>
      </c>
      <c r="E72" s="68">
        <f t="shared" si="18"/>
        <v>0.6</v>
      </c>
      <c r="F72" s="68">
        <f t="shared" si="18"/>
        <v>0.68</v>
      </c>
      <c r="G72" s="68">
        <f t="shared" si="18"/>
        <v>0.4</v>
      </c>
      <c r="H72" s="84" t="e">
        <f t="shared" si="19"/>
        <v>#N/A</v>
      </c>
      <c r="J72" s="6">
        <v>0.36</v>
      </c>
      <c r="M72" s="112">
        <f t="shared" si="20"/>
        <v>0.88235294117647045</v>
      </c>
      <c r="R72" s="1"/>
      <c r="S72" s="1"/>
      <c r="T72" s="1"/>
      <c r="U72" s="1"/>
      <c r="V72" s="1"/>
    </row>
    <row r="73" spans="1:22">
      <c r="A73" s="1"/>
      <c r="B73" s="76" t="s">
        <v>15</v>
      </c>
      <c r="C73" s="76"/>
      <c r="D73" s="18" t="e">
        <f t="shared" si="18"/>
        <v>#N/A</v>
      </c>
      <c r="E73" s="68">
        <f t="shared" si="18"/>
        <v>1.4</v>
      </c>
      <c r="F73" s="68">
        <f t="shared" si="18"/>
        <v>1.32</v>
      </c>
      <c r="G73" s="68">
        <f t="shared" si="18"/>
        <v>0.9</v>
      </c>
      <c r="H73" s="84" t="e">
        <f t="shared" si="19"/>
        <v>#N/A</v>
      </c>
      <c r="J73" s="6">
        <v>1.1000000000000001</v>
      </c>
      <c r="M73" s="112">
        <f t="shared" si="20"/>
        <v>1.0606060606060606</v>
      </c>
      <c r="R73" s="1"/>
      <c r="S73" s="1"/>
      <c r="T73" s="1"/>
      <c r="U73" s="1"/>
      <c r="V73" s="1"/>
    </row>
    <row r="74" spans="1:22">
      <c r="A74" s="1"/>
      <c r="B74" s="76" t="s">
        <v>54</v>
      </c>
      <c r="C74" s="76"/>
      <c r="D74" s="18" t="e">
        <f t="shared" si="18"/>
        <v>#N/A</v>
      </c>
      <c r="E74" s="68">
        <f t="shared" si="18"/>
        <v>1</v>
      </c>
      <c r="F74" s="68">
        <f t="shared" si="18"/>
        <v>1.32</v>
      </c>
      <c r="G74" s="68">
        <f t="shared" si="18"/>
        <v>0.9</v>
      </c>
      <c r="H74" s="84" t="e">
        <f t="shared" si="19"/>
        <v>#N/A</v>
      </c>
      <c r="J74" s="6">
        <v>1.1000000000000001</v>
      </c>
      <c r="M74" s="112">
        <f t="shared" si="20"/>
        <v>0.75757575757575757</v>
      </c>
      <c r="R74" s="1"/>
      <c r="S74" s="1"/>
      <c r="T74" s="1"/>
      <c r="U74" s="1"/>
      <c r="V74" s="1"/>
    </row>
    <row r="75" spans="1:22">
      <c r="B75" s="76" t="s">
        <v>14</v>
      </c>
      <c r="C75" s="76"/>
      <c r="D75" s="18" t="e">
        <f t="shared" si="18"/>
        <v>#N/A</v>
      </c>
      <c r="E75" s="68">
        <f t="shared" si="18"/>
        <v>1.2</v>
      </c>
      <c r="F75" s="68">
        <f t="shared" si="18"/>
        <v>0.9</v>
      </c>
      <c r="G75" s="68">
        <f t="shared" si="18"/>
        <v>0.7</v>
      </c>
      <c r="H75" s="84" t="e">
        <f t="shared" si="19"/>
        <v>#N/A</v>
      </c>
      <c r="J75" s="6">
        <v>1.9</v>
      </c>
      <c r="M75" s="112">
        <f t="shared" si="20"/>
        <v>1.3333333333333333</v>
      </c>
    </row>
    <row r="76" spans="1:22">
      <c r="B76" s="76" t="s">
        <v>13</v>
      </c>
      <c r="C76" s="76"/>
      <c r="D76" s="18" t="e">
        <f t="shared" si="18"/>
        <v>#N/A</v>
      </c>
      <c r="E76" s="68">
        <f t="shared" si="18"/>
        <v>0.9</v>
      </c>
      <c r="F76" s="68">
        <f t="shared" si="18"/>
        <v>1</v>
      </c>
      <c r="G76" s="68">
        <f t="shared" si="18"/>
        <v>0.65</v>
      </c>
      <c r="H76" s="84" t="e">
        <f t="shared" si="19"/>
        <v>#N/A</v>
      </c>
      <c r="J76" s="6">
        <v>0.44</v>
      </c>
      <c r="M76" s="112">
        <f t="shared" si="20"/>
        <v>0.9</v>
      </c>
    </row>
    <row r="77" spans="1:22">
      <c r="B77" s="76" t="s">
        <v>12</v>
      </c>
      <c r="C77" s="76"/>
      <c r="D77" s="18" t="e">
        <f t="shared" si="18"/>
        <v>#N/A</v>
      </c>
      <c r="E77" s="68">
        <f t="shared" si="18"/>
        <v>1.1000000000000001</v>
      </c>
      <c r="F77" s="68">
        <f t="shared" si="18"/>
        <v>1.08</v>
      </c>
      <c r="G77" s="68">
        <f t="shared" si="18"/>
        <v>0.85</v>
      </c>
      <c r="H77" s="26" t="e">
        <f t="shared" si="19"/>
        <v>#N/A</v>
      </c>
      <c r="J77" s="6">
        <v>1.2</v>
      </c>
      <c r="M77" s="112">
        <f t="shared" si="20"/>
        <v>1.0185185185185186</v>
      </c>
    </row>
    <row r="78" spans="1:22">
      <c r="B78" s="76" t="s">
        <v>158</v>
      </c>
      <c r="C78" s="76"/>
      <c r="D78" s="18" t="e">
        <f t="shared" si="18"/>
        <v>#N/A</v>
      </c>
      <c r="E78" s="68">
        <f t="shared" si="18"/>
        <v>0.95</v>
      </c>
      <c r="F78" s="68">
        <f t="shared" si="18"/>
        <v>1</v>
      </c>
      <c r="G78" s="68">
        <f t="shared" si="18"/>
        <v>0.7</v>
      </c>
      <c r="H78" s="84" t="e">
        <f t="shared" si="19"/>
        <v>#N/A</v>
      </c>
      <c r="J78" s="6">
        <v>0.3</v>
      </c>
      <c r="M78" s="112">
        <f t="shared" si="20"/>
        <v>0.95</v>
      </c>
    </row>
    <row r="79" spans="1:22">
      <c r="B79" s="81" t="s">
        <v>10</v>
      </c>
      <c r="C79" s="81"/>
      <c r="D79" s="18" t="e">
        <f t="shared" si="18"/>
        <v>#N/A</v>
      </c>
      <c r="E79" s="68">
        <f t="shared" si="18"/>
        <v>1</v>
      </c>
      <c r="F79" s="68">
        <f t="shared" si="18"/>
        <v>1</v>
      </c>
      <c r="G79" s="68">
        <f t="shared" si="18"/>
        <v>0.8</v>
      </c>
      <c r="H79" s="84" t="e">
        <f t="shared" si="19"/>
        <v>#N/A</v>
      </c>
      <c r="J79" s="6">
        <v>0.7</v>
      </c>
      <c r="M79" s="112">
        <f t="shared" si="20"/>
        <v>1</v>
      </c>
    </row>
    <row r="80" spans="1:22">
      <c r="B80" s="76" t="s">
        <v>9</v>
      </c>
      <c r="C80" s="76"/>
      <c r="D80" s="18" t="e">
        <f t="shared" si="18"/>
        <v>#N/A</v>
      </c>
      <c r="E80" s="68">
        <f t="shared" si="18"/>
        <v>0.9</v>
      </c>
      <c r="F80" s="68">
        <f t="shared" si="18"/>
        <v>1</v>
      </c>
      <c r="G80" s="68">
        <f t="shared" si="18"/>
        <v>0.7</v>
      </c>
      <c r="H80" s="84" t="e">
        <f t="shared" si="19"/>
        <v>#N/A</v>
      </c>
      <c r="J80" s="6">
        <v>0.6</v>
      </c>
      <c r="M80" s="112">
        <f t="shared" si="20"/>
        <v>0.9</v>
      </c>
    </row>
    <row r="83" spans="2:5">
      <c r="B83" s="76" t="s">
        <v>412</v>
      </c>
      <c r="C83" s="76"/>
      <c r="D83" s="60"/>
      <c r="E83" s="60"/>
    </row>
    <row r="84" spans="2:5">
      <c r="B84" s="60" t="s">
        <v>59</v>
      </c>
      <c r="C84" s="60"/>
      <c r="D84" s="60" t="s">
        <v>62</v>
      </c>
      <c r="E84" s="60" t="s">
        <v>353</v>
      </c>
    </row>
    <row r="85" spans="2:5">
      <c r="B85" t="s">
        <v>31</v>
      </c>
      <c r="D85" s="84">
        <v>0.87337407676339718</v>
      </c>
      <c r="E85" s="84">
        <v>0.87337407676339718</v>
      </c>
    </row>
    <row r="86" spans="2:5">
      <c r="B86" t="s">
        <v>72</v>
      </c>
      <c r="D86" s="84">
        <v>1.1838490328061457</v>
      </c>
      <c r="E86" s="84">
        <v>1.1838490328061457</v>
      </c>
    </row>
    <row r="87" spans="2:5">
      <c r="B87" t="s">
        <v>73</v>
      </c>
      <c r="D87" s="84">
        <v>0.98992876596181789</v>
      </c>
      <c r="E87" s="84">
        <v>0.98992876596181789</v>
      </c>
    </row>
    <row r="88" spans="2:5">
      <c r="B88" t="s">
        <v>16</v>
      </c>
      <c r="D88" s="84">
        <v>0.60365088316134052</v>
      </c>
      <c r="E88" s="84">
        <v>0.60365088316134052</v>
      </c>
    </row>
    <row r="89" spans="2:5">
      <c r="B89" t="s">
        <v>28</v>
      </c>
      <c r="D89" s="84">
        <v>1.1416390271950418</v>
      </c>
      <c r="E89" s="84">
        <v>1.1416390271950418</v>
      </c>
    </row>
    <row r="90" spans="2:5">
      <c r="B90" t="s">
        <v>14</v>
      </c>
      <c r="D90" s="84">
        <v>1.2284160756840974</v>
      </c>
      <c r="E90" s="84">
        <v>1.2284160756840974</v>
      </c>
    </row>
    <row r="91" spans="2:5">
      <c r="B91" t="s">
        <v>13</v>
      </c>
      <c r="D91" s="84">
        <v>0.95464742795584556</v>
      </c>
      <c r="E91" s="84">
        <v>0.95464742795584556</v>
      </c>
    </row>
    <row r="92" spans="2:5">
      <c r="B92" t="s">
        <v>158</v>
      </c>
      <c r="D92" s="84">
        <v>0.99661658297630484</v>
      </c>
      <c r="E92" s="84">
        <v>0.99661658297630484</v>
      </c>
    </row>
    <row r="93" spans="2:5">
      <c r="B93" t="s">
        <v>10</v>
      </c>
      <c r="D93" s="84">
        <v>1.0329896172650359</v>
      </c>
      <c r="E93" s="84">
        <v>1.0329896172650359</v>
      </c>
    </row>
    <row r="94" spans="2:5">
      <c r="B94" t="s">
        <v>9</v>
      </c>
      <c r="D94" s="84">
        <v>0.96266543830591911</v>
      </c>
      <c r="E94" s="84">
        <v>0.96266543830591911</v>
      </c>
    </row>
    <row r="95" spans="2:5">
      <c r="B95" t="s">
        <v>62</v>
      </c>
      <c r="D95" s="84">
        <v>0.96136912596826818</v>
      </c>
      <c r="E95" s="84">
        <v>0.96136912596826818</v>
      </c>
    </row>
  </sheetData>
  <mergeCells count="6">
    <mergeCell ref="R5:S5"/>
    <mergeCell ref="D35:F35"/>
    <mergeCell ref="D5:F5"/>
    <mergeCell ref="G5:J5"/>
    <mergeCell ref="K5:L5"/>
    <mergeCell ref="N5:O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H631"/>
  <sheetViews>
    <sheetView workbookViewId="0"/>
  </sheetViews>
  <sheetFormatPr defaultRowHeight="12.75"/>
  <cols>
    <col min="27" max="27" width="27.42578125" customWidth="1"/>
    <col min="28" max="28" width="25" customWidth="1"/>
    <col min="29" max="29" width="11.42578125" customWidth="1"/>
    <col min="30" max="30" width="9" customWidth="1"/>
    <col min="31" max="31" width="11.5703125" customWidth="1"/>
    <col min="32" max="32" width="11.85546875" customWidth="1"/>
  </cols>
  <sheetData>
    <row r="1" spans="1:34">
      <c r="A1" s="405" t="s">
        <v>621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34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</row>
    <row r="3" spans="1:34">
      <c r="A3" s="131"/>
      <c r="B3" s="131" t="s">
        <v>511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AA3" s="377">
        <v>1</v>
      </c>
      <c r="AB3" s="378">
        <v>2</v>
      </c>
      <c r="AC3" s="378">
        <v>3</v>
      </c>
      <c r="AD3" s="378">
        <v>4</v>
      </c>
      <c r="AE3" s="378">
        <v>5</v>
      </c>
      <c r="AF3" s="378">
        <v>6</v>
      </c>
      <c r="AG3" s="378"/>
      <c r="AH3" s="379"/>
    </row>
    <row r="4" spans="1:34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AA4" s="189"/>
      <c r="AB4" s="524" t="s">
        <v>512</v>
      </c>
      <c r="AC4" s="524"/>
      <c r="AD4" s="524"/>
      <c r="AE4" s="524"/>
      <c r="AF4" s="524"/>
      <c r="AG4" s="50"/>
      <c r="AH4" s="380"/>
    </row>
    <row r="5" spans="1:34" ht="51">
      <c r="A5" s="131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AA5" s="381" t="s">
        <v>585</v>
      </c>
      <c r="AB5" s="381" t="s">
        <v>513</v>
      </c>
      <c r="AC5" s="381" t="s">
        <v>514</v>
      </c>
      <c r="AD5" s="94" t="s">
        <v>515</v>
      </c>
      <c r="AE5" s="94" t="s">
        <v>516</v>
      </c>
      <c r="AF5" s="94" t="s">
        <v>517</v>
      </c>
      <c r="AG5" s="50"/>
      <c r="AH5" s="382" t="s">
        <v>518</v>
      </c>
    </row>
    <row r="6" spans="1:34">
      <c r="A6" s="131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AA6" s="383" t="s">
        <v>457</v>
      </c>
      <c r="AB6" s="50" t="s">
        <v>519</v>
      </c>
      <c r="AC6" s="50" t="s">
        <v>8</v>
      </c>
      <c r="AD6" s="53">
        <v>0.19</v>
      </c>
      <c r="AE6" s="384" t="s">
        <v>520</v>
      </c>
      <c r="AF6" s="53">
        <v>0.25</v>
      </c>
      <c r="AG6" s="50"/>
      <c r="AH6" s="380"/>
    </row>
    <row r="7" spans="1:34">
      <c r="A7" s="131"/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AA7" s="383"/>
      <c r="AB7" s="50" t="s">
        <v>135</v>
      </c>
      <c r="AC7" s="50" t="s">
        <v>8</v>
      </c>
      <c r="AD7" s="53">
        <v>0.03</v>
      </c>
      <c r="AE7" s="384" t="s">
        <v>520</v>
      </c>
      <c r="AF7" s="53">
        <v>0.08</v>
      </c>
      <c r="AG7" s="50"/>
      <c r="AH7" s="380"/>
    </row>
    <row r="8" spans="1:34">
      <c r="A8" s="131"/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AA8" s="383"/>
      <c r="AB8" s="50" t="s">
        <v>521</v>
      </c>
      <c r="AC8" s="50" t="s">
        <v>8</v>
      </c>
      <c r="AD8" s="53">
        <v>0.13</v>
      </c>
      <c r="AE8" s="384" t="s">
        <v>520</v>
      </c>
      <c r="AF8" s="53">
        <v>0.2</v>
      </c>
      <c r="AG8" s="50"/>
      <c r="AH8" s="380"/>
    </row>
    <row r="9" spans="1:34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AA9" s="383" t="s">
        <v>455</v>
      </c>
      <c r="AB9" s="50" t="s">
        <v>521</v>
      </c>
      <c r="AC9" s="50" t="s">
        <v>522</v>
      </c>
      <c r="AD9" s="53">
        <v>0.25</v>
      </c>
      <c r="AE9" s="384" t="s">
        <v>520</v>
      </c>
      <c r="AF9" s="53">
        <v>0.3</v>
      </c>
      <c r="AG9" s="50"/>
      <c r="AH9" s="380"/>
    </row>
    <row r="10" spans="1:34">
      <c r="A10" s="131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AA10" s="383"/>
      <c r="AB10" s="50" t="s">
        <v>521</v>
      </c>
      <c r="AC10" s="50" t="s">
        <v>523</v>
      </c>
      <c r="AD10" s="53">
        <v>0.25</v>
      </c>
      <c r="AE10" s="384" t="s">
        <v>520</v>
      </c>
      <c r="AF10" s="53">
        <v>0.3</v>
      </c>
      <c r="AG10" s="50"/>
      <c r="AH10" s="380"/>
    </row>
    <row r="11" spans="1:34">
      <c r="A11" s="131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AA11" s="383" t="s">
        <v>440</v>
      </c>
      <c r="AB11" s="50" t="s">
        <v>521</v>
      </c>
      <c r="AC11" s="50" t="s">
        <v>524</v>
      </c>
      <c r="AD11" s="53">
        <v>0.04</v>
      </c>
      <c r="AE11" s="384" t="s">
        <v>520</v>
      </c>
      <c r="AF11" s="53">
        <v>0.05</v>
      </c>
      <c r="AG11" s="50"/>
      <c r="AH11" s="380"/>
    </row>
    <row r="12" spans="1:34">
      <c r="A12" s="131"/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AA12" s="383"/>
      <c r="AB12" s="50" t="s">
        <v>521</v>
      </c>
      <c r="AC12" s="50" t="s">
        <v>525</v>
      </c>
      <c r="AD12" s="53">
        <v>0.04</v>
      </c>
      <c r="AE12" s="384" t="s">
        <v>520</v>
      </c>
      <c r="AF12" s="53">
        <v>0.05</v>
      </c>
      <c r="AG12" s="50"/>
      <c r="AH12" s="380"/>
    </row>
    <row r="13" spans="1:34">
      <c r="A13" s="131"/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AA13" s="383" t="s">
        <v>455</v>
      </c>
      <c r="AB13" s="50" t="s">
        <v>526</v>
      </c>
      <c r="AC13" s="50" t="s">
        <v>527</v>
      </c>
      <c r="AD13" s="53">
        <v>0.05</v>
      </c>
      <c r="AE13" s="384" t="s">
        <v>520</v>
      </c>
      <c r="AF13" s="53">
        <v>0.08</v>
      </c>
      <c r="AG13" s="50"/>
      <c r="AH13" s="380"/>
    </row>
    <row r="14" spans="1:34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AA14" s="383" t="s">
        <v>439</v>
      </c>
      <c r="AB14" s="50" t="s">
        <v>526</v>
      </c>
      <c r="AC14" s="50" t="s">
        <v>528</v>
      </c>
      <c r="AD14" s="53">
        <v>0.02</v>
      </c>
      <c r="AE14" s="384" t="s">
        <v>520</v>
      </c>
      <c r="AF14" s="53">
        <v>0.05</v>
      </c>
      <c r="AG14" s="50"/>
      <c r="AH14" s="380"/>
    </row>
    <row r="15" spans="1:34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AA15" s="383" t="s">
        <v>438</v>
      </c>
      <c r="AB15" s="50" t="s">
        <v>529</v>
      </c>
      <c r="AC15" s="50" t="s">
        <v>530</v>
      </c>
      <c r="AD15" s="53">
        <v>0.08</v>
      </c>
      <c r="AE15" s="384" t="s">
        <v>520</v>
      </c>
      <c r="AF15" s="53">
        <v>0.1</v>
      </c>
      <c r="AG15" s="50"/>
      <c r="AH15" s="380"/>
    </row>
    <row r="16" spans="1:34">
      <c r="A16" s="131"/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AA16" s="189"/>
      <c r="AB16" s="50" t="s">
        <v>529</v>
      </c>
      <c r="AC16" s="50" t="s">
        <v>531</v>
      </c>
      <c r="AD16" s="53">
        <v>0.05</v>
      </c>
      <c r="AE16" s="384" t="s">
        <v>520</v>
      </c>
      <c r="AF16" s="53">
        <v>0.1</v>
      </c>
      <c r="AG16" s="50"/>
      <c r="AH16" s="380"/>
    </row>
    <row r="17" spans="1:34">
      <c r="A17" s="131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AA17" s="383" t="s">
        <v>441</v>
      </c>
      <c r="AB17" s="50" t="s">
        <v>532</v>
      </c>
      <c r="AC17" s="50" t="s">
        <v>530</v>
      </c>
      <c r="AD17" s="53">
        <v>0.04</v>
      </c>
      <c r="AE17" s="384" t="s">
        <v>520</v>
      </c>
      <c r="AF17" s="53">
        <v>0.08</v>
      </c>
      <c r="AG17" s="50"/>
      <c r="AH17" s="380"/>
    </row>
    <row r="18" spans="1:34">
      <c r="A18" s="131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AA18" s="189"/>
      <c r="AB18" s="50" t="s">
        <v>532</v>
      </c>
      <c r="AC18" s="50" t="s">
        <v>531</v>
      </c>
      <c r="AD18" s="53">
        <v>0.09</v>
      </c>
      <c r="AE18" s="384" t="s">
        <v>520</v>
      </c>
      <c r="AF18" s="53">
        <v>0.15</v>
      </c>
      <c r="AG18" s="50"/>
      <c r="AH18" s="380"/>
    </row>
    <row r="19" spans="1:34">
      <c r="A19" s="131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AA19" s="189"/>
      <c r="AB19" s="50" t="s">
        <v>533</v>
      </c>
      <c r="AC19" s="50" t="s">
        <v>8</v>
      </c>
      <c r="AD19" s="53">
        <v>0.31</v>
      </c>
      <c r="AE19" s="384" t="s">
        <v>520</v>
      </c>
      <c r="AF19" s="53">
        <v>0.5</v>
      </c>
      <c r="AG19" s="50"/>
      <c r="AH19" s="380"/>
    </row>
    <row r="20" spans="1:34">
      <c r="A20" s="131"/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AA20" s="189"/>
      <c r="AB20" s="50" t="s">
        <v>534</v>
      </c>
      <c r="AC20" s="50" t="s">
        <v>535</v>
      </c>
      <c r="AD20" s="53">
        <v>0.2</v>
      </c>
      <c r="AE20" s="384" t="s">
        <v>520</v>
      </c>
      <c r="AF20" s="53">
        <v>0.3</v>
      </c>
      <c r="AG20" s="50"/>
      <c r="AH20" s="380"/>
    </row>
    <row r="21" spans="1:34">
      <c r="A21" s="131"/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AA21" s="189"/>
      <c r="AB21" s="50" t="s">
        <v>534</v>
      </c>
      <c r="AC21" s="50" t="s">
        <v>536</v>
      </c>
      <c r="AD21" s="53">
        <v>0.13</v>
      </c>
      <c r="AE21" s="384" t="s">
        <v>520</v>
      </c>
      <c r="AF21" s="53">
        <v>0.2</v>
      </c>
      <c r="AG21" s="50"/>
      <c r="AH21" s="380"/>
    </row>
    <row r="22" spans="1:34">
      <c r="A22" s="131"/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AA22" s="189"/>
      <c r="AB22" s="50" t="s">
        <v>268</v>
      </c>
      <c r="AC22" s="50" t="s">
        <v>8</v>
      </c>
      <c r="AD22" s="53">
        <v>0.17</v>
      </c>
      <c r="AE22" s="384" t="s">
        <v>520</v>
      </c>
      <c r="AF22" s="53">
        <v>0.25</v>
      </c>
      <c r="AG22" s="50"/>
      <c r="AH22" s="380"/>
    </row>
    <row r="23" spans="1:34">
      <c r="A23" s="131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AA23" s="383" t="s">
        <v>396</v>
      </c>
      <c r="AB23" s="50"/>
      <c r="AC23" s="50"/>
      <c r="AD23" s="50"/>
      <c r="AE23" s="50"/>
      <c r="AF23" s="53">
        <v>0.1</v>
      </c>
      <c r="AG23" s="50"/>
      <c r="AH23" s="380"/>
    </row>
    <row r="24" spans="1:34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AA24" s="383" t="s">
        <v>391</v>
      </c>
      <c r="AB24" s="50"/>
      <c r="AC24" s="50"/>
      <c r="AD24" s="50"/>
      <c r="AE24" s="50"/>
      <c r="AF24" s="53">
        <v>0.1</v>
      </c>
      <c r="AG24" s="50"/>
      <c r="AH24" s="380"/>
    </row>
    <row r="25" spans="1:34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AA25" s="383" t="s">
        <v>447</v>
      </c>
      <c r="AB25" s="50"/>
      <c r="AC25" s="50"/>
      <c r="AD25" s="50"/>
      <c r="AE25" s="50"/>
      <c r="AF25" s="53">
        <f t="shared" ref="AF25:AF26" si="0">$AF$15</f>
        <v>0.1</v>
      </c>
      <c r="AG25" s="50"/>
      <c r="AH25" s="380"/>
    </row>
    <row r="26" spans="1:34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AA26" s="383" t="s">
        <v>451</v>
      </c>
      <c r="AB26" s="50"/>
      <c r="AC26" s="50"/>
      <c r="AD26" s="50"/>
      <c r="AE26" s="50"/>
      <c r="AF26" s="53">
        <f t="shared" si="0"/>
        <v>0.1</v>
      </c>
      <c r="AG26" s="50"/>
      <c r="AH26" s="380"/>
    </row>
    <row r="27" spans="1:34">
      <c r="A27" s="131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AA27" s="383" t="s">
        <v>453</v>
      </c>
      <c r="AB27" s="50"/>
      <c r="AC27" s="50"/>
      <c r="AD27" s="50"/>
      <c r="AE27" s="50"/>
      <c r="AF27" s="53">
        <f>AF13</f>
        <v>0.08</v>
      </c>
      <c r="AG27" s="50"/>
      <c r="AH27" s="380"/>
    </row>
    <row r="28" spans="1:34">
      <c r="A28" s="131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AA28" s="383" t="s">
        <v>456</v>
      </c>
      <c r="AB28" s="50"/>
      <c r="AC28" s="50"/>
      <c r="AD28" s="50"/>
      <c r="AE28" s="50"/>
      <c r="AF28" s="53">
        <v>0.2</v>
      </c>
      <c r="AG28" s="50"/>
      <c r="AH28" s="380"/>
    </row>
    <row r="29" spans="1:34">
      <c r="A29" s="131"/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AA29" s="383" t="s">
        <v>398</v>
      </c>
      <c r="AB29" s="50"/>
      <c r="AC29" s="50"/>
      <c r="AD29" s="50"/>
      <c r="AE29" s="50"/>
      <c r="AF29" s="53">
        <v>0.3</v>
      </c>
      <c r="AG29" s="50"/>
      <c r="AH29" s="380"/>
    </row>
    <row r="30" spans="1:34">
      <c r="A30" s="131"/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AA30" s="189"/>
      <c r="AB30" s="50"/>
      <c r="AC30" s="50"/>
      <c r="AD30" s="50"/>
      <c r="AE30" s="50"/>
      <c r="AF30" s="50"/>
      <c r="AG30" s="50"/>
      <c r="AH30" s="380"/>
    </row>
    <row r="31" spans="1:34">
      <c r="A31" s="131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AA31" s="189"/>
      <c r="AB31" s="50"/>
      <c r="AC31" s="50"/>
      <c r="AD31" s="50"/>
      <c r="AE31" s="50"/>
      <c r="AF31" s="50"/>
      <c r="AG31" s="50"/>
      <c r="AH31" s="380"/>
    </row>
    <row r="32" spans="1:34">
      <c r="A32" s="131"/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AA32" s="189"/>
      <c r="AB32" s="50"/>
      <c r="AC32" s="50"/>
      <c r="AD32" s="50"/>
      <c r="AE32" s="50"/>
      <c r="AF32" s="50"/>
      <c r="AG32" s="50"/>
      <c r="AH32" s="380"/>
    </row>
    <row r="33" spans="1:34">
      <c r="A33" s="131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AA33" s="189"/>
      <c r="AB33" s="50"/>
      <c r="AC33" s="50"/>
      <c r="AD33" s="50"/>
      <c r="AE33" s="50"/>
      <c r="AF33" s="50"/>
      <c r="AG33" s="50"/>
      <c r="AH33" s="380"/>
    </row>
    <row r="34" spans="1:34">
      <c r="A34" s="131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AA34" s="189"/>
      <c r="AB34" s="50"/>
      <c r="AC34" s="50"/>
      <c r="AD34" s="50"/>
      <c r="AE34" s="50"/>
      <c r="AF34" s="50"/>
      <c r="AG34" s="50"/>
      <c r="AH34" s="380"/>
    </row>
    <row r="35" spans="1:34">
      <c r="A35" s="131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AA35" s="189"/>
      <c r="AB35" s="50"/>
      <c r="AC35" s="50"/>
      <c r="AD35" s="50"/>
      <c r="AE35" s="50"/>
      <c r="AF35" s="50"/>
      <c r="AG35" s="50"/>
      <c r="AH35" s="380"/>
    </row>
    <row r="36" spans="1:34">
      <c r="A36" s="131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AA36" s="189"/>
      <c r="AB36" s="50"/>
      <c r="AC36" s="50"/>
      <c r="AD36" s="50"/>
      <c r="AE36" s="50"/>
      <c r="AF36" s="50"/>
      <c r="AG36" s="50"/>
      <c r="AH36" s="380"/>
    </row>
    <row r="37" spans="1:34">
      <c r="A37" s="131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AA37" s="189"/>
      <c r="AB37" s="50"/>
      <c r="AC37" s="50"/>
      <c r="AD37" s="50"/>
      <c r="AE37" s="50"/>
      <c r="AF37" s="50"/>
      <c r="AG37" s="50"/>
      <c r="AH37" s="380"/>
    </row>
    <row r="38" spans="1:34">
      <c r="A38" s="131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AA38" s="193"/>
      <c r="AB38" s="385"/>
      <c r="AC38" s="385"/>
      <c r="AD38" s="385"/>
      <c r="AE38" s="385"/>
      <c r="AF38" s="385"/>
      <c r="AG38" s="385"/>
      <c r="AH38" s="386"/>
    </row>
    <row r="39" spans="1:34">
      <c r="A39" s="13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</row>
    <row r="40" spans="1:34">
      <c r="A40" s="131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</row>
    <row r="41" spans="1:34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</row>
    <row r="42" spans="1:34">
      <c r="A42" s="13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</row>
    <row r="43" spans="1:34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</row>
    <row r="44" spans="1:34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</row>
    <row r="45" spans="1:34">
      <c r="A45" s="13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</row>
    <row r="46" spans="1:34">
      <c r="A46" s="13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</row>
    <row r="47" spans="1:34">
      <c r="A47" s="13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</row>
    <row r="48" spans="1:34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</row>
    <row r="49" spans="1:25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</row>
    <row r="50" spans="1:25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</row>
    <row r="51" spans="1:25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</row>
    <row r="52" spans="1:25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</row>
    <row r="53" spans="1:25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</row>
    <row r="54" spans="1:25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</row>
    <row r="55" spans="1:25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</row>
    <row r="56" spans="1:25">
      <c r="A56" s="131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</row>
    <row r="57" spans="1:25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</row>
    <row r="58" spans="1:25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</row>
    <row r="59" spans="1:25">
      <c r="A59" s="131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</row>
    <row r="60" spans="1:25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</row>
    <row r="61" spans="1:25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</row>
    <row r="62" spans="1:25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</row>
    <row r="63" spans="1:25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</row>
    <row r="64" spans="1:25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</row>
    <row r="65" spans="1:25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</row>
    <row r="66" spans="1:25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</row>
    <row r="67" spans="1:25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</row>
    <row r="68" spans="1:25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</row>
    <row r="69" spans="1:25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</row>
    <row r="70" spans="1:25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</row>
    <row r="71" spans="1:25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</row>
    <row r="72" spans="1:25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</row>
    <row r="73" spans="1:25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</row>
    <row r="74" spans="1:25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</row>
    <row r="75" spans="1:25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</row>
    <row r="76" spans="1:25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</row>
    <row r="77" spans="1:25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</row>
    <row r="78" spans="1:25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</row>
    <row r="79" spans="1:25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</row>
    <row r="80" spans="1:25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</row>
    <row r="81" spans="1:25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</row>
    <row r="82" spans="1:25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</row>
    <row r="83" spans="1:25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</row>
    <row r="84" spans="1:25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</row>
    <row r="85" spans="1:25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</row>
    <row r="86" spans="1:25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</row>
    <row r="87" spans="1:25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</row>
    <row r="88" spans="1:25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</row>
    <row r="89" spans="1:25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</row>
    <row r="90" spans="1:25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</row>
    <row r="91" spans="1:25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</row>
    <row r="92" spans="1:25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</row>
    <row r="93" spans="1:25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</row>
    <row r="94" spans="1:25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</row>
    <row r="95" spans="1:25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</row>
    <row r="96" spans="1:25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</row>
    <row r="97" spans="1:25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</row>
    <row r="98" spans="1:25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</row>
    <row r="99" spans="1:25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</row>
    <row r="100" spans="1:25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</row>
    <row r="101" spans="1:25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</row>
    <row r="102" spans="1:25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</row>
    <row r="103" spans="1:25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</row>
    <row r="104" spans="1:25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</row>
    <row r="105" spans="1:25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</row>
    <row r="106" spans="1:25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</row>
    <row r="107" spans="1:25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</row>
    <row r="108" spans="1:25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</row>
    <row r="109" spans="1:25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</row>
    <row r="110" spans="1:25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</row>
    <row r="111" spans="1:25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</row>
    <row r="112" spans="1:25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</row>
    <row r="113" spans="1:25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</row>
    <row r="114" spans="1:25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</row>
    <row r="115" spans="1:25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</row>
    <row r="116" spans="1:25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</row>
    <row r="117" spans="1:25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</row>
    <row r="118" spans="1:25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</row>
    <row r="119" spans="1:25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</row>
    <row r="120" spans="1:25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</row>
    <row r="121" spans="1:25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</row>
    <row r="122" spans="1:25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</row>
    <row r="123" spans="1:25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</row>
    <row r="124" spans="1:25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</row>
    <row r="125" spans="1:25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</row>
    <row r="126" spans="1:25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</row>
    <row r="127" spans="1:25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</row>
    <row r="128" spans="1:25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</row>
    <row r="129" spans="1:25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</row>
    <row r="130" spans="1:25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</row>
    <row r="131" spans="1:25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</row>
    <row r="132" spans="1:25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</row>
    <row r="133" spans="1:25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</row>
    <row r="134" spans="1:25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</row>
    <row r="135" spans="1:25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</row>
    <row r="136" spans="1:25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</row>
    <row r="137" spans="1:25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</row>
    <row r="138" spans="1:25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</row>
    <row r="139" spans="1:25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</row>
    <row r="140" spans="1:25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</row>
    <row r="141" spans="1:25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</row>
    <row r="142" spans="1:25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</row>
    <row r="143" spans="1:25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</row>
    <row r="144" spans="1:25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</row>
    <row r="145" spans="1:25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</row>
    <row r="146" spans="1:25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</row>
    <row r="147" spans="1:25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</row>
    <row r="148" spans="1:25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</row>
    <row r="149" spans="1:25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</row>
    <row r="150" spans="1:25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</row>
    <row r="151" spans="1:25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</row>
    <row r="152" spans="1:25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</row>
    <row r="153" spans="1:25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</row>
    <row r="154" spans="1:25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</row>
    <row r="155" spans="1:25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</row>
    <row r="156" spans="1:25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</row>
    <row r="157" spans="1:25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</row>
    <row r="158" spans="1:25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</row>
    <row r="159" spans="1:25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</row>
    <row r="160" spans="1:25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</row>
    <row r="161" spans="1:25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</row>
    <row r="162" spans="1:25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</row>
    <row r="163" spans="1:25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</row>
    <row r="164" spans="1:25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</row>
    <row r="165" spans="1:25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</row>
    <row r="166" spans="1:25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</row>
    <row r="167" spans="1:25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</row>
    <row r="168" spans="1:25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</row>
    <row r="169" spans="1:25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</row>
    <row r="170" spans="1:25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</row>
    <row r="171" spans="1:25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</row>
    <row r="172" spans="1:25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</row>
    <row r="173" spans="1:25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</row>
    <row r="174" spans="1:25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</row>
    <row r="175" spans="1:25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</row>
    <row r="176" spans="1:25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</row>
    <row r="177" spans="1:25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</row>
    <row r="178" spans="1:25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</row>
    <row r="179" spans="1:25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</row>
    <row r="180" spans="1:25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</row>
    <row r="181" spans="1:25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</row>
    <row r="182" spans="1:25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</row>
    <row r="183" spans="1:25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</row>
    <row r="184" spans="1:25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</row>
    <row r="185" spans="1:25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</row>
    <row r="186" spans="1:25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</row>
    <row r="187" spans="1:25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</row>
    <row r="188" spans="1:25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</row>
    <row r="189" spans="1:25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</row>
    <row r="190" spans="1:25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</row>
    <row r="191" spans="1:25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</row>
    <row r="192" spans="1:25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</row>
    <row r="193" spans="1:25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</row>
    <row r="194" spans="1:25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</row>
    <row r="195" spans="1:25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</row>
    <row r="196" spans="1:25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</row>
    <row r="197" spans="1:25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</row>
    <row r="198" spans="1:25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</row>
    <row r="199" spans="1:25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</row>
    <row r="200" spans="1:25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</row>
    <row r="201" spans="1:25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</row>
    <row r="202" spans="1:25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</row>
    <row r="203" spans="1:25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</row>
    <row r="204" spans="1:25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</row>
    <row r="205" spans="1:25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</row>
    <row r="206" spans="1:25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</row>
    <row r="207" spans="1:25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</row>
    <row r="208" spans="1:25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</row>
    <row r="209" spans="1:25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</row>
    <row r="210" spans="1:25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</row>
    <row r="211" spans="1:25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</row>
    <row r="212" spans="1:25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</row>
    <row r="213" spans="1:25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</row>
    <row r="214" spans="1:25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</row>
    <row r="215" spans="1:25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</row>
    <row r="216" spans="1:25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</row>
    <row r="217" spans="1:25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</row>
    <row r="218" spans="1:25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</row>
    <row r="219" spans="1:25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</row>
    <row r="220" spans="1:25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</row>
    <row r="221" spans="1:25">
      <c r="A221" s="131"/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</row>
    <row r="222" spans="1:25">
      <c r="A222" s="131"/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</row>
    <row r="223" spans="1:25">
      <c r="A223" s="131"/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</row>
    <row r="224" spans="1:25">
      <c r="A224" s="131"/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</row>
    <row r="225" spans="1:25">
      <c r="A225" s="131"/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</row>
    <row r="226" spans="1:25">
      <c r="A226" s="131"/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</row>
    <row r="227" spans="1:25">
      <c r="A227" s="131"/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</row>
    <row r="228" spans="1:25">
      <c r="A228" s="131"/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</row>
    <row r="229" spans="1:25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</row>
    <row r="230" spans="1:25">
      <c r="A230" s="131"/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</row>
    <row r="231" spans="1:25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</row>
    <row r="232" spans="1:25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</row>
    <row r="233" spans="1:25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</row>
    <row r="234" spans="1:25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</row>
    <row r="235" spans="1:25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</row>
    <row r="236" spans="1:25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</row>
    <row r="237" spans="1:25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</row>
    <row r="238" spans="1:25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</row>
    <row r="239" spans="1:25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</row>
    <row r="240" spans="1:25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</row>
    <row r="241" spans="1:25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</row>
    <row r="242" spans="1:25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</row>
    <row r="243" spans="1:25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</row>
    <row r="244" spans="1:25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</row>
    <row r="245" spans="1:25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</row>
    <row r="246" spans="1:25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</row>
    <row r="247" spans="1:25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</row>
    <row r="248" spans="1:25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</row>
    <row r="249" spans="1:25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</row>
    <row r="250" spans="1:25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</row>
    <row r="251" spans="1:25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</row>
    <row r="252" spans="1:25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</row>
    <row r="253" spans="1:25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</row>
    <row r="254" spans="1:25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</row>
    <row r="255" spans="1:25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</row>
    <row r="256" spans="1:25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</row>
    <row r="257" spans="1:25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</row>
    <row r="258" spans="1:25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</row>
    <row r="259" spans="1:25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</row>
    <row r="260" spans="1:25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</row>
    <row r="261" spans="1:25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</row>
    <row r="262" spans="1:25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</row>
    <row r="263" spans="1:25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</row>
    <row r="264" spans="1:25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</row>
    <row r="265" spans="1:25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</row>
    <row r="266" spans="1:25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</row>
    <row r="267" spans="1:25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</row>
    <row r="268" spans="1:25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</row>
    <row r="269" spans="1:25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</row>
    <row r="270" spans="1:25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</row>
    <row r="271" spans="1:25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</row>
    <row r="272" spans="1:25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</row>
    <row r="273" spans="1:25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</row>
    <row r="274" spans="1:25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</row>
    <row r="275" spans="1:25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</row>
    <row r="276" spans="1:25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</row>
    <row r="277" spans="1:25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</row>
    <row r="278" spans="1:25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</row>
    <row r="279" spans="1:25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</row>
    <row r="280" spans="1:25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</row>
    <row r="281" spans="1:25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</row>
    <row r="282" spans="1:25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</row>
    <row r="283" spans="1:25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</row>
    <row r="284" spans="1:25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</row>
    <row r="285" spans="1:25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</row>
    <row r="286" spans="1:25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</row>
    <row r="287" spans="1:25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</row>
    <row r="288" spans="1:25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</row>
    <row r="289" spans="1:25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</row>
    <row r="290" spans="1:25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</row>
    <row r="291" spans="1:25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</row>
    <row r="292" spans="1:25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</row>
    <row r="293" spans="1:25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</row>
    <row r="294" spans="1:25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</row>
    <row r="295" spans="1:25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</row>
    <row r="296" spans="1:25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</row>
    <row r="297" spans="1:25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</row>
    <row r="298" spans="1:25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</row>
    <row r="299" spans="1:25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</row>
    <row r="300" spans="1:25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</row>
    <row r="301" spans="1:25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</row>
    <row r="302" spans="1:25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</row>
    <row r="303" spans="1:25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</row>
    <row r="304" spans="1:25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</row>
    <row r="305" spans="1:25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</row>
    <row r="306" spans="1:25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</row>
    <row r="307" spans="1:25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</row>
    <row r="308" spans="1:25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</row>
    <row r="309" spans="1:25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</row>
    <row r="310" spans="1:25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</row>
    <row r="311" spans="1:25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</row>
    <row r="312" spans="1:25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</row>
    <row r="313" spans="1:25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</row>
    <row r="314" spans="1:25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</row>
    <row r="315" spans="1:25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</row>
    <row r="316" spans="1:25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</row>
    <row r="317" spans="1:25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</row>
    <row r="318" spans="1:25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</row>
    <row r="319" spans="1:25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</row>
    <row r="320" spans="1:25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</row>
    <row r="321" spans="1:25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</row>
    <row r="322" spans="1:25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</row>
    <row r="323" spans="1:25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</row>
    <row r="324" spans="1:25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</row>
    <row r="325" spans="1:25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</row>
    <row r="326" spans="1:25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</row>
    <row r="327" spans="1:25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</row>
    <row r="328" spans="1:25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</row>
    <row r="329" spans="1:25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</row>
    <row r="330" spans="1:25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</row>
    <row r="331" spans="1:25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</row>
    <row r="332" spans="1:25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</row>
    <row r="333" spans="1:25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</row>
    <row r="334" spans="1:25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</row>
    <row r="335" spans="1:25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</row>
    <row r="336" spans="1:25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</row>
    <row r="337" spans="1:25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</row>
    <row r="338" spans="1:25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</row>
    <row r="339" spans="1:25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</row>
    <row r="340" spans="1:25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</row>
    <row r="341" spans="1:25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</row>
    <row r="342" spans="1:25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</row>
    <row r="343" spans="1:25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</row>
    <row r="344" spans="1:25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</row>
    <row r="345" spans="1:25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</row>
    <row r="346" spans="1:25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</row>
    <row r="347" spans="1:25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</row>
    <row r="348" spans="1:25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</row>
    <row r="349" spans="1:25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</row>
    <row r="350" spans="1:25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</row>
    <row r="351" spans="1:25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</row>
    <row r="352" spans="1:25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</row>
    <row r="353" spans="1:25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</row>
    <row r="354" spans="1:25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</row>
    <row r="355" spans="1:25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</row>
    <row r="356" spans="1:25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</row>
    <row r="357" spans="1:25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</row>
    <row r="358" spans="1:25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</row>
    <row r="359" spans="1:25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</row>
    <row r="360" spans="1:25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</row>
    <row r="361" spans="1:25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</row>
    <row r="362" spans="1:25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</row>
    <row r="363" spans="1:25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</row>
    <row r="364" spans="1:25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</row>
    <row r="365" spans="1:25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</row>
    <row r="366" spans="1:25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</row>
    <row r="367" spans="1:25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</row>
    <row r="368" spans="1:25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</row>
    <row r="369" spans="1:25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</row>
    <row r="370" spans="1:25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</row>
    <row r="371" spans="1:25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</row>
    <row r="372" spans="1:25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</row>
    <row r="373" spans="1:25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</row>
    <row r="374" spans="1:25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</row>
    <row r="375" spans="1:25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</row>
    <row r="376" spans="1:25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</row>
    <row r="377" spans="1:25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</row>
    <row r="378" spans="1:25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</row>
    <row r="379" spans="1:25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</row>
    <row r="380" spans="1:25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</row>
    <row r="381" spans="1:25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</row>
    <row r="382" spans="1:25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</row>
    <row r="383" spans="1:25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</row>
    <row r="384" spans="1:25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</row>
    <row r="385" spans="1:25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</row>
    <row r="386" spans="1:25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</row>
    <row r="387" spans="1:25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</row>
    <row r="388" spans="1:25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</row>
    <row r="389" spans="1:25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</row>
    <row r="390" spans="1:25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</row>
    <row r="391" spans="1:25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</row>
    <row r="392" spans="1:25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</row>
    <row r="393" spans="1:25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</row>
    <row r="394" spans="1:25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</row>
    <row r="395" spans="1:25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</row>
    <row r="396" spans="1:25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</row>
    <row r="397" spans="1:25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</row>
    <row r="398" spans="1:25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</row>
    <row r="399" spans="1:25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</row>
    <row r="400" spans="1:25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</row>
    <row r="401" spans="1:25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</row>
    <row r="402" spans="1:25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</row>
    <row r="403" spans="1:25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</row>
    <row r="404" spans="1:25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</row>
    <row r="405" spans="1:25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</row>
    <row r="406" spans="1:25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</row>
    <row r="407" spans="1:25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</row>
    <row r="408" spans="1:25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</row>
    <row r="409" spans="1:25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</row>
    <row r="410" spans="1:25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</row>
    <row r="411" spans="1:25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</row>
    <row r="412" spans="1:25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</row>
    <row r="413" spans="1:25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</row>
    <row r="414" spans="1:25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</row>
    <row r="415" spans="1:25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</row>
    <row r="416" spans="1:25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</row>
    <row r="417" spans="1:25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</row>
    <row r="418" spans="1:25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</row>
    <row r="419" spans="1:25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</row>
    <row r="420" spans="1:25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</row>
    <row r="421" spans="1:25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</row>
    <row r="422" spans="1:25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</row>
    <row r="423" spans="1:25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</row>
    <row r="424" spans="1:25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</row>
    <row r="425" spans="1:25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</row>
    <row r="426" spans="1:25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</row>
    <row r="427" spans="1:25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</row>
    <row r="428" spans="1:25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</row>
    <row r="429" spans="1:25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</row>
    <row r="430" spans="1:25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</row>
    <row r="431" spans="1:25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</row>
    <row r="432" spans="1:25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</row>
    <row r="433" spans="1:25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</row>
    <row r="434" spans="1:25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</row>
    <row r="435" spans="1:25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</row>
    <row r="436" spans="1:25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</row>
    <row r="437" spans="1:25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</row>
    <row r="438" spans="1:25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</row>
    <row r="439" spans="1:25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</row>
    <row r="440" spans="1:25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</row>
    <row r="441" spans="1:25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</row>
    <row r="442" spans="1:25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</row>
    <row r="443" spans="1:25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</row>
    <row r="444" spans="1:25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</row>
    <row r="445" spans="1:25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</row>
    <row r="446" spans="1:25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</row>
    <row r="447" spans="1:25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</row>
    <row r="448" spans="1:25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</row>
    <row r="449" spans="1:25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</row>
    <row r="450" spans="1:25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</row>
    <row r="451" spans="1:25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</row>
    <row r="452" spans="1:25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</row>
    <row r="453" spans="1:25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</row>
    <row r="454" spans="1:25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</row>
    <row r="455" spans="1:25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</row>
    <row r="456" spans="1:25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</row>
    <row r="457" spans="1:25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</row>
    <row r="458" spans="1:25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</row>
    <row r="459" spans="1:25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</row>
    <row r="460" spans="1:25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</row>
    <row r="461" spans="1:25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</row>
    <row r="462" spans="1:25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</row>
    <row r="463" spans="1:25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</row>
    <row r="464" spans="1:25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</row>
    <row r="465" spans="1:25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</row>
    <row r="466" spans="1:25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</row>
    <row r="467" spans="1:25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</row>
    <row r="468" spans="1:25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</row>
    <row r="469" spans="1:25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</row>
    <row r="470" spans="1:25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</row>
    <row r="471" spans="1:25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</row>
    <row r="472" spans="1:25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</row>
    <row r="473" spans="1:25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</row>
    <row r="474" spans="1:25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</row>
    <row r="475" spans="1:25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</row>
    <row r="476" spans="1:25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</row>
    <row r="477" spans="1:25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</row>
    <row r="478" spans="1:25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</row>
    <row r="479" spans="1:25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</row>
    <row r="480" spans="1:25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</row>
    <row r="481" spans="1:25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</row>
    <row r="482" spans="1:25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</row>
    <row r="483" spans="1:25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</row>
    <row r="484" spans="1:25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</row>
    <row r="485" spans="1:25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</row>
    <row r="486" spans="1:25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</row>
    <row r="487" spans="1:25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</row>
    <row r="488" spans="1:25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</row>
    <row r="489" spans="1:25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</row>
    <row r="490" spans="1:25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</row>
    <row r="491" spans="1:25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</row>
    <row r="492" spans="1:25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</row>
    <row r="493" spans="1:25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</row>
    <row r="494" spans="1:25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</row>
    <row r="495" spans="1:25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</row>
    <row r="496" spans="1:25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</row>
    <row r="497" spans="1:25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</row>
    <row r="498" spans="1:25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</row>
    <row r="499" spans="1:25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</row>
    <row r="500" spans="1:25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</row>
    <row r="501" spans="1:25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</row>
    <row r="502" spans="1:25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</row>
    <row r="503" spans="1:25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</row>
    <row r="504" spans="1:25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</row>
    <row r="505" spans="1:25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</row>
    <row r="506" spans="1:25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</row>
    <row r="507" spans="1:25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</row>
    <row r="508" spans="1:25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</row>
    <row r="509" spans="1:25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</row>
    <row r="510" spans="1:25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</row>
    <row r="511" spans="1:25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</row>
    <row r="512" spans="1:25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</row>
    <row r="513" spans="1:25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</row>
    <row r="514" spans="1:25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</row>
    <row r="515" spans="1:25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</row>
    <row r="516" spans="1:25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</row>
    <row r="517" spans="1:25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</row>
    <row r="518" spans="1:25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</row>
    <row r="519" spans="1:25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</row>
    <row r="520" spans="1:25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</row>
    <row r="521" spans="1:25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</row>
    <row r="522" spans="1:25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</row>
    <row r="523" spans="1:25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</row>
    <row r="524" spans="1:25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</row>
    <row r="525" spans="1:25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</row>
    <row r="526" spans="1:25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</row>
    <row r="527" spans="1:25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</row>
    <row r="528" spans="1:25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</row>
    <row r="529" spans="1:25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</row>
    <row r="530" spans="1:25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</row>
    <row r="531" spans="1:25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</row>
    <row r="532" spans="1:25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</row>
    <row r="533" spans="1:25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</row>
    <row r="534" spans="1:25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</row>
    <row r="535" spans="1:25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</row>
    <row r="536" spans="1:25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</row>
    <row r="537" spans="1:25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</row>
    <row r="538" spans="1:25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</row>
    <row r="539" spans="1:25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</row>
    <row r="540" spans="1:25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</row>
    <row r="541" spans="1:25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</row>
    <row r="542" spans="1:25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</row>
    <row r="543" spans="1:25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</row>
    <row r="544" spans="1:25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</row>
    <row r="545" spans="1:25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</row>
    <row r="546" spans="1:25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</row>
    <row r="547" spans="1:25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</row>
    <row r="548" spans="1:25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</row>
    <row r="549" spans="1:25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</row>
    <row r="550" spans="1:25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</row>
    <row r="551" spans="1:25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</row>
    <row r="552" spans="1:25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</row>
    <row r="553" spans="1:25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</row>
    <row r="554" spans="1:25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</row>
    <row r="555" spans="1:25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</row>
    <row r="556" spans="1:25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</row>
    <row r="557" spans="1:25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</row>
    <row r="558" spans="1:25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</row>
    <row r="559" spans="1:25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</row>
    <row r="560" spans="1:25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</row>
    <row r="561" spans="1:25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</row>
    <row r="562" spans="1:25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</row>
    <row r="563" spans="1:25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</row>
    <row r="564" spans="1:25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</row>
    <row r="565" spans="1:25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</row>
    <row r="566" spans="1:25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</row>
    <row r="567" spans="1:25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</row>
    <row r="568" spans="1:25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</row>
    <row r="569" spans="1:25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</row>
    <row r="570" spans="1:25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</row>
    <row r="571" spans="1:25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</row>
    <row r="572" spans="1:25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</row>
    <row r="573" spans="1:25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</row>
    <row r="574" spans="1:25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</row>
    <row r="575" spans="1:25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</row>
    <row r="576" spans="1:25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</row>
    <row r="577" spans="1:25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</row>
    <row r="578" spans="1:25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</row>
    <row r="579" spans="1:25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</row>
    <row r="580" spans="1:25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</row>
    <row r="581" spans="1:25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</row>
    <row r="582" spans="1:25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</row>
    <row r="583" spans="1:25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</row>
    <row r="584" spans="1:25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</row>
    <row r="585" spans="1:25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</row>
    <row r="586" spans="1:25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</row>
    <row r="587" spans="1:25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</row>
    <row r="588" spans="1:25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</row>
    <row r="589" spans="1:25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</row>
    <row r="590" spans="1:25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</row>
    <row r="591" spans="1:25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</row>
    <row r="592" spans="1:25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</row>
    <row r="593" spans="1:25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</row>
    <row r="594" spans="1:25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</row>
    <row r="595" spans="1:25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</row>
    <row r="596" spans="1:25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</row>
    <row r="597" spans="1:25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</row>
    <row r="598" spans="1:25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</row>
    <row r="599" spans="1:25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</row>
    <row r="600" spans="1:25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</row>
    <row r="601" spans="1:25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</row>
    <row r="602" spans="1:25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</row>
    <row r="603" spans="1:25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</row>
    <row r="604" spans="1:25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</row>
    <row r="605" spans="1:25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</row>
    <row r="606" spans="1:25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</row>
    <row r="607" spans="1:25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</row>
    <row r="608" spans="1:25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</row>
    <row r="609" spans="1:25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</row>
    <row r="610" spans="1:25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</row>
    <row r="611" spans="1:25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</row>
    <row r="612" spans="1:25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</row>
    <row r="613" spans="1:25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</row>
    <row r="614" spans="1:25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</row>
    <row r="615" spans="1:25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</row>
    <row r="616" spans="1:25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</row>
    <row r="617" spans="1:25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</row>
    <row r="618" spans="1:25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</row>
    <row r="619" spans="1:25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</row>
    <row r="620" spans="1:25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</row>
    <row r="621" spans="1:25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</row>
    <row r="622" spans="1:25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</row>
    <row r="623" spans="1:25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</row>
    <row r="624" spans="1:25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</row>
    <row r="625" spans="1:25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</row>
    <row r="626" spans="1:25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</row>
    <row r="627" spans="1:25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</row>
    <row r="628" spans="1:25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</row>
    <row r="629" spans="1:25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</row>
    <row r="630" spans="1:25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</row>
    <row r="631" spans="1:25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</row>
  </sheetData>
  <mergeCells count="1">
    <mergeCell ref="AB4:AF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5:AJ66"/>
  <sheetViews>
    <sheetView topLeftCell="I7" zoomScale="90" zoomScaleNormal="90" workbookViewId="0">
      <selection activeCell="A18" sqref="A18"/>
    </sheetView>
  </sheetViews>
  <sheetFormatPr defaultRowHeight="12.75"/>
  <cols>
    <col min="2" max="2" width="53.42578125" customWidth="1"/>
    <col min="5" max="5" width="11.28515625" customWidth="1"/>
    <col min="7" max="7" width="12.5703125" customWidth="1"/>
    <col min="8" max="8" width="32.7109375" customWidth="1"/>
    <col min="9" max="9" width="24.28515625" customWidth="1"/>
    <col min="10" max="10" width="32.7109375" customWidth="1"/>
    <col min="15" max="15" width="9.85546875" style="342" customWidth="1"/>
    <col min="16" max="16" width="10.5703125" customWidth="1"/>
    <col min="17" max="17" width="12.140625" customWidth="1"/>
    <col min="18" max="18" width="12.85546875" customWidth="1"/>
    <col min="19" max="20" width="13.140625" customWidth="1"/>
  </cols>
  <sheetData>
    <row r="5" spans="1:36">
      <c r="B5">
        <f>COLUMN()-1</f>
        <v>1</v>
      </c>
      <c r="C5">
        <f t="shared" ref="C5:AJ5" si="0">COLUMN()-1</f>
        <v>2</v>
      </c>
      <c r="D5">
        <f t="shared" si="0"/>
        <v>3</v>
      </c>
      <c r="E5">
        <f t="shared" si="0"/>
        <v>4</v>
      </c>
      <c r="F5">
        <f t="shared" si="0"/>
        <v>5</v>
      </c>
      <c r="G5">
        <f t="shared" si="0"/>
        <v>6</v>
      </c>
      <c r="H5">
        <f t="shared" si="0"/>
        <v>7</v>
      </c>
      <c r="I5">
        <f t="shared" si="0"/>
        <v>8</v>
      </c>
      <c r="J5">
        <f t="shared" si="0"/>
        <v>9</v>
      </c>
      <c r="K5">
        <f t="shared" si="0"/>
        <v>10</v>
      </c>
      <c r="L5">
        <f t="shared" si="0"/>
        <v>11</v>
      </c>
      <c r="M5">
        <f t="shared" si="0"/>
        <v>12</v>
      </c>
      <c r="N5">
        <f t="shared" si="0"/>
        <v>13</v>
      </c>
      <c r="O5">
        <f t="shared" si="0"/>
        <v>14</v>
      </c>
      <c r="P5">
        <f t="shared" si="0"/>
        <v>15</v>
      </c>
      <c r="Q5">
        <f t="shared" si="0"/>
        <v>16</v>
      </c>
      <c r="R5">
        <f t="shared" si="0"/>
        <v>17</v>
      </c>
      <c r="S5">
        <f t="shared" si="0"/>
        <v>18</v>
      </c>
      <c r="T5">
        <f t="shared" si="0"/>
        <v>19</v>
      </c>
      <c r="U5">
        <f t="shared" si="0"/>
        <v>20</v>
      </c>
      <c r="V5">
        <f t="shared" si="0"/>
        <v>21</v>
      </c>
      <c r="W5">
        <f t="shared" si="0"/>
        <v>22</v>
      </c>
      <c r="X5">
        <f t="shared" si="0"/>
        <v>23</v>
      </c>
      <c r="Y5">
        <f t="shared" si="0"/>
        <v>24</v>
      </c>
      <c r="Z5">
        <f t="shared" si="0"/>
        <v>25</v>
      </c>
      <c r="AA5">
        <f t="shared" si="0"/>
        <v>26</v>
      </c>
      <c r="AB5">
        <f t="shared" si="0"/>
        <v>27</v>
      </c>
      <c r="AC5">
        <f t="shared" si="0"/>
        <v>28</v>
      </c>
      <c r="AD5">
        <f t="shared" si="0"/>
        <v>29</v>
      </c>
      <c r="AE5">
        <f t="shared" si="0"/>
        <v>30</v>
      </c>
      <c r="AF5">
        <f t="shared" si="0"/>
        <v>31</v>
      </c>
      <c r="AG5">
        <f t="shared" si="0"/>
        <v>32</v>
      </c>
      <c r="AH5">
        <f t="shared" si="0"/>
        <v>33</v>
      </c>
      <c r="AI5">
        <f t="shared" si="0"/>
        <v>34</v>
      </c>
      <c r="AJ5">
        <f t="shared" si="0"/>
        <v>35</v>
      </c>
    </row>
    <row r="7" spans="1:36">
      <c r="A7" s="83" t="s">
        <v>620</v>
      </c>
      <c r="S7" s="387"/>
      <c r="T7" s="387"/>
    </row>
    <row r="8" spans="1:36">
      <c r="S8" s="387" t="s">
        <v>379</v>
      </c>
      <c r="T8" s="387" t="s">
        <v>379</v>
      </c>
    </row>
    <row r="9" spans="1:36" ht="64.5">
      <c r="B9" s="327" t="s">
        <v>542</v>
      </c>
      <c r="C9" s="327" t="s">
        <v>424</v>
      </c>
      <c r="D9" s="327" t="s">
        <v>425</v>
      </c>
      <c r="E9" s="327" t="s">
        <v>426</v>
      </c>
      <c r="F9" s="327" t="s">
        <v>381</v>
      </c>
      <c r="G9" s="327" t="s">
        <v>380</v>
      </c>
      <c r="H9" s="328" t="s">
        <v>400</v>
      </c>
      <c r="I9" s="328" t="s">
        <v>427</v>
      </c>
      <c r="J9" s="328" t="s">
        <v>428</v>
      </c>
      <c r="K9" s="328" t="s">
        <v>429</v>
      </c>
      <c r="L9" s="328" t="s">
        <v>430</v>
      </c>
      <c r="M9" s="328" t="s">
        <v>431</v>
      </c>
      <c r="N9" s="328" t="s">
        <v>586</v>
      </c>
      <c r="O9" s="329" t="s">
        <v>432</v>
      </c>
      <c r="P9" s="328" t="s">
        <v>433</v>
      </c>
      <c r="Q9" s="328" t="s">
        <v>434</v>
      </c>
      <c r="R9" s="328" t="s">
        <v>435</v>
      </c>
      <c r="S9" s="328" t="s">
        <v>537</v>
      </c>
      <c r="T9" s="328" t="s">
        <v>538</v>
      </c>
    </row>
    <row r="10" spans="1:36">
      <c r="B10" s="308" t="s">
        <v>543</v>
      </c>
      <c r="C10" s="308">
        <v>1</v>
      </c>
      <c r="D10" s="330" t="s">
        <v>416</v>
      </c>
      <c r="E10" s="330" t="s">
        <v>436</v>
      </c>
      <c r="F10" s="308" t="s">
        <v>382</v>
      </c>
      <c r="G10" s="308" t="s">
        <v>388</v>
      </c>
      <c r="H10" s="331" t="s">
        <v>391</v>
      </c>
      <c r="I10" s="331" t="s">
        <v>437</v>
      </c>
      <c r="J10" s="331" t="s">
        <v>438</v>
      </c>
      <c r="K10" s="308"/>
      <c r="L10" s="332">
        <f>VLOOKUP(J10,'DOE2014 Sales Pen'!$AA$6:$AG$40,6, FALSE)</f>
        <v>0.1</v>
      </c>
      <c r="M10" s="308">
        <f t="shared" ref="M10:M51" si="1">IF(D10="New",1,MAX(Q10:R10))</f>
        <v>1</v>
      </c>
      <c r="N10" s="308"/>
      <c r="O10" s="333"/>
      <c r="P10" s="308">
        <v>1</v>
      </c>
      <c r="Q10" s="308"/>
      <c r="R10" s="308"/>
      <c r="S10" s="388">
        <f>INDEX(list_LPDBaseNew,MATCH(Applic!S$8,LPDNew!$R$95:$R$114,FALSE),MATCH($H10,LPDNew!$R$95:$AA$95,FALSE))</f>
        <v>509.94094126691846</v>
      </c>
      <c r="T10" s="388">
        <f>INDEX(list_LPDBaseExist,MATCH(Applic!T$8,LPDNew!$R$95:$R$114,FALSE),MATCH($H10,LPDNew!$R$95:$AA$95,FALSE))</f>
        <v>594.65094628580289</v>
      </c>
      <c r="U10" s="326"/>
      <c r="V10" s="326"/>
      <c r="W10" s="326"/>
      <c r="X10" s="326"/>
      <c r="Y10" s="326"/>
    </row>
    <row r="11" spans="1:36">
      <c r="B11" s="308" t="s">
        <v>544</v>
      </c>
      <c r="C11" s="308">
        <v>2</v>
      </c>
      <c r="D11" s="330" t="s">
        <v>416</v>
      </c>
      <c r="E11" s="330" t="s">
        <v>436</v>
      </c>
      <c r="F11" s="308" t="s">
        <v>383</v>
      </c>
      <c r="G11" s="308" t="s">
        <v>41</v>
      </c>
      <c r="H11" s="331" t="s">
        <v>392</v>
      </c>
      <c r="I11" s="331" t="s">
        <v>437</v>
      </c>
      <c r="J11" s="331" t="s">
        <v>439</v>
      </c>
      <c r="K11" s="308"/>
      <c r="L11" s="332">
        <f>VLOOKUP(J11,'DOE2014 Sales Pen'!$AA$6:$AG$30,6, FALSE)</f>
        <v>0.05</v>
      </c>
      <c r="M11" s="308">
        <f t="shared" si="1"/>
        <v>1</v>
      </c>
      <c r="N11" s="308"/>
      <c r="O11" s="333"/>
      <c r="P11" s="308">
        <v>1</v>
      </c>
      <c r="Q11" s="308"/>
      <c r="R11" s="308"/>
      <c r="S11" s="388">
        <f>INDEX(list_LPDBaseNew,MATCH(Applic!S$8,LPDNew!$R$95:$R$114,FALSE),MATCH($H11,LPDNew!$R$95:$AA$95,FALSE))</f>
        <v>51.859071180094055</v>
      </c>
      <c r="T11" s="388">
        <f>INDEX(list_LPDBaseExist,MATCH(Applic!T$8,LPDNew!$R$95:$R$114,FALSE),MATCH($H11,LPDNew!$R$95:$AA$95,FALSE))</f>
        <v>35.263961113008648</v>
      </c>
      <c r="U11" s="326"/>
      <c r="V11" s="326"/>
      <c r="W11" s="326"/>
      <c r="X11" s="326"/>
      <c r="Y11" s="326"/>
    </row>
    <row r="12" spans="1:36">
      <c r="B12" s="308" t="s">
        <v>545</v>
      </c>
      <c r="C12" s="308">
        <v>3</v>
      </c>
      <c r="D12" s="330" t="s">
        <v>416</v>
      </c>
      <c r="E12" s="330" t="s">
        <v>436</v>
      </c>
      <c r="F12" s="308" t="s">
        <v>383</v>
      </c>
      <c r="G12" s="308" t="s">
        <v>389</v>
      </c>
      <c r="H12" s="331" t="s">
        <v>393</v>
      </c>
      <c r="I12" s="331" t="s">
        <v>437</v>
      </c>
      <c r="J12" s="331" t="s">
        <v>439</v>
      </c>
      <c r="K12" s="308"/>
      <c r="L12" s="332">
        <f>VLOOKUP(J12,'DOE2014 Sales Pen'!$AA$6:$AG$30,6, FALSE)</f>
        <v>0.05</v>
      </c>
      <c r="M12" s="308">
        <f t="shared" si="1"/>
        <v>1</v>
      </c>
      <c r="N12" s="308"/>
      <c r="O12" s="333"/>
      <c r="P12" s="308">
        <v>1</v>
      </c>
      <c r="Q12" s="308"/>
      <c r="R12" s="308"/>
      <c r="S12" s="388">
        <f>INDEX(list_LPDBaseNew,MATCH(Applic!S$8,LPDNew!$R$95:$R$114,FALSE),MATCH($H12,LPDNew!$R$95:$AA$95,FALSE))</f>
        <v>28.831023451320508</v>
      </c>
      <c r="T12" s="388">
        <f>INDEX(list_LPDBaseExist,MATCH(Applic!T$8,LPDNew!$R$95:$R$114,FALSE),MATCH($H12,LPDNew!$R$95:$AA$95,FALSE))</f>
        <v>22.025375679247833</v>
      </c>
      <c r="U12" s="326"/>
      <c r="V12" s="326"/>
      <c r="W12" s="326"/>
      <c r="X12" s="326"/>
      <c r="Y12" s="326"/>
    </row>
    <row r="13" spans="1:36">
      <c r="B13" s="308" t="s">
        <v>546</v>
      </c>
      <c r="C13" s="308">
        <v>4</v>
      </c>
      <c r="D13" s="330" t="s">
        <v>416</v>
      </c>
      <c r="E13" s="330" t="s">
        <v>436</v>
      </c>
      <c r="F13" s="308" t="s">
        <v>385</v>
      </c>
      <c r="G13" s="308" t="s">
        <v>41</v>
      </c>
      <c r="H13" s="331" t="s">
        <v>394</v>
      </c>
      <c r="I13" s="331" t="s">
        <v>437</v>
      </c>
      <c r="J13" s="331" t="s">
        <v>440</v>
      </c>
      <c r="K13" s="308"/>
      <c r="L13" s="332">
        <f>VLOOKUP(J13,'DOE2014 Sales Pen'!$AA$6:$AG$30,6, FALSE)</f>
        <v>0.05</v>
      </c>
      <c r="M13" s="308">
        <f t="shared" si="1"/>
        <v>1</v>
      </c>
      <c r="N13" s="308"/>
      <c r="O13" s="333"/>
      <c r="P13" s="308">
        <v>1</v>
      </c>
      <c r="Q13" s="308"/>
      <c r="R13" s="308"/>
      <c r="S13" s="388">
        <f>INDEX(list_LPDBaseNew,MATCH(Applic!S$8,LPDNew!$R$95:$R$114,FALSE),MATCH($H13,LPDNew!$R$95:$AA$95,FALSE))</f>
        <v>51.859071180094055</v>
      </c>
      <c r="T13" s="388">
        <f>INDEX(list_LPDBaseExist,MATCH(Applic!T$8,LPDNew!$R$95:$R$114,FALSE),MATCH($H13,LPDNew!$R$95:$AA$95,FALSE))</f>
        <v>35.263961113008648</v>
      </c>
      <c r="U13" s="326"/>
      <c r="V13" s="326"/>
      <c r="W13" s="326"/>
      <c r="X13" s="326"/>
      <c r="Y13" s="326"/>
    </row>
    <row r="14" spans="1:36">
      <c r="B14" s="308" t="s">
        <v>547</v>
      </c>
      <c r="C14" s="308">
        <v>5</v>
      </c>
      <c r="D14" s="330" t="s">
        <v>416</v>
      </c>
      <c r="E14" s="330" t="s">
        <v>436</v>
      </c>
      <c r="F14" s="308" t="s">
        <v>385</v>
      </c>
      <c r="G14" s="308" t="s">
        <v>389</v>
      </c>
      <c r="H14" s="331" t="s">
        <v>395</v>
      </c>
      <c r="I14" s="331" t="s">
        <v>437</v>
      </c>
      <c r="J14" s="331" t="s">
        <v>440</v>
      </c>
      <c r="K14" s="308"/>
      <c r="L14" s="332">
        <f>VLOOKUP(J14,'DOE2014 Sales Pen'!$AA$6:$AG$30,6, FALSE)</f>
        <v>0.05</v>
      </c>
      <c r="M14" s="308">
        <f t="shared" si="1"/>
        <v>1</v>
      </c>
      <c r="N14" s="308"/>
      <c r="O14" s="333"/>
      <c r="P14" s="308">
        <v>1</v>
      </c>
      <c r="Q14" s="308"/>
      <c r="R14" s="308"/>
      <c r="S14" s="388">
        <f>INDEX(list_LPDBaseNew,MATCH(Applic!S$8,LPDNew!$R$95:$R$114,FALSE),MATCH($H14,LPDNew!$R$95:$AA$95,FALSE))</f>
        <v>14.011664379968339</v>
      </c>
      <c r="T14" s="388">
        <f>INDEX(list_LPDBaseExist,MATCH(Applic!T$8,LPDNew!$R$95:$R$114,FALSE),MATCH($H14,LPDNew!$R$95:$AA$95,FALSE))</f>
        <v>20.664445597910895</v>
      </c>
      <c r="U14" s="326"/>
      <c r="V14" s="326"/>
      <c r="W14" s="326"/>
      <c r="X14" s="326"/>
      <c r="Y14" s="326"/>
    </row>
    <row r="15" spans="1:36">
      <c r="B15" s="308" t="s">
        <v>548</v>
      </c>
      <c r="C15" s="308">
        <v>6</v>
      </c>
      <c r="D15" s="330" t="s">
        <v>416</v>
      </c>
      <c r="E15" s="330" t="s">
        <v>436</v>
      </c>
      <c r="F15" s="308" t="s">
        <v>386</v>
      </c>
      <c r="G15" s="308" t="s">
        <v>33</v>
      </c>
      <c r="H15" s="331" t="s">
        <v>397</v>
      </c>
      <c r="I15" s="331" t="s">
        <v>437</v>
      </c>
      <c r="J15" s="331" t="s">
        <v>441</v>
      </c>
      <c r="K15" s="308"/>
      <c r="L15" s="332">
        <f>VLOOKUP(J15,'DOE2014 Sales Pen'!$AA$6:$AG$30,6, FALSE)</f>
        <v>0.08</v>
      </c>
      <c r="M15" s="308">
        <f t="shared" si="1"/>
        <v>1</v>
      </c>
      <c r="N15" s="308"/>
      <c r="O15" s="333" t="s">
        <v>442</v>
      </c>
      <c r="P15" s="332">
        <v>0.8</v>
      </c>
      <c r="Q15" s="308"/>
      <c r="R15" s="308"/>
      <c r="S15" s="388">
        <f>INDEX(list_LPDBaseNew,MATCH(Applic!S$8,LPDNew!$R$95:$R$114,FALSE),MATCH($H15,LPDNew!$R$95:$AA$95,FALSE))</f>
        <v>39.021238827225254</v>
      </c>
      <c r="T15" s="388">
        <f>INDEX(list_LPDBaseExist,MATCH(Applic!T$8,LPDNew!$R$95:$R$114,FALSE),MATCH($H15,LPDNew!$R$95:$AA$95,FALSE))</f>
        <v>38.157882261154626</v>
      </c>
      <c r="U15" s="326"/>
      <c r="V15" s="326"/>
      <c r="W15" s="326"/>
      <c r="X15" s="326"/>
      <c r="Y15" s="326"/>
    </row>
    <row r="16" spans="1:36">
      <c r="B16" s="308" t="s">
        <v>549</v>
      </c>
      <c r="C16" s="308">
        <v>7</v>
      </c>
      <c r="D16" s="330" t="s">
        <v>416</v>
      </c>
      <c r="E16" s="330" t="s">
        <v>436</v>
      </c>
      <c r="F16" s="308" t="s">
        <v>386</v>
      </c>
      <c r="G16" s="308" t="s">
        <v>33</v>
      </c>
      <c r="H16" s="331" t="s">
        <v>397</v>
      </c>
      <c r="I16" s="331" t="s">
        <v>388</v>
      </c>
      <c r="J16" s="331" t="s">
        <v>396</v>
      </c>
      <c r="K16" s="308"/>
      <c r="L16" s="332">
        <f>VLOOKUP(J16,'DOE2014 Sales Pen'!$AA$6:$AG$30,6, FALSE)</f>
        <v>0.1</v>
      </c>
      <c r="M16" s="308">
        <f t="shared" si="1"/>
        <v>1</v>
      </c>
      <c r="N16" s="308"/>
      <c r="O16" s="333" t="s">
        <v>442</v>
      </c>
      <c r="P16" s="332">
        <v>0.2</v>
      </c>
      <c r="Q16" s="308"/>
      <c r="R16" s="308"/>
      <c r="S16" s="388">
        <f>INDEX(list_LPDBaseNew,MATCH(Applic!S$8,LPDNew!$R$95:$R$114,FALSE),MATCH($H16,LPDNew!$R$95:$AA$95,FALSE))</f>
        <v>39.021238827225254</v>
      </c>
      <c r="T16" s="388">
        <f>INDEX(list_LPDBaseExist,MATCH(Applic!T$8,LPDNew!$R$95:$R$114,FALSE),MATCH($H16,LPDNew!$R$95:$AA$95,FALSE))</f>
        <v>38.157882261154626</v>
      </c>
      <c r="U16" s="326"/>
      <c r="V16" s="326"/>
      <c r="W16" s="326"/>
      <c r="X16" s="326"/>
      <c r="Y16" s="326"/>
    </row>
    <row r="17" spans="2:25">
      <c r="B17" s="308" t="s">
        <v>550</v>
      </c>
      <c r="C17" s="308">
        <v>8</v>
      </c>
      <c r="D17" s="330" t="s">
        <v>416</v>
      </c>
      <c r="E17" s="330" t="s">
        <v>436</v>
      </c>
      <c r="F17" s="308" t="s">
        <v>386</v>
      </c>
      <c r="G17" s="308" t="s">
        <v>388</v>
      </c>
      <c r="H17" s="331" t="s">
        <v>396</v>
      </c>
      <c r="I17" s="331" t="s">
        <v>437</v>
      </c>
      <c r="J17" s="331" t="s">
        <v>441</v>
      </c>
      <c r="K17" s="308"/>
      <c r="L17" s="332">
        <f>VLOOKUP(J17,'DOE2014 Sales Pen'!$AA$6:$AG$30,6, FALSE)</f>
        <v>0.08</v>
      </c>
      <c r="M17" s="308">
        <f t="shared" si="1"/>
        <v>1</v>
      </c>
      <c r="N17" s="308"/>
      <c r="O17" s="333"/>
      <c r="P17" s="308">
        <v>1</v>
      </c>
      <c r="Q17" s="308"/>
      <c r="R17" s="308"/>
      <c r="S17" s="388">
        <f>INDEX(list_LPDBaseNew,MATCH(Applic!S$8,LPDNew!$R$95:$R$114,FALSE),MATCH($H17,LPDNew!$R$95:$AA$95,FALSE))</f>
        <v>83.132473104455016</v>
      </c>
      <c r="T17" s="388">
        <f>INDEX(list_LPDBaseExist,MATCH(Applic!T$8,LPDNew!$R$95:$R$114,FALSE),MATCH($H17,LPDNew!$R$95:$AA$95,FALSE))</f>
        <v>59.754842545690153</v>
      </c>
      <c r="U17" s="326"/>
      <c r="V17" s="326"/>
      <c r="W17" s="326"/>
      <c r="X17" s="326"/>
      <c r="Y17" s="326"/>
    </row>
    <row r="18" spans="2:25">
      <c r="B18" s="334" t="s">
        <v>551</v>
      </c>
      <c r="C18" s="334">
        <v>9</v>
      </c>
      <c r="D18" s="335" t="s">
        <v>443</v>
      </c>
      <c r="E18" s="335" t="s">
        <v>436</v>
      </c>
      <c r="F18" s="334" t="s">
        <v>382</v>
      </c>
      <c r="G18" s="334" t="s">
        <v>388</v>
      </c>
      <c r="H18" s="336" t="s">
        <v>391</v>
      </c>
      <c r="I18" s="336" t="s">
        <v>437</v>
      </c>
      <c r="J18" s="336" t="s">
        <v>438</v>
      </c>
      <c r="K18" s="334"/>
      <c r="L18" s="337">
        <f>VLOOKUP(J18,'DOE2014 Sales Pen'!$AA$6:$AG$30,6, FALSE)</f>
        <v>0.1</v>
      </c>
      <c r="M18" s="338">
        <f t="shared" si="1"/>
        <v>0.8</v>
      </c>
      <c r="N18" s="338">
        <v>0.05</v>
      </c>
      <c r="O18" s="339" t="s">
        <v>442</v>
      </c>
      <c r="P18" s="337">
        <v>0.3</v>
      </c>
      <c r="Q18" s="338">
        <v>0.8</v>
      </c>
      <c r="R18" s="338"/>
      <c r="S18" s="389">
        <f>INDEX(list_LPDBaseNew,MATCH(Applic!S$8,LPDNew!$R$95:$R$114,FALSE),MATCH($H18,LPDNew!$R$95:$AA$95,FALSE))</f>
        <v>509.94094126691846</v>
      </c>
      <c r="T18" s="389">
        <f>INDEX(list_LPDBaseExist,MATCH(Applic!T$8,LPDNew!$R$95:$R$114,FALSE),MATCH($H18,LPDNew!$R$95:$AA$95,FALSE))</f>
        <v>594.65094628580289</v>
      </c>
      <c r="U18" s="326"/>
      <c r="V18" s="326"/>
      <c r="W18" s="326"/>
      <c r="X18" s="326"/>
      <c r="Y18" s="326"/>
    </row>
    <row r="19" spans="2:25">
      <c r="B19" s="334" t="s">
        <v>552</v>
      </c>
      <c r="C19" s="334">
        <v>10</v>
      </c>
      <c r="D19" s="335" t="s">
        <v>443</v>
      </c>
      <c r="E19" s="335" t="s">
        <v>436</v>
      </c>
      <c r="F19" s="334" t="s">
        <v>382</v>
      </c>
      <c r="G19" s="334" t="s">
        <v>388</v>
      </c>
      <c r="H19" s="336" t="s">
        <v>391</v>
      </c>
      <c r="I19" s="336" t="s">
        <v>444</v>
      </c>
      <c r="J19" s="336" t="s">
        <v>438</v>
      </c>
      <c r="K19" s="334" t="s">
        <v>429</v>
      </c>
      <c r="L19" s="337">
        <f>VLOOKUP(J19,'DOE2014 Sales Pen'!$AA$6:$AG$30,6, FALSE)</f>
        <v>0.1</v>
      </c>
      <c r="M19" s="337">
        <f t="shared" si="1"/>
        <v>0.8</v>
      </c>
      <c r="N19" s="338">
        <v>0.05</v>
      </c>
      <c r="O19" s="339" t="s">
        <v>442</v>
      </c>
      <c r="P19" s="337">
        <v>0.15</v>
      </c>
      <c r="Q19" s="338">
        <v>0.8</v>
      </c>
      <c r="R19" s="338"/>
      <c r="S19" s="389">
        <f>INDEX(list_LPDBaseNew,MATCH(Applic!S$8,LPDNew!$R$95:$R$114,FALSE),MATCH($H19,LPDNew!$R$95:$AA$95,FALSE))</f>
        <v>509.94094126691846</v>
      </c>
      <c r="T19" s="389">
        <f>INDEX(list_LPDBaseExist,MATCH(Applic!T$8,LPDNew!$R$95:$R$114,FALSE),MATCH($H19,LPDNew!$R$95:$AA$95,FALSE))</f>
        <v>594.65094628580289</v>
      </c>
      <c r="U19" s="326"/>
      <c r="V19" s="326"/>
      <c r="W19" s="326"/>
      <c r="X19" s="326"/>
      <c r="Y19" s="326"/>
    </row>
    <row r="20" spans="2:25">
      <c r="B20" s="334" t="s">
        <v>553</v>
      </c>
      <c r="C20" s="334">
        <v>11</v>
      </c>
      <c r="D20" s="335" t="s">
        <v>443</v>
      </c>
      <c r="E20" s="335" t="s">
        <v>436</v>
      </c>
      <c r="F20" s="334" t="s">
        <v>382</v>
      </c>
      <c r="G20" s="334" t="s">
        <v>388</v>
      </c>
      <c r="H20" s="336" t="s">
        <v>391</v>
      </c>
      <c r="I20" s="336" t="s">
        <v>445</v>
      </c>
      <c r="J20" s="336" t="s">
        <v>391</v>
      </c>
      <c r="K20" s="334" t="s">
        <v>429</v>
      </c>
      <c r="L20" s="337">
        <f>VLOOKUP(J20,'DOE2014 Sales Pen'!$AA$6:$AG$30,6, FALSE)</f>
        <v>0.1</v>
      </c>
      <c r="M20" s="337">
        <f t="shared" si="1"/>
        <v>0.8</v>
      </c>
      <c r="N20" s="338">
        <v>0.05</v>
      </c>
      <c r="O20" s="339" t="s">
        <v>442</v>
      </c>
      <c r="P20" s="337">
        <v>0.1</v>
      </c>
      <c r="Q20" s="338">
        <v>0.8</v>
      </c>
      <c r="R20" s="338"/>
      <c r="S20" s="389">
        <f>INDEX(list_LPDBaseNew,MATCH(Applic!S$8,LPDNew!$R$95:$R$114,FALSE),MATCH($H20,LPDNew!$R$95:$AA$95,FALSE))</f>
        <v>509.94094126691846</v>
      </c>
      <c r="T20" s="389">
        <f>INDEX(list_LPDBaseExist,MATCH(Applic!T$8,LPDNew!$R$95:$R$114,FALSE),MATCH($H20,LPDNew!$R$95:$AA$95,FALSE))</f>
        <v>594.65094628580289</v>
      </c>
      <c r="U20" s="326"/>
      <c r="V20" s="326"/>
      <c r="W20" s="326"/>
      <c r="X20" s="326"/>
      <c r="Y20" s="326"/>
    </row>
    <row r="21" spans="2:25">
      <c r="B21" s="334" t="s">
        <v>554</v>
      </c>
      <c r="C21" s="334">
        <v>12</v>
      </c>
      <c r="D21" s="335" t="s">
        <v>443</v>
      </c>
      <c r="E21" s="335" t="s">
        <v>436</v>
      </c>
      <c r="F21" s="334" t="s">
        <v>382</v>
      </c>
      <c r="G21" s="334" t="s">
        <v>388</v>
      </c>
      <c r="H21" s="336" t="s">
        <v>391</v>
      </c>
      <c r="I21" s="336" t="s">
        <v>446</v>
      </c>
      <c r="J21" s="336" t="s">
        <v>447</v>
      </c>
      <c r="K21" s="334"/>
      <c r="L21" s="337">
        <f>VLOOKUP(J21,'DOE2014 Sales Pen'!$AA$6:$AG$30,6, FALSE)</f>
        <v>0.1</v>
      </c>
      <c r="M21" s="337">
        <f t="shared" si="1"/>
        <v>0.8</v>
      </c>
      <c r="N21" s="338">
        <v>0.05</v>
      </c>
      <c r="O21" s="339" t="s">
        <v>442</v>
      </c>
      <c r="P21" s="337">
        <v>0.3</v>
      </c>
      <c r="Q21" s="338">
        <v>0.8</v>
      </c>
      <c r="R21" s="338"/>
      <c r="S21" s="389">
        <f>INDEX(list_LPDBaseNew,MATCH(Applic!S$8,LPDNew!$R$95:$R$114,FALSE),MATCH($H21,LPDNew!$R$95:$AA$95,FALSE))</f>
        <v>509.94094126691846</v>
      </c>
      <c r="T21" s="389">
        <f>INDEX(list_LPDBaseExist,MATCH(Applic!T$8,LPDNew!$R$95:$R$114,FALSE),MATCH($H21,LPDNew!$R$95:$AA$95,FALSE))</f>
        <v>594.65094628580289</v>
      </c>
      <c r="U21" s="326"/>
      <c r="V21" s="326"/>
      <c r="W21" s="326"/>
      <c r="X21" s="326"/>
      <c r="Y21" s="326"/>
    </row>
    <row r="22" spans="2:25">
      <c r="B22" s="334" t="s">
        <v>555</v>
      </c>
      <c r="C22" s="334">
        <v>13</v>
      </c>
      <c r="D22" s="335" t="s">
        <v>443</v>
      </c>
      <c r="E22" s="335" t="s">
        <v>436</v>
      </c>
      <c r="F22" s="334" t="s">
        <v>382</v>
      </c>
      <c r="G22" s="334" t="s">
        <v>388</v>
      </c>
      <c r="H22" s="336" t="s">
        <v>391</v>
      </c>
      <c r="I22" s="336" t="s">
        <v>448</v>
      </c>
      <c r="J22" s="336" t="s">
        <v>447</v>
      </c>
      <c r="K22" s="334" t="s">
        <v>429</v>
      </c>
      <c r="L22" s="337">
        <f>VLOOKUP(J22,'DOE2014 Sales Pen'!$AA$6:$AG$30,6, FALSE)</f>
        <v>0.1</v>
      </c>
      <c r="M22" s="337">
        <f t="shared" si="1"/>
        <v>0.8</v>
      </c>
      <c r="N22" s="338">
        <v>0.05</v>
      </c>
      <c r="O22" s="339" t="s">
        <v>442</v>
      </c>
      <c r="P22" s="337">
        <v>0.15</v>
      </c>
      <c r="Q22" s="338">
        <v>0.8</v>
      </c>
      <c r="R22" s="338"/>
      <c r="S22" s="389">
        <f>INDEX(list_LPDBaseNew,MATCH(Applic!S$8,LPDNew!$R$95:$R$114,FALSE),MATCH($H22,LPDNew!$R$95:$AA$95,FALSE))</f>
        <v>509.94094126691846</v>
      </c>
      <c r="T22" s="389">
        <f>INDEX(list_LPDBaseExist,MATCH(Applic!T$8,LPDNew!$R$95:$R$114,FALSE),MATCH($H22,LPDNew!$R$95:$AA$95,FALSE))</f>
        <v>594.65094628580289</v>
      </c>
      <c r="U22" s="326"/>
      <c r="V22" s="326"/>
      <c r="W22" s="326"/>
      <c r="X22" s="326"/>
      <c r="Y22" s="326"/>
    </row>
    <row r="23" spans="2:25">
      <c r="B23" s="334" t="s">
        <v>556</v>
      </c>
      <c r="C23" s="334">
        <v>14</v>
      </c>
      <c r="D23" s="335" t="s">
        <v>443</v>
      </c>
      <c r="E23" s="335" t="s">
        <v>436</v>
      </c>
      <c r="F23" s="334" t="s">
        <v>383</v>
      </c>
      <c r="G23" s="334" t="s">
        <v>41</v>
      </c>
      <c r="H23" s="336" t="s">
        <v>392</v>
      </c>
      <c r="I23" s="336" t="s">
        <v>437</v>
      </c>
      <c r="J23" s="336" t="s">
        <v>439</v>
      </c>
      <c r="K23" s="334"/>
      <c r="L23" s="337">
        <f>VLOOKUP(J23,'DOE2014 Sales Pen'!$AA$6:$AG$30,6, FALSE)</f>
        <v>0.05</v>
      </c>
      <c r="M23" s="337">
        <f t="shared" si="1"/>
        <v>0.8</v>
      </c>
      <c r="N23" s="338">
        <v>0.05</v>
      </c>
      <c r="O23" s="339"/>
      <c r="P23" s="334">
        <v>1</v>
      </c>
      <c r="Q23" s="338">
        <v>0.8</v>
      </c>
      <c r="R23" s="334"/>
      <c r="S23" s="389">
        <f>INDEX(list_LPDBaseNew,MATCH(Applic!S$8,LPDNew!$R$95:$R$114,FALSE),MATCH($H23,LPDNew!$R$95:$AA$95,FALSE))</f>
        <v>51.859071180094055</v>
      </c>
      <c r="T23" s="389">
        <f>INDEX(list_LPDBaseExist,MATCH(Applic!T$8,LPDNew!$R$95:$R$114,FALSE),MATCH($H23,LPDNew!$R$95:$AA$95,FALSE))</f>
        <v>35.263961113008648</v>
      </c>
      <c r="U23" s="326"/>
      <c r="V23" s="326"/>
      <c r="W23" s="326"/>
      <c r="X23" s="326"/>
      <c r="Y23" s="326"/>
    </row>
    <row r="24" spans="2:25">
      <c r="B24" s="334" t="s">
        <v>557</v>
      </c>
      <c r="C24" s="334">
        <v>15</v>
      </c>
      <c r="D24" s="335" t="s">
        <v>443</v>
      </c>
      <c r="E24" s="335" t="s">
        <v>436</v>
      </c>
      <c r="F24" s="334" t="s">
        <v>383</v>
      </c>
      <c r="G24" s="334" t="s">
        <v>389</v>
      </c>
      <c r="H24" s="336" t="s">
        <v>393</v>
      </c>
      <c r="I24" s="336" t="s">
        <v>437</v>
      </c>
      <c r="J24" s="336" t="s">
        <v>439</v>
      </c>
      <c r="K24" s="334"/>
      <c r="L24" s="337">
        <f>VLOOKUP(J24,'DOE2014 Sales Pen'!$AA$6:$AG$30,6, FALSE)</f>
        <v>0.05</v>
      </c>
      <c r="M24" s="337">
        <f t="shared" si="1"/>
        <v>0.8</v>
      </c>
      <c r="N24" s="338">
        <v>0.05</v>
      </c>
      <c r="O24" s="339"/>
      <c r="P24" s="334">
        <v>1</v>
      </c>
      <c r="Q24" s="338">
        <v>0.8</v>
      </c>
      <c r="R24" s="334"/>
      <c r="S24" s="389">
        <f>INDEX(list_LPDBaseNew,MATCH(Applic!S$8,LPDNew!$R$95:$R$114,FALSE),MATCH($H24,LPDNew!$R$95:$AA$95,FALSE))</f>
        <v>28.831023451320508</v>
      </c>
      <c r="T24" s="389">
        <f>INDEX(list_LPDBaseExist,MATCH(Applic!T$8,LPDNew!$R$95:$R$114,FALSE),MATCH($H24,LPDNew!$R$95:$AA$95,FALSE))</f>
        <v>22.025375679247833</v>
      </c>
      <c r="U24" s="326"/>
      <c r="V24" s="326"/>
      <c r="W24" s="326"/>
      <c r="X24" s="326"/>
      <c r="Y24" s="326"/>
    </row>
    <row r="25" spans="2:25">
      <c r="B25" s="334" t="s">
        <v>558</v>
      </c>
      <c r="C25" s="334">
        <v>16</v>
      </c>
      <c r="D25" s="335" t="s">
        <v>443</v>
      </c>
      <c r="E25" s="335" t="s">
        <v>436</v>
      </c>
      <c r="F25" s="334" t="s">
        <v>385</v>
      </c>
      <c r="G25" s="334" t="s">
        <v>41</v>
      </c>
      <c r="H25" s="336" t="s">
        <v>394</v>
      </c>
      <c r="I25" s="336" t="s">
        <v>437</v>
      </c>
      <c r="J25" s="336" t="s">
        <v>440</v>
      </c>
      <c r="K25" s="334"/>
      <c r="L25" s="337">
        <f>VLOOKUP(J25,'DOE2014 Sales Pen'!$AA$6:$AG$30,6, FALSE)</f>
        <v>0.05</v>
      </c>
      <c r="M25" s="337">
        <f t="shared" si="1"/>
        <v>0.2</v>
      </c>
      <c r="N25" s="338">
        <v>0.05</v>
      </c>
      <c r="O25" s="339"/>
      <c r="P25" s="334">
        <v>1</v>
      </c>
      <c r="Q25" s="338">
        <v>0.2</v>
      </c>
      <c r="R25" s="334"/>
      <c r="S25" s="389">
        <f>INDEX(list_LPDBaseNew,MATCH(Applic!S$8,LPDNew!$R$95:$R$114,FALSE),MATCH($H25,LPDNew!$R$95:$AA$95,FALSE))</f>
        <v>51.859071180094055</v>
      </c>
      <c r="T25" s="389">
        <f>INDEX(list_LPDBaseExist,MATCH(Applic!T$8,LPDNew!$R$95:$R$114,FALSE),MATCH($H25,LPDNew!$R$95:$AA$95,FALSE))</f>
        <v>35.263961113008648</v>
      </c>
      <c r="U25" s="326"/>
      <c r="V25" s="326"/>
      <c r="W25" s="326"/>
      <c r="X25" s="326"/>
      <c r="Y25" s="326"/>
    </row>
    <row r="26" spans="2:25">
      <c r="B26" s="334" t="s">
        <v>559</v>
      </c>
      <c r="C26" s="334">
        <v>17</v>
      </c>
      <c r="D26" s="335" t="s">
        <v>443</v>
      </c>
      <c r="E26" s="335" t="s">
        <v>436</v>
      </c>
      <c r="F26" s="334" t="s">
        <v>385</v>
      </c>
      <c r="G26" s="334" t="s">
        <v>389</v>
      </c>
      <c r="H26" s="336" t="s">
        <v>395</v>
      </c>
      <c r="I26" s="336" t="s">
        <v>437</v>
      </c>
      <c r="J26" s="336" t="s">
        <v>440</v>
      </c>
      <c r="K26" s="334"/>
      <c r="L26" s="337">
        <f>VLOOKUP(J26,'DOE2014 Sales Pen'!$AA$6:$AG$30,6, FALSE)</f>
        <v>0.05</v>
      </c>
      <c r="M26" s="337">
        <f t="shared" si="1"/>
        <v>0.2</v>
      </c>
      <c r="N26" s="338">
        <v>0.05</v>
      </c>
      <c r="O26" s="339"/>
      <c r="P26" s="334">
        <v>1</v>
      </c>
      <c r="Q26" s="338">
        <v>0.2</v>
      </c>
      <c r="R26" s="334"/>
      <c r="S26" s="389">
        <f>INDEX(list_LPDBaseNew,MATCH(Applic!S$8,LPDNew!$R$95:$R$114,FALSE),MATCH($H26,LPDNew!$R$95:$AA$95,FALSE))</f>
        <v>14.011664379968339</v>
      </c>
      <c r="T26" s="389">
        <f>INDEX(list_LPDBaseExist,MATCH(Applic!T$8,LPDNew!$R$95:$R$114,FALSE),MATCH($H26,LPDNew!$R$95:$AA$95,FALSE))</f>
        <v>20.664445597910895</v>
      </c>
      <c r="U26" s="326"/>
      <c r="V26" s="326"/>
      <c r="W26" s="326"/>
      <c r="X26" s="326"/>
      <c r="Y26" s="326"/>
    </row>
    <row r="27" spans="2:25">
      <c r="B27" s="334" t="s">
        <v>560</v>
      </c>
      <c r="C27" s="334">
        <v>18</v>
      </c>
      <c r="D27" s="335" t="s">
        <v>443</v>
      </c>
      <c r="E27" s="335" t="s">
        <v>436</v>
      </c>
      <c r="F27" s="334" t="s">
        <v>386</v>
      </c>
      <c r="G27" s="334" t="s">
        <v>33</v>
      </c>
      <c r="H27" s="336" t="s">
        <v>397</v>
      </c>
      <c r="I27" s="336" t="s">
        <v>437</v>
      </c>
      <c r="J27" s="336" t="s">
        <v>441</v>
      </c>
      <c r="K27" s="334"/>
      <c r="L27" s="337">
        <f>VLOOKUP(J27,'DOE2014 Sales Pen'!$AA$6:$AG$30,6, FALSE)</f>
        <v>0.08</v>
      </c>
      <c r="M27" s="337">
        <f t="shared" si="1"/>
        <v>0.7</v>
      </c>
      <c r="N27" s="338">
        <v>0.05</v>
      </c>
      <c r="O27" s="339" t="s">
        <v>442</v>
      </c>
      <c r="P27" s="338">
        <v>0.9</v>
      </c>
      <c r="Q27" s="338">
        <v>0.7</v>
      </c>
      <c r="R27" s="334"/>
      <c r="S27" s="389">
        <f>INDEX(list_LPDBaseNew,MATCH(Applic!S$8,LPDNew!$R$95:$R$114,FALSE),MATCH($H27,LPDNew!$R$95:$AA$95,FALSE))</f>
        <v>39.021238827225254</v>
      </c>
      <c r="T27" s="389">
        <f>INDEX(list_LPDBaseExist,MATCH(Applic!T$8,LPDNew!$R$95:$R$114,FALSE),MATCH($H27,LPDNew!$R$95:$AA$95,FALSE))</f>
        <v>38.157882261154626</v>
      </c>
      <c r="U27" s="326"/>
      <c r="V27" s="326"/>
      <c r="W27" s="326"/>
      <c r="X27" s="326"/>
      <c r="Y27" s="326"/>
    </row>
    <row r="28" spans="2:25">
      <c r="B28" s="334" t="s">
        <v>561</v>
      </c>
      <c r="C28" s="334">
        <v>19</v>
      </c>
      <c r="D28" s="335" t="s">
        <v>443</v>
      </c>
      <c r="E28" s="335" t="s">
        <v>436</v>
      </c>
      <c r="F28" s="334" t="s">
        <v>386</v>
      </c>
      <c r="G28" s="334" t="s">
        <v>33</v>
      </c>
      <c r="H28" s="336" t="s">
        <v>397</v>
      </c>
      <c r="I28" s="336" t="s">
        <v>388</v>
      </c>
      <c r="J28" s="336" t="s">
        <v>396</v>
      </c>
      <c r="K28" s="334"/>
      <c r="L28" s="337">
        <f>VLOOKUP(J28,'DOE2014 Sales Pen'!$AA$6:$AG$30,6, FALSE)</f>
        <v>0.1</v>
      </c>
      <c r="M28" s="337">
        <f t="shared" si="1"/>
        <v>0.7</v>
      </c>
      <c r="N28" s="338">
        <v>0.05</v>
      </c>
      <c r="O28" s="339" t="s">
        <v>442</v>
      </c>
      <c r="P28" s="338">
        <v>0.1</v>
      </c>
      <c r="Q28" s="338">
        <v>0.7</v>
      </c>
      <c r="R28" s="334"/>
      <c r="S28" s="389">
        <f>INDEX(list_LPDBaseNew,MATCH(Applic!S$8,LPDNew!$R$95:$R$114,FALSE),MATCH($H28,LPDNew!$R$95:$AA$95,FALSE))</f>
        <v>39.021238827225254</v>
      </c>
      <c r="T28" s="389">
        <f>INDEX(list_LPDBaseExist,MATCH(Applic!T$8,LPDNew!$R$95:$R$114,FALSE),MATCH($H28,LPDNew!$R$95:$AA$95,FALSE))</f>
        <v>38.157882261154626</v>
      </c>
      <c r="U28" s="326"/>
      <c r="V28" s="326"/>
      <c r="W28" s="326"/>
      <c r="X28" s="326"/>
      <c r="Y28" s="326"/>
    </row>
    <row r="29" spans="2:25">
      <c r="B29" s="334" t="s">
        <v>562</v>
      </c>
      <c r="C29" s="334">
        <v>20</v>
      </c>
      <c r="D29" s="335" t="s">
        <v>443</v>
      </c>
      <c r="E29" s="335" t="s">
        <v>436</v>
      </c>
      <c r="F29" s="334" t="s">
        <v>386</v>
      </c>
      <c r="G29" s="334" t="s">
        <v>388</v>
      </c>
      <c r="H29" s="336" t="s">
        <v>396</v>
      </c>
      <c r="I29" s="336" t="s">
        <v>437</v>
      </c>
      <c r="J29" s="336" t="s">
        <v>441</v>
      </c>
      <c r="K29" s="334"/>
      <c r="L29" s="337">
        <f>VLOOKUP(J29,'DOE2014 Sales Pen'!$AA$6:$AG$30,6, FALSE)</f>
        <v>0.08</v>
      </c>
      <c r="M29" s="337">
        <f t="shared" si="1"/>
        <v>0.7</v>
      </c>
      <c r="N29" s="338">
        <v>0.05</v>
      </c>
      <c r="O29" s="339"/>
      <c r="P29" s="334">
        <v>1</v>
      </c>
      <c r="Q29" s="338">
        <v>0.7</v>
      </c>
      <c r="R29" s="334"/>
      <c r="S29" s="389">
        <f>INDEX(list_LPDBaseNew,MATCH(Applic!S$8,LPDNew!$R$95:$R$114,FALSE),MATCH($H29,LPDNew!$R$95:$AA$95,FALSE))</f>
        <v>83.132473104455016</v>
      </c>
      <c r="T29" s="389">
        <f>INDEX(list_LPDBaseExist,MATCH(Applic!T$8,LPDNew!$R$95:$R$114,FALSE),MATCH($H29,LPDNew!$R$95:$AA$95,FALSE))</f>
        <v>59.754842545690153</v>
      </c>
      <c r="U29" s="326"/>
      <c r="V29" s="326"/>
      <c r="W29" s="326"/>
      <c r="X29" s="326"/>
      <c r="Y29" s="326"/>
    </row>
    <row r="30" spans="2:25">
      <c r="B30" s="308" t="s">
        <v>563</v>
      </c>
      <c r="C30" s="308">
        <v>21</v>
      </c>
      <c r="D30" s="330" t="s">
        <v>449</v>
      </c>
      <c r="E30" s="330" t="s">
        <v>436</v>
      </c>
      <c r="F30" s="308" t="s">
        <v>382</v>
      </c>
      <c r="G30" s="308" t="s">
        <v>388</v>
      </c>
      <c r="H30" s="331" t="s">
        <v>391</v>
      </c>
      <c r="I30" s="331" t="s">
        <v>437</v>
      </c>
      <c r="J30" s="331" t="s">
        <v>438</v>
      </c>
      <c r="K30" s="308"/>
      <c r="L30" s="340">
        <f>VLOOKUP(J30,'DOE2014 Sales Pen'!$AA$6:$AG$30,6, FALSE)</f>
        <v>0.1</v>
      </c>
      <c r="M30" s="340">
        <f t="shared" si="1"/>
        <v>0.2</v>
      </c>
      <c r="N30" s="393">
        <v>1</v>
      </c>
      <c r="O30" s="333" t="s">
        <v>442</v>
      </c>
      <c r="P30" s="332">
        <v>0</v>
      </c>
      <c r="Q30" s="308"/>
      <c r="R30" s="332">
        <v>0.2</v>
      </c>
      <c r="S30" s="388">
        <f>INDEX(list_LPDBaseNew,MATCH(Applic!S$8,LPDNew!$R$95:$R$114,FALSE),MATCH($H30,LPDNew!$R$95:$AA$95,FALSE))</f>
        <v>509.94094126691846</v>
      </c>
      <c r="T30" s="388">
        <f>INDEX(list_LPDBaseExist,MATCH(Applic!T$8,LPDNew!$R$95:$R$114,FALSE),MATCH($H30,LPDNew!$R$95:$AA$95,FALSE))</f>
        <v>594.65094628580289</v>
      </c>
      <c r="U30" s="326"/>
      <c r="V30" s="326"/>
      <c r="W30" s="326"/>
      <c r="X30" s="326"/>
      <c r="Y30" s="326"/>
    </row>
    <row r="31" spans="2:25">
      <c r="B31" s="308" t="s">
        <v>564</v>
      </c>
      <c r="C31" s="308">
        <v>22</v>
      </c>
      <c r="D31" s="330" t="s">
        <v>449</v>
      </c>
      <c r="E31" s="330" t="s">
        <v>436</v>
      </c>
      <c r="F31" s="308" t="s">
        <v>382</v>
      </c>
      <c r="G31" s="308" t="s">
        <v>388</v>
      </c>
      <c r="H31" s="331" t="s">
        <v>391</v>
      </c>
      <c r="I31" s="331" t="s">
        <v>444</v>
      </c>
      <c r="J31" s="331" t="s">
        <v>438</v>
      </c>
      <c r="K31" s="308" t="s">
        <v>429</v>
      </c>
      <c r="L31" s="340">
        <f>VLOOKUP(J31,'DOE2014 Sales Pen'!$AA$6:$AG$30,6, FALSE)</f>
        <v>0.1</v>
      </c>
      <c r="M31" s="340">
        <f t="shared" si="1"/>
        <v>0.2</v>
      </c>
      <c r="N31" s="394">
        <v>1</v>
      </c>
      <c r="O31" s="333" t="s">
        <v>442</v>
      </c>
      <c r="P31" s="332">
        <v>0</v>
      </c>
      <c r="Q31" s="308"/>
      <c r="R31" s="332">
        <v>0.2</v>
      </c>
      <c r="S31" s="388">
        <f>INDEX(list_LPDBaseNew,MATCH(Applic!S$8,LPDNew!$R$95:$R$114,FALSE),MATCH($H31,LPDNew!$R$95:$AA$95,FALSE))</f>
        <v>509.94094126691846</v>
      </c>
      <c r="T31" s="388">
        <f>INDEX(list_LPDBaseExist,MATCH(Applic!T$8,LPDNew!$R$95:$R$114,FALSE),MATCH($H31,LPDNew!$R$95:$AA$95,FALSE))</f>
        <v>594.65094628580289</v>
      </c>
      <c r="U31" s="326"/>
      <c r="V31" s="326"/>
      <c r="W31" s="326"/>
      <c r="X31" s="326"/>
      <c r="Y31" s="326"/>
    </row>
    <row r="32" spans="2:25">
      <c r="B32" s="308" t="s">
        <v>565</v>
      </c>
      <c r="C32" s="308">
        <v>23</v>
      </c>
      <c r="D32" s="330" t="s">
        <v>449</v>
      </c>
      <c r="E32" s="330" t="s">
        <v>436</v>
      </c>
      <c r="F32" s="308" t="s">
        <v>382</v>
      </c>
      <c r="G32" s="308" t="s">
        <v>388</v>
      </c>
      <c r="H32" s="331" t="s">
        <v>391</v>
      </c>
      <c r="I32" s="331" t="s">
        <v>445</v>
      </c>
      <c r="J32" s="331" t="s">
        <v>391</v>
      </c>
      <c r="K32" s="308" t="s">
        <v>429</v>
      </c>
      <c r="L32" s="340">
        <f>VLOOKUP(J32,'DOE2014 Sales Pen'!$AA$6:$AG$30,6, FALSE)</f>
        <v>0.1</v>
      </c>
      <c r="M32" s="340">
        <f t="shared" si="1"/>
        <v>0.2</v>
      </c>
      <c r="N32" s="394">
        <v>1</v>
      </c>
      <c r="O32" s="333" t="s">
        <v>442</v>
      </c>
      <c r="P32" s="332">
        <v>0</v>
      </c>
      <c r="Q32" s="308"/>
      <c r="R32" s="332">
        <v>0.2</v>
      </c>
      <c r="S32" s="388">
        <f>INDEX(list_LPDBaseNew,MATCH(Applic!S$8,LPDNew!$R$95:$R$114,FALSE),MATCH($H32,LPDNew!$R$95:$AA$95,FALSE))</f>
        <v>509.94094126691846</v>
      </c>
      <c r="T32" s="388">
        <f>INDEX(list_LPDBaseExist,MATCH(Applic!T$8,LPDNew!$R$95:$R$114,FALSE),MATCH($H32,LPDNew!$R$95:$AA$95,FALSE))</f>
        <v>594.65094628580289</v>
      </c>
      <c r="U32" s="326"/>
      <c r="V32" s="326"/>
      <c r="W32" s="326"/>
      <c r="X32" s="326"/>
      <c r="Y32" s="326"/>
    </row>
    <row r="33" spans="2:25">
      <c r="B33" s="308" t="s">
        <v>566</v>
      </c>
      <c r="C33" s="308">
        <v>24</v>
      </c>
      <c r="D33" s="330" t="s">
        <v>449</v>
      </c>
      <c r="E33" s="330" t="s">
        <v>436</v>
      </c>
      <c r="F33" s="308" t="s">
        <v>383</v>
      </c>
      <c r="G33" s="308" t="s">
        <v>41</v>
      </c>
      <c r="H33" s="331" t="s">
        <v>392</v>
      </c>
      <c r="I33" s="331" t="s">
        <v>437</v>
      </c>
      <c r="J33" s="331" t="s">
        <v>439</v>
      </c>
      <c r="K33" s="308"/>
      <c r="L33" s="340">
        <f>VLOOKUP(J33,'DOE2014 Sales Pen'!$AA$6:$AG$30,6, FALSE)</f>
        <v>0.05</v>
      </c>
      <c r="M33" s="340">
        <f t="shared" si="1"/>
        <v>0.2</v>
      </c>
      <c r="N33" s="394">
        <v>1</v>
      </c>
      <c r="O33" s="333"/>
      <c r="P33" s="332">
        <v>0.6</v>
      </c>
      <c r="Q33" s="308"/>
      <c r="R33" s="332">
        <v>0.2</v>
      </c>
      <c r="S33" s="388">
        <f>INDEX(list_LPDBaseNew,MATCH(Applic!S$8,LPDNew!$R$95:$R$114,FALSE),MATCH($H33,LPDNew!$R$95:$AA$95,FALSE))</f>
        <v>51.859071180094055</v>
      </c>
      <c r="T33" s="388">
        <f>INDEX(list_LPDBaseExist,MATCH(Applic!T$8,LPDNew!$R$95:$R$114,FALSE),MATCH($H33,LPDNew!$R$95:$AA$95,FALSE))</f>
        <v>35.263961113008648</v>
      </c>
      <c r="U33" s="326"/>
      <c r="V33" s="326"/>
      <c r="W33" s="326"/>
      <c r="X33" s="326"/>
      <c r="Y33" s="326"/>
    </row>
    <row r="34" spans="2:25">
      <c r="B34" s="308" t="s">
        <v>567</v>
      </c>
      <c r="C34" s="308">
        <v>25</v>
      </c>
      <c r="D34" s="330" t="s">
        <v>449</v>
      </c>
      <c r="E34" s="330" t="s">
        <v>436</v>
      </c>
      <c r="F34" s="308" t="s">
        <v>383</v>
      </c>
      <c r="G34" s="308" t="s">
        <v>389</v>
      </c>
      <c r="H34" s="331" t="s">
        <v>393</v>
      </c>
      <c r="I34" s="331" t="s">
        <v>437</v>
      </c>
      <c r="J34" s="331" t="s">
        <v>439</v>
      </c>
      <c r="K34" s="308"/>
      <c r="L34" s="340">
        <f>VLOOKUP(J34,'DOE2014 Sales Pen'!$AA$6:$AG$30,6, FALSE)</f>
        <v>0.05</v>
      </c>
      <c r="M34" s="340">
        <f t="shared" si="1"/>
        <v>0.2</v>
      </c>
      <c r="N34" s="394">
        <v>1</v>
      </c>
      <c r="O34" s="333"/>
      <c r="P34" s="332">
        <v>0.1</v>
      </c>
      <c r="Q34" s="308"/>
      <c r="R34" s="332">
        <v>0.2</v>
      </c>
      <c r="S34" s="388">
        <f>INDEX(list_LPDBaseNew,MATCH(Applic!S$8,LPDNew!$R$95:$R$114,FALSE),MATCH($H34,LPDNew!$R$95:$AA$95,FALSE))</f>
        <v>28.831023451320508</v>
      </c>
      <c r="T34" s="388">
        <f>INDEX(list_LPDBaseExist,MATCH(Applic!T$8,LPDNew!$R$95:$R$114,FALSE),MATCH($H34,LPDNew!$R$95:$AA$95,FALSE))</f>
        <v>22.025375679247833</v>
      </c>
      <c r="U34" s="326"/>
      <c r="V34" s="326"/>
      <c r="W34" s="326"/>
      <c r="X34" s="326"/>
      <c r="Y34" s="326"/>
    </row>
    <row r="35" spans="2:25">
      <c r="B35" s="308" t="s">
        <v>568</v>
      </c>
      <c r="C35" s="308">
        <v>26</v>
      </c>
      <c r="D35" s="330" t="s">
        <v>449</v>
      </c>
      <c r="E35" s="330" t="s">
        <v>436</v>
      </c>
      <c r="F35" s="308" t="s">
        <v>385</v>
      </c>
      <c r="G35" s="308" t="s">
        <v>41</v>
      </c>
      <c r="H35" s="331" t="s">
        <v>394</v>
      </c>
      <c r="I35" s="331" t="s">
        <v>437</v>
      </c>
      <c r="J35" s="331" t="s">
        <v>440</v>
      </c>
      <c r="K35" s="308"/>
      <c r="L35" s="340">
        <f>VLOOKUP(J35,'DOE2014 Sales Pen'!$AA$6:$AG$30,6, FALSE)</f>
        <v>0.05</v>
      </c>
      <c r="M35" s="340">
        <f t="shared" si="1"/>
        <v>0.8</v>
      </c>
      <c r="N35" s="394">
        <v>1</v>
      </c>
      <c r="O35" s="333"/>
      <c r="P35" s="308">
        <v>1</v>
      </c>
      <c r="Q35" s="308"/>
      <c r="R35" s="332">
        <v>0.8</v>
      </c>
      <c r="S35" s="388">
        <f>INDEX(list_LPDBaseNew,MATCH(Applic!S$8,LPDNew!$R$95:$R$114,FALSE),MATCH($H35,LPDNew!$R$95:$AA$95,FALSE))</f>
        <v>51.859071180094055</v>
      </c>
      <c r="T35" s="388">
        <f>INDEX(list_LPDBaseExist,MATCH(Applic!T$8,LPDNew!$R$95:$R$114,FALSE),MATCH($H35,LPDNew!$R$95:$AA$95,FALSE))</f>
        <v>35.263961113008648</v>
      </c>
      <c r="U35" s="326"/>
      <c r="V35" s="326"/>
      <c r="W35" s="326"/>
      <c r="X35" s="326"/>
      <c r="Y35" s="326"/>
    </row>
    <row r="36" spans="2:25">
      <c r="B36" s="308" t="s">
        <v>569</v>
      </c>
      <c r="C36" s="308">
        <v>27</v>
      </c>
      <c r="D36" s="330" t="s">
        <v>449</v>
      </c>
      <c r="E36" s="330" t="s">
        <v>436</v>
      </c>
      <c r="F36" s="308" t="s">
        <v>385</v>
      </c>
      <c r="G36" s="308" t="s">
        <v>389</v>
      </c>
      <c r="H36" s="331" t="s">
        <v>395</v>
      </c>
      <c r="I36" s="331" t="s">
        <v>437</v>
      </c>
      <c r="J36" s="331" t="s">
        <v>440</v>
      </c>
      <c r="K36" s="308"/>
      <c r="L36" s="340">
        <f>VLOOKUP(J36,'DOE2014 Sales Pen'!$AA$6:$AG$30,6, FALSE)</f>
        <v>0.05</v>
      </c>
      <c r="M36" s="340">
        <f t="shared" si="1"/>
        <v>0.8</v>
      </c>
      <c r="N36" s="394">
        <v>1</v>
      </c>
      <c r="O36" s="333"/>
      <c r="P36" s="308">
        <v>1</v>
      </c>
      <c r="Q36" s="308"/>
      <c r="R36" s="332">
        <v>0.8</v>
      </c>
      <c r="S36" s="388">
        <f>INDEX(list_LPDBaseNew,MATCH(Applic!S$8,LPDNew!$R$95:$R$114,FALSE),MATCH($H36,LPDNew!$R$95:$AA$95,FALSE))</f>
        <v>14.011664379968339</v>
      </c>
      <c r="T36" s="388">
        <f>INDEX(list_LPDBaseExist,MATCH(Applic!T$8,LPDNew!$R$95:$R$114,FALSE),MATCH($H36,LPDNew!$R$95:$AA$95,FALSE))</f>
        <v>20.664445597910895</v>
      </c>
      <c r="U36" s="326"/>
      <c r="V36" s="326"/>
      <c r="W36" s="326"/>
      <c r="X36" s="326"/>
      <c r="Y36" s="326"/>
    </row>
    <row r="37" spans="2:25">
      <c r="B37" s="308" t="s">
        <v>570</v>
      </c>
      <c r="C37" s="308">
        <v>28</v>
      </c>
      <c r="D37" s="330" t="s">
        <v>449</v>
      </c>
      <c r="E37" s="330" t="s">
        <v>436</v>
      </c>
      <c r="F37" s="308" t="s">
        <v>386</v>
      </c>
      <c r="G37" s="308" t="s">
        <v>33</v>
      </c>
      <c r="H37" s="331" t="s">
        <v>397</v>
      </c>
      <c r="I37" s="331" t="s">
        <v>437</v>
      </c>
      <c r="J37" s="331" t="s">
        <v>441</v>
      </c>
      <c r="K37" s="308"/>
      <c r="L37" s="340">
        <f>VLOOKUP(J37,'DOE2014 Sales Pen'!$AA$6:$AG$30,6, FALSE)</f>
        <v>0.08</v>
      </c>
      <c r="M37" s="340">
        <f t="shared" si="1"/>
        <v>0.3</v>
      </c>
      <c r="N37" s="394">
        <v>1</v>
      </c>
      <c r="O37" s="333" t="s">
        <v>442</v>
      </c>
      <c r="P37" s="332">
        <v>0.9</v>
      </c>
      <c r="Q37" s="308"/>
      <c r="R37" s="332">
        <v>0.3</v>
      </c>
      <c r="S37" s="388">
        <f>INDEX(list_LPDBaseNew,MATCH(Applic!S$8,LPDNew!$R$95:$R$114,FALSE),MATCH($H37,LPDNew!$R$95:$AA$95,FALSE))</f>
        <v>39.021238827225254</v>
      </c>
      <c r="T37" s="388">
        <f>INDEX(list_LPDBaseExist,MATCH(Applic!T$8,LPDNew!$R$95:$R$114,FALSE),MATCH($H37,LPDNew!$R$95:$AA$95,FALSE))</f>
        <v>38.157882261154626</v>
      </c>
      <c r="U37" s="326"/>
      <c r="V37" s="326"/>
      <c r="W37" s="326"/>
      <c r="X37" s="326"/>
      <c r="Y37" s="326"/>
    </row>
    <row r="38" spans="2:25">
      <c r="B38" s="308" t="s">
        <v>571</v>
      </c>
      <c r="C38" s="308">
        <v>29</v>
      </c>
      <c r="D38" s="330" t="s">
        <v>449</v>
      </c>
      <c r="E38" s="330" t="s">
        <v>436</v>
      </c>
      <c r="F38" s="308" t="s">
        <v>386</v>
      </c>
      <c r="G38" s="308" t="s">
        <v>33</v>
      </c>
      <c r="H38" s="331" t="s">
        <v>397</v>
      </c>
      <c r="I38" s="331" t="s">
        <v>388</v>
      </c>
      <c r="J38" s="331" t="s">
        <v>396</v>
      </c>
      <c r="K38" s="308"/>
      <c r="L38" s="340">
        <f>VLOOKUP(J38,'DOE2014 Sales Pen'!$AA$6:$AG$30,6, FALSE)</f>
        <v>0.1</v>
      </c>
      <c r="M38" s="340">
        <f t="shared" si="1"/>
        <v>0.3</v>
      </c>
      <c r="N38" s="394">
        <v>1</v>
      </c>
      <c r="O38" s="333" t="s">
        <v>442</v>
      </c>
      <c r="P38" s="332">
        <v>0.1</v>
      </c>
      <c r="Q38" s="308"/>
      <c r="R38" s="332">
        <v>0.3</v>
      </c>
      <c r="S38" s="388">
        <f>INDEX(list_LPDBaseNew,MATCH(Applic!S$8,LPDNew!$R$95:$R$114,FALSE),MATCH($H38,LPDNew!$R$95:$AA$95,FALSE))</f>
        <v>39.021238827225254</v>
      </c>
      <c r="T38" s="388">
        <f>INDEX(list_LPDBaseExist,MATCH(Applic!T$8,LPDNew!$R$95:$R$114,FALSE),MATCH($H38,LPDNew!$R$95:$AA$95,FALSE))</f>
        <v>38.157882261154626</v>
      </c>
      <c r="U38" s="326"/>
      <c r="V38" s="326"/>
      <c r="W38" s="326"/>
      <c r="X38" s="326"/>
      <c r="Y38" s="326"/>
    </row>
    <row r="39" spans="2:25">
      <c r="B39" s="308" t="s">
        <v>572</v>
      </c>
      <c r="C39" s="308">
        <v>30</v>
      </c>
      <c r="D39" s="330" t="s">
        <v>449</v>
      </c>
      <c r="E39" s="330" t="s">
        <v>436</v>
      </c>
      <c r="F39" s="308" t="s">
        <v>386</v>
      </c>
      <c r="G39" s="308" t="s">
        <v>388</v>
      </c>
      <c r="H39" s="331" t="s">
        <v>396</v>
      </c>
      <c r="I39" s="331" t="s">
        <v>437</v>
      </c>
      <c r="J39" s="331" t="s">
        <v>441</v>
      </c>
      <c r="K39" s="308"/>
      <c r="L39" s="340">
        <f>VLOOKUP(J39,'DOE2014 Sales Pen'!$AA$6:$AG$30,6, FALSE)</f>
        <v>0.08</v>
      </c>
      <c r="M39" s="340">
        <f t="shared" si="1"/>
        <v>0.3</v>
      </c>
      <c r="N39" s="394">
        <v>1</v>
      </c>
      <c r="O39" s="333"/>
      <c r="P39" s="308">
        <v>1</v>
      </c>
      <c r="Q39" s="308"/>
      <c r="R39" s="332">
        <v>0.3</v>
      </c>
      <c r="S39" s="388">
        <f>INDEX(list_LPDBaseNew,MATCH(Applic!S$8,LPDNew!$R$95:$R$114,FALSE),MATCH($H39,LPDNew!$R$95:$AA$95,FALSE))</f>
        <v>83.132473104455016</v>
      </c>
      <c r="T39" s="388">
        <f>INDEX(list_LPDBaseExist,MATCH(Applic!T$8,LPDNew!$R$95:$R$114,FALSE),MATCH($H39,LPDNew!$R$95:$AA$95,FALSE))</f>
        <v>59.754842545690153</v>
      </c>
      <c r="U39" s="326"/>
      <c r="V39" s="326"/>
      <c r="W39" s="326"/>
      <c r="X39" s="326"/>
      <c r="Y39" s="326"/>
    </row>
    <row r="40" spans="2:25">
      <c r="B40" s="334" t="s">
        <v>573</v>
      </c>
      <c r="C40" s="334">
        <v>31</v>
      </c>
      <c r="D40" s="335" t="s">
        <v>449</v>
      </c>
      <c r="E40" s="335" t="s">
        <v>450</v>
      </c>
      <c r="F40" s="334" t="s">
        <v>382</v>
      </c>
      <c r="G40" s="334" t="s">
        <v>388</v>
      </c>
      <c r="H40" s="336" t="s">
        <v>391</v>
      </c>
      <c r="I40" s="336" t="s">
        <v>446</v>
      </c>
      <c r="J40" s="336" t="s">
        <v>451</v>
      </c>
      <c r="K40" s="334"/>
      <c r="L40" s="337">
        <f>VLOOKUP(J40,'DOE2014 Sales Pen'!$AA$6:$AG$30,6, FALSE)</f>
        <v>0.1</v>
      </c>
      <c r="M40" s="337">
        <f t="shared" si="1"/>
        <v>0.2</v>
      </c>
      <c r="N40" s="395">
        <v>1</v>
      </c>
      <c r="O40" s="339" t="s">
        <v>442</v>
      </c>
      <c r="P40" s="338">
        <v>0</v>
      </c>
      <c r="Q40" s="334"/>
      <c r="R40" s="338">
        <v>0.2</v>
      </c>
      <c r="S40" s="389">
        <f>INDEX(list_LPDBaseNew,MATCH(Applic!S$8,LPDNew!$R$95:$R$114,FALSE),MATCH($H40,LPDNew!$R$95:$AA$95,FALSE))</f>
        <v>509.94094126691846</v>
      </c>
      <c r="T40" s="389">
        <f>INDEX(list_LPDBaseExist,MATCH(Applic!T$8,LPDNew!$R$95:$R$114,FALSE),MATCH($H40,LPDNew!$R$95:$AA$95,FALSE))</f>
        <v>594.65094628580289</v>
      </c>
      <c r="U40" s="326"/>
      <c r="V40" s="326"/>
      <c r="W40" s="326"/>
      <c r="X40" s="326"/>
      <c r="Y40" s="326"/>
    </row>
    <row r="41" spans="2:25">
      <c r="B41" s="334" t="s">
        <v>574</v>
      </c>
      <c r="C41" s="334">
        <v>32</v>
      </c>
      <c r="D41" s="335" t="s">
        <v>449</v>
      </c>
      <c r="E41" s="335" t="s">
        <v>450</v>
      </c>
      <c r="F41" s="334" t="s">
        <v>382</v>
      </c>
      <c r="G41" s="334" t="s">
        <v>388</v>
      </c>
      <c r="H41" s="336" t="s">
        <v>391</v>
      </c>
      <c r="I41" s="336" t="s">
        <v>448</v>
      </c>
      <c r="J41" s="336" t="s">
        <v>451</v>
      </c>
      <c r="K41" s="334" t="s">
        <v>429</v>
      </c>
      <c r="L41" s="337">
        <f>VLOOKUP(J41,'DOE2014 Sales Pen'!$AA$6:$AG$30,6, FALSE)</f>
        <v>0.1</v>
      </c>
      <c r="M41" s="337">
        <f t="shared" si="1"/>
        <v>0.2</v>
      </c>
      <c r="N41" s="395">
        <v>1</v>
      </c>
      <c r="O41" s="339" t="s">
        <v>442</v>
      </c>
      <c r="P41" s="338">
        <v>1</v>
      </c>
      <c r="Q41" s="334"/>
      <c r="R41" s="338">
        <v>0.2</v>
      </c>
      <c r="S41" s="389">
        <f>INDEX(list_LPDBaseNew,MATCH(Applic!S$8,LPDNew!$R$95:$R$114,FALSE),MATCH($H41,LPDNew!$R$95:$AA$95,FALSE))</f>
        <v>509.94094126691846</v>
      </c>
      <c r="T41" s="389">
        <f>INDEX(list_LPDBaseExist,MATCH(Applic!T$8,LPDNew!$R$95:$R$114,FALSE),MATCH($H41,LPDNew!$R$95:$AA$95,FALSE))</f>
        <v>594.65094628580289</v>
      </c>
      <c r="U41" s="326"/>
      <c r="V41" s="326"/>
      <c r="W41" s="326"/>
      <c r="X41" s="326"/>
      <c r="Y41" s="326"/>
    </row>
    <row r="42" spans="2:25">
      <c r="B42" s="334" t="s">
        <v>575</v>
      </c>
      <c r="C42" s="334">
        <v>33</v>
      </c>
      <c r="D42" s="335" t="s">
        <v>449</v>
      </c>
      <c r="E42" s="335" t="s">
        <v>450</v>
      </c>
      <c r="F42" s="334" t="s">
        <v>383</v>
      </c>
      <c r="G42" s="334" t="s">
        <v>41</v>
      </c>
      <c r="H42" s="336" t="s">
        <v>392</v>
      </c>
      <c r="I42" s="336" t="s">
        <v>452</v>
      </c>
      <c r="J42" s="336" t="s">
        <v>453</v>
      </c>
      <c r="K42" s="334"/>
      <c r="L42" s="337">
        <f>VLOOKUP(J42,'DOE2014 Sales Pen'!$AA$6:$AG$30,6, FALSE)</f>
        <v>0.08</v>
      </c>
      <c r="M42" s="337">
        <f t="shared" si="1"/>
        <v>0.2</v>
      </c>
      <c r="N42" s="395">
        <v>1</v>
      </c>
      <c r="O42" s="339"/>
      <c r="P42" s="338">
        <v>0.4</v>
      </c>
      <c r="Q42" s="334"/>
      <c r="R42" s="338">
        <v>0.2</v>
      </c>
      <c r="S42" s="389">
        <f>INDEX(list_LPDBaseNew,MATCH(Applic!S$8,LPDNew!$R$95:$R$114,FALSE),MATCH($H42,LPDNew!$R$95:$AA$95,FALSE))</f>
        <v>51.859071180094055</v>
      </c>
      <c r="T42" s="389">
        <f>INDEX(list_LPDBaseExist,MATCH(Applic!T$8,LPDNew!$R$95:$R$114,FALSE),MATCH($H42,LPDNew!$R$95:$AA$95,FALSE))</f>
        <v>35.263961113008648</v>
      </c>
      <c r="U42" s="326"/>
      <c r="V42" s="326"/>
      <c r="W42" s="326"/>
      <c r="X42" s="326"/>
      <c r="Y42" s="326"/>
    </row>
    <row r="43" spans="2:25">
      <c r="B43" s="334" t="s">
        <v>576</v>
      </c>
      <c r="C43" s="334">
        <v>34</v>
      </c>
      <c r="D43" s="335" t="s">
        <v>449</v>
      </c>
      <c r="E43" s="335" t="s">
        <v>450</v>
      </c>
      <c r="F43" s="334" t="s">
        <v>383</v>
      </c>
      <c r="G43" s="334" t="s">
        <v>389</v>
      </c>
      <c r="H43" s="336" t="s">
        <v>393</v>
      </c>
      <c r="I43" s="336" t="s">
        <v>452</v>
      </c>
      <c r="J43" s="336" t="s">
        <v>453</v>
      </c>
      <c r="K43" s="334"/>
      <c r="L43" s="337">
        <f>VLOOKUP(J43,'DOE2014 Sales Pen'!$AA$6:$AG$30,6, FALSE)</f>
        <v>0.08</v>
      </c>
      <c r="M43" s="337">
        <f t="shared" si="1"/>
        <v>0.2</v>
      </c>
      <c r="N43" s="395">
        <v>1</v>
      </c>
      <c r="O43" s="339"/>
      <c r="P43" s="338">
        <v>0.9</v>
      </c>
      <c r="Q43" s="334"/>
      <c r="R43" s="338">
        <v>0.2</v>
      </c>
      <c r="S43" s="389">
        <f>INDEX(list_LPDBaseNew,MATCH(Applic!S$8,LPDNew!$R$95:$R$114,FALSE),MATCH($H43,LPDNew!$R$95:$AA$95,FALSE))</f>
        <v>28.831023451320508</v>
      </c>
      <c r="T43" s="389">
        <f>INDEX(list_LPDBaseExist,MATCH(Applic!T$8,LPDNew!$R$95:$R$114,FALSE),MATCH($H43,LPDNew!$R$95:$AA$95,FALSE))</f>
        <v>22.025375679247833</v>
      </c>
      <c r="U43" s="326"/>
      <c r="V43" s="326"/>
      <c r="W43" s="326"/>
      <c r="X43" s="326"/>
      <c r="Y43" s="326"/>
    </row>
    <row r="44" spans="2:25">
      <c r="B44" s="334" t="s">
        <v>577</v>
      </c>
      <c r="C44" s="334">
        <v>35</v>
      </c>
      <c r="D44" s="335" t="s">
        <v>449</v>
      </c>
      <c r="E44" s="335" t="s">
        <v>450</v>
      </c>
      <c r="F44" s="334" t="s">
        <v>385</v>
      </c>
      <c r="G44" s="334" t="s">
        <v>41</v>
      </c>
      <c r="H44" s="336" t="s">
        <v>394</v>
      </c>
      <c r="I44" s="336" t="s">
        <v>454</v>
      </c>
      <c r="J44" s="336" t="s">
        <v>455</v>
      </c>
      <c r="K44" s="334"/>
      <c r="L44" s="337">
        <f>VLOOKUP(J44,'DOE2014 Sales Pen'!$AA$6:$AG$30,6, FALSE)</f>
        <v>0.3</v>
      </c>
      <c r="M44" s="337">
        <f t="shared" si="1"/>
        <v>0.8</v>
      </c>
      <c r="N44" s="395">
        <v>1</v>
      </c>
      <c r="O44" s="339"/>
      <c r="P44" s="334">
        <v>1</v>
      </c>
      <c r="Q44" s="334"/>
      <c r="R44" s="338">
        <v>0.8</v>
      </c>
      <c r="S44" s="389">
        <f>INDEX(list_LPDBaseNew,MATCH(Applic!S$8,LPDNew!$R$95:$R$114,FALSE),MATCH($H44,LPDNew!$R$95:$AA$95,FALSE))</f>
        <v>51.859071180094055</v>
      </c>
      <c r="T44" s="389">
        <f>INDEX(list_LPDBaseExist,MATCH(Applic!T$8,LPDNew!$R$95:$R$114,FALSE),MATCH($H44,LPDNew!$R$95:$AA$95,FALSE))</f>
        <v>35.263961113008648</v>
      </c>
      <c r="U44" s="326"/>
      <c r="V44" s="326"/>
      <c r="W44" s="326"/>
      <c r="X44" s="326"/>
      <c r="Y44" s="326"/>
    </row>
    <row r="45" spans="2:25">
      <c r="B45" s="334" t="s">
        <v>578</v>
      </c>
      <c r="C45" s="334">
        <v>36</v>
      </c>
      <c r="D45" s="335" t="s">
        <v>449</v>
      </c>
      <c r="E45" s="335" t="s">
        <v>450</v>
      </c>
      <c r="F45" s="334" t="s">
        <v>385</v>
      </c>
      <c r="G45" s="334" t="s">
        <v>389</v>
      </c>
      <c r="H45" s="336" t="s">
        <v>395</v>
      </c>
      <c r="I45" s="336" t="s">
        <v>454</v>
      </c>
      <c r="J45" s="336" t="s">
        <v>455</v>
      </c>
      <c r="K45" s="334"/>
      <c r="L45" s="337">
        <f>VLOOKUP(J45,'DOE2014 Sales Pen'!$AA$6:$AG$30,6, FALSE)</f>
        <v>0.3</v>
      </c>
      <c r="M45" s="337">
        <f t="shared" si="1"/>
        <v>0.8</v>
      </c>
      <c r="N45" s="395">
        <v>1</v>
      </c>
      <c r="O45" s="339" t="s">
        <v>442</v>
      </c>
      <c r="P45" s="338">
        <v>0.8</v>
      </c>
      <c r="Q45" s="334"/>
      <c r="R45" s="338">
        <v>0.8</v>
      </c>
      <c r="S45" s="389">
        <f>INDEX(list_LPDBaseNew,MATCH(Applic!S$8,LPDNew!$R$95:$R$114,FALSE),MATCH($H45,LPDNew!$R$95:$AA$95,FALSE))</f>
        <v>14.011664379968339</v>
      </c>
      <c r="T45" s="389">
        <f>INDEX(list_LPDBaseExist,MATCH(Applic!T$8,LPDNew!$R$95:$R$114,FALSE),MATCH($H45,LPDNew!$R$95:$AA$95,FALSE))</f>
        <v>20.664445597910895</v>
      </c>
      <c r="U45" s="326"/>
      <c r="V45" s="326"/>
      <c r="W45" s="326"/>
      <c r="X45" s="326"/>
      <c r="Y45" s="326"/>
    </row>
    <row r="46" spans="2:25">
      <c r="B46" s="334" t="s">
        <v>579</v>
      </c>
      <c r="C46" s="334">
        <v>37</v>
      </c>
      <c r="D46" s="335" t="s">
        <v>449</v>
      </c>
      <c r="E46" s="335" t="s">
        <v>450</v>
      </c>
      <c r="F46" s="334" t="s">
        <v>385</v>
      </c>
      <c r="G46" s="334" t="s">
        <v>389</v>
      </c>
      <c r="H46" s="336" t="s">
        <v>395</v>
      </c>
      <c r="I46" s="336" t="s">
        <v>390</v>
      </c>
      <c r="J46" s="336" t="s">
        <v>456</v>
      </c>
      <c r="K46" s="334"/>
      <c r="L46" s="337">
        <f>VLOOKUP(J46,'DOE2014 Sales Pen'!$AA$6:$AG$30,6, FALSE)</f>
        <v>0.2</v>
      </c>
      <c r="M46" s="337">
        <f t="shared" si="1"/>
        <v>0.8</v>
      </c>
      <c r="N46" s="395">
        <v>1</v>
      </c>
      <c r="O46" s="339" t="s">
        <v>442</v>
      </c>
      <c r="P46" s="338">
        <v>0.2</v>
      </c>
      <c r="Q46" s="334"/>
      <c r="R46" s="338">
        <v>0.8</v>
      </c>
      <c r="S46" s="389">
        <f>INDEX(list_LPDBaseNew,MATCH(Applic!S$8,LPDNew!$R$95:$R$114,FALSE),MATCH($H46,LPDNew!$R$95:$AA$95,FALSE))</f>
        <v>14.011664379968339</v>
      </c>
      <c r="T46" s="389">
        <f>INDEX(list_LPDBaseExist,MATCH(Applic!T$8,LPDNew!$R$95:$R$114,FALSE),MATCH($H46,LPDNew!$R$95:$AA$95,FALSE))</f>
        <v>20.664445597910895</v>
      </c>
      <c r="U46" s="326"/>
      <c r="V46" s="326"/>
      <c r="W46" s="326"/>
      <c r="X46" s="326"/>
      <c r="Y46" s="326"/>
    </row>
    <row r="47" spans="2:25">
      <c r="B47" s="334" t="s">
        <v>580</v>
      </c>
      <c r="C47" s="334">
        <v>38</v>
      </c>
      <c r="D47" s="335" t="s">
        <v>449</v>
      </c>
      <c r="E47" s="335" t="s">
        <v>450</v>
      </c>
      <c r="F47" s="334" t="s">
        <v>385</v>
      </c>
      <c r="G47" s="334" t="s">
        <v>390</v>
      </c>
      <c r="H47" s="336" t="s">
        <v>456</v>
      </c>
      <c r="I47" s="336" t="s">
        <v>454</v>
      </c>
      <c r="J47" s="336" t="s">
        <v>455</v>
      </c>
      <c r="K47" s="334"/>
      <c r="L47" s="337">
        <f>VLOOKUP(J47,'DOE2014 Sales Pen'!$AA$6:$AG$30,6, FALSE)</f>
        <v>0.3</v>
      </c>
      <c r="M47" s="334">
        <f t="shared" si="1"/>
        <v>0</v>
      </c>
      <c r="N47" s="336">
        <v>1</v>
      </c>
      <c r="O47" s="339"/>
      <c r="P47" s="334">
        <v>1</v>
      </c>
      <c r="Q47" s="334"/>
      <c r="R47" s="338">
        <v>0</v>
      </c>
      <c r="S47" s="389" t="e">
        <f>INDEX(list_LPDBaseNew,MATCH(Applic!S$8,LPDNew!$R$95:$R$114,FALSE),MATCH($H47,LPDNew!$R$95:$AA$95,FALSE))</f>
        <v>#N/A</v>
      </c>
      <c r="T47" s="389" t="e">
        <f>INDEX(list_LPDBaseExist,MATCH(Applic!T$8,LPDNew!$R$95:$R$114,FALSE),MATCH($H47,LPDNew!$R$95:$AA$95,FALSE))</f>
        <v>#N/A</v>
      </c>
      <c r="U47" s="326"/>
      <c r="V47" s="396" t="s">
        <v>587</v>
      </c>
      <c r="W47" s="396"/>
      <c r="X47" s="326"/>
      <c r="Y47" s="326"/>
    </row>
    <row r="48" spans="2:25">
      <c r="B48" s="334" t="s">
        <v>581</v>
      </c>
      <c r="C48" s="334">
        <v>39</v>
      </c>
      <c r="D48" s="335" t="s">
        <v>449</v>
      </c>
      <c r="E48" s="335" t="s">
        <v>450</v>
      </c>
      <c r="F48" s="334" t="s">
        <v>387</v>
      </c>
      <c r="G48" s="334" t="s">
        <v>41</v>
      </c>
      <c r="H48" s="336" t="s">
        <v>398</v>
      </c>
      <c r="I48" s="336" t="s">
        <v>457</v>
      </c>
      <c r="J48" s="336" t="s">
        <v>457</v>
      </c>
      <c r="K48" s="334"/>
      <c r="L48" s="337">
        <f>VLOOKUP(J48,'DOE2014 Sales Pen'!$AA$6:$AG$30,6, FALSE)</f>
        <v>0.25</v>
      </c>
      <c r="M48" s="334">
        <f t="shared" si="1"/>
        <v>1</v>
      </c>
      <c r="N48" s="336">
        <v>1</v>
      </c>
      <c r="O48" s="339"/>
      <c r="P48" s="334">
        <v>1</v>
      </c>
      <c r="Q48" s="334"/>
      <c r="R48" s="338">
        <v>1</v>
      </c>
      <c r="S48" s="389">
        <f>INDEX(list_LPDBaseNew,MATCH(Applic!S$8,LPDNew!$R$95:$R$114,FALSE),MATCH($H48,LPDNew!$R$95:$AA$95,FALSE))</f>
        <v>76.447236216458265</v>
      </c>
      <c r="T48" s="389">
        <f>INDEX(list_LPDBaseExist,MATCH(Applic!T$8,LPDNew!$R$95:$R$114,FALSE),MATCH($H48,LPDNew!$R$95:$AA$95,FALSE))</f>
        <v>61.892802048558949</v>
      </c>
      <c r="U48" s="326"/>
      <c r="V48" s="326"/>
      <c r="W48" s="326"/>
      <c r="X48" s="326"/>
      <c r="Y48" s="326"/>
    </row>
    <row r="49" spans="2:25">
      <c r="B49" s="334" t="s">
        <v>582</v>
      </c>
      <c r="C49" s="334">
        <v>40</v>
      </c>
      <c r="D49" s="335" t="s">
        <v>449</v>
      </c>
      <c r="E49" s="335" t="s">
        <v>450</v>
      </c>
      <c r="F49" s="334" t="s">
        <v>387</v>
      </c>
      <c r="G49" s="334" t="s">
        <v>389</v>
      </c>
      <c r="H49" s="336" t="s">
        <v>399</v>
      </c>
      <c r="I49" s="336" t="s">
        <v>457</v>
      </c>
      <c r="J49" s="336" t="s">
        <v>457</v>
      </c>
      <c r="K49" s="334"/>
      <c r="L49" s="337">
        <f>VLOOKUP(J49,'DOE2014 Sales Pen'!$AA$6:$AG$30,6, FALSE)</f>
        <v>0.25</v>
      </c>
      <c r="M49" s="334">
        <f t="shared" si="1"/>
        <v>1</v>
      </c>
      <c r="N49" s="336">
        <v>1</v>
      </c>
      <c r="O49" s="339" t="s">
        <v>442</v>
      </c>
      <c r="P49" s="338">
        <v>0.8</v>
      </c>
      <c r="Q49" s="334"/>
      <c r="R49" s="338">
        <v>1</v>
      </c>
      <c r="S49" s="389">
        <f>INDEX(list_LPDBaseNew,MATCH(Applic!S$8,LPDNew!$R$95:$R$114,FALSE),MATCH($H49,LPDNew!$R$95:$AA$95,FALSE))</f>
        <v>59.585197746462825</v>
      </c>
      <c r="T49" s="389">
        <f>INDEX(list_LPDBaseExist,MATCH(Applic!T$8,LPDNew!$R$95:$R$114,FALSE),MATCH($H49,LPDNew!$R$95:$AA$95,FALSE))</f>
        <v>55.802009995829984</v>
      </c>
      <c r="U49" s="326"/>
      <c r="V49" s="326"/>
      <c r="W49" s="326"/>
      <c r="X49" s="326"/>
      <c r="Y49" s="326"/>
    </row>
    <row r="50" spans="2:25">
      <c r="B50" s="334" t="s">
        <v>583</v>
      </c>
      <c r="C50" s="334">
        <v>41</v>
      </c>
      <c r="D50" s="335" t="s">
        <v>449</v>
      </c>
      <c r="E50" s="335" t="s">
        <v>450</v>
      </c>
      <c r="F50" s="334" t="s">
        <v>387</v>
      </c>
      <c r="G50" s="334" t="s">
        <v>389</v>
      </c>
      <c r="H50" s="336" t="s">
        <v>399</v>
      </c>
      <c r="I50" s="336" t="s">
        <v>458</v>
      </c>
      <c r="J50" s="336" t="s">
        <v>398</v>
      </c>
      <c r="K50" s="334"/>
      <c r="L50" s="337">
        <f>VLOOKUP(J50,'DOE2014 Sales Pen'!$AA$6:$AG$30,6, FALSE)</f>
        <v>0.3</v>
      </c>
      <c r="M50" s="334">
        <f t="shared" si="1"/>
        <v>1</v>
      </c>
      <c r="N50" s="336">
        <v>1</v>
      </c>
      <c r="O50" s="339" t="s">
        <v>442</v>
      </c>
      <c r="P50" s="338">
        <v>0.2</v>
      </c>
      <c r="Q50" s="334"/>
      <c r="R50" s="338">
        <v>1</v>
      </c>
      <c r="S50" s="389">
        <f>INDEX(list_LPDBaseNew,MATCH(Applic!S$8,LPDNew!$R$95:$R$114,FALSE),MATCH($H50,LPDNew!$R$95:$AA$95,FALSE))</f>
        <v>59.585197746462825</v>
      </c>
      <c r="T50" s="389">
        <f>INDEX(list_LPDBaseExist,MATCH(Applic!T$8,LPDNew!$R$95:$R$114,FALSE),MATCH($H50,LPDNew!$R$95:$AA$95,FALSE))</f>
        <v>55.802009995829984</v>
      </c>
      <c r="U50" s="326"/>
      <c r="V50" s="326"/>
      <c r="W50" s="326"/>
      <c r="X50" s="326"/>
      <c r="Y50" s="326"/>
    </row>
    <row r="51" spans="2:25">
      <c r="B51" s="334" t="s">
        <v>584</v>
      </c>
      <c r="C51" s="334">
        <v>42</v>
      </c>
      <c r="D51" s="335" t="s">
        <v>449</v>
      </c>
      <c r="E51" s="335" t="s">
        <v>450</v>
      </c>
      <c r="F51" s="334" t="s">
        <v>387</v>
      </c>
      <c r="G51" s="334" t="s">
        <v>33</v>
      </c>
      <c r="H51" s="336" t="s">
        <v>459</v>
      </c>
      <c r="I51" s="336" t="s">
        <v>457</v>
      </c>
      <c r="J51" s="336" t="s">
        <v>457</v>
      </c>
      <c r="K51" s="334"/>
      <c r="L51" s="337">
        <f>VLOOKUP(J51,'DOE2014 Sales Pen'!$AA$6:$AG$30,6, FALSE)</f>
        <v>0.25</v>
      </c>
      <c r="M51" s="334">
        <f t="shared" si="1"/>
        <v>0</v>
      </c>
      <c r="N51" s="336">
        <v>1</v>
      </c>
      <c r="O51" s="339"/>
      <c r="P51" s="334">
        <v>1</v>
      </c>
      <c r="Q51" s="334"/>
      <c r="R51" s="338">
        <v>0</v>
      </c>
      <c r="S51" s="389" t="e">
        <f>INDEX(list_LPDBaseNew,MATCH(Applic!S$8,LPDNew!$R$95:$R$114,FALSE),MATCH($H51,LPDNew!$R$95:$AA$95,FALSE))</f>
        <v>#N/A</v>
      </c>
      <c r="T51" s="389" t="e">
        <f>INDEX(list_LPDBaseExist,MATCH(Applic!T$8,LPDNew!$R$95:$R$114,FALSE),MATCH($H51,LPDNew!$R$95:$AA$95,FALSE))</f>
        <v>#N/A</v>
      </c>
      <c r="U51" s="326"/>
      <c r="V51" s="396" t="s">
        <v>587</v>
      </c>
      <c r="W51" s="396"/>
      <c r="X51" s="326"/>
      <c r="Y51" s="326"/>
    </row>
    <row r="58" spans="2:25">
      <c r="O58" s="341"/>
      <c r="P58" s="326"/>
    </row>
    <row r="59" spans="2:25">
      <c r="O59" s="343"/>
      <c r="P59" s="343"/>
    </row>
    <row r="60" spans="2:25">
      <c r="O60" s="344"/>
      <c r="P60" s="345"/>
    </row>
    <row r="61" spans="2:25">
      <c r="O61" s="344"/>
      <c r="P61" s="345"/>
    </row>
    <row r="62" spans="2:25">
      <c r="O62" s="344"/>
      <c r="P62" s="345"/>
    </row>
    <row r="63" spans="2:25">
      <c r="O63" s="344"/>
      <c r="P63" s="345"/>
    </row>
    <row r="64" spans="2:25">
      <c r="O64" s="344"/>
      <c r="P64" s="345"/>
    </row>
    <row r="65" spans="15:16">
      <c r="O65" s="344"/>
      <c r="P65" s="345"/>
    </row>
    <row r="66" spans="15:16">
      <c r="O66" s="341"/>
      <c r="P66" s="326"/>
    </row>
  </sheetData>
  <autoFilter ref="B9:T9">
    <filterColumn colId="12"/>
  </autoFilter>
  <dataValidations disablePrompts="1" count="2">
    <dataValidation type="list" allowBlank="1" showInputMessage="1" showErrorMessage="1" sqref="E10:E51">
      <formula1>list_MeasureClass</formula1>
    </dataValidation>
    <dataValidation type="list" allowBlank="1" showInputMessage="1" showErrorMessage="1" sqref="D10:D51">
      <formula1>list_MOPP</formula1>
    </dataValidation>
  </dataValidation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7:BU56"/>
  <sheetViews>
    <sheetView topLeftCell="A7" zoomScaleNormal="100" workbookViewId="0">
      <pane xSplit="2" ySplit="3" topLeftCell="BB10" activePane="bottomRight" state="frozen"/>
      <selection activeCell="A18" sqref="A18"/>
      <selection pane="topRight" activeCell="A18" sqref="A18"/>
      <selection pane="bottomLeft" activeCell="A18" sqref="A18"/>
      <selection pane="bottomRight" activeCell="AX47" sqref="AX47"/>
    </sheetView>
  </sheetViews>
  <sheetFormatPr defaultRowHeight="12.75"/>
  <cols>
    <col min="2" max="2" width="24.7109375" customWidth="1"/>
    <col min="4" max="4" width="15.85546875" customWidth="1"/>
    <col min="5" max="5" width="22.28515625" customWidth="1"/>
    <col min="6" max="6" width="10.5703125" customWidth="1"/>
    <col min="7" max="7" width="9.5703125" customWidth="1"/>
    <col min="12" max="12" width="50.42578125" customWidth="1"/>
    <col min="13" max="13" width="28.42578125" customWidth="1"/>
    <col min="14" max="14" width="10.42578125" customWidth="1"/>
    <col min="15" max="15" width="45.42578125" customWidth="1"/>
    <col min="16" max="16" width="7.7109375" customWidth="1"/>
    <col min="18" max="18" width="12.28515625" customWidth="1"/>
    <col min="19" max="19" width="13" customWidth="1"/>
    <col min="20" max="21" width="11.28515625" customWidth="1"/>
    <col min="22" max="24" width="12.7109375" customWidth="1"/>
    <col min="25" max="25" width="13" customWidth="1"/>
    <col min="26" max="26" width="13.140625" customWidth="1"/>
    <col min="27" max="27" width="12.42578125" customWidth="1"/>
    <col min="28" max="28" width="12" customWidth="1"/>
    <col min="41" max="41" width="10.140625" customWidth="1"/>
    <col min="42" max="42" width="14.5703125" customWidth="1"/>
    <col min="44" max="44" width="18.42578125" customWidth="1"/>
    <col min="45" max="45" width="14" customWidth="1"/>
    <col min="53" max="53" width="21.85546875" customWidth="1"/>
    <col min="67" max="67" width="12.140625" customWidth="1"/>
  </cols>
  <sheetData>
    <row r="7" spans="2:73">
      <c r="I7" t="s">
        <v>460</v>
      </c>
    </row>
    <row r="8" spans="2:73">
      <c r="F8" s="60" t="s">
        <v>461</v>
      </c>
      <c r="G8" s="60"/>
      <c r="H8" s="60"/>
      <c r="I8" s="60"/>
      <c r="J8" s="60"/>
      <c r="K8" s="60"/>
      <c r="L8" s="60"/>
      <c r="M8" s="60"/>
    </row>
    <row r="9" spans="2:73" ht="38.25">
      <c r="B9" s="60" t="s">
        <v>462</v>
      </c>
      <c r="C9" s="60"/>
      <c r="D9" s="60"/>
      <c r="E9" s="60" t="s">
        <v>463</v>
      </c>
      <c r="F9" s="86" t="s">
        <v>464</v>
      </c>
      <c r="G9" s="86" t="s">
        <v>465</v>
      </c>
      <c r="H9" s="86" t="s">
        <v>466</v>
      </c>
      <c r="I9" s="86" t="s">
        <v>467</v>
      </c>
      <c r="J9" s="86" t="s">
        <v>468</v>
      </c>
      <c r="K9" s="86" t="s">
        <v>469</v>
      </c>
      <c r="L9" s="86" t="s">
        <v>470</v>
      </c>
      <c r="M9" s="60" t="s">
        <v>471</v>
      </c>
      <c r="N9" s="86" t="s">
        <v>599</v>
      </c>
      <c r="O9" s="86" t="s">
        <v>600</v>
      </c>
    </row>
    <row r="10" spans="2:73">
      <c r="B10" s="346" t="s">
        <v>156</v>
      </c>
      <c r="C10" s="346" t="s">
        <v>416</v>
      </c>
      <c r="D10" s="346" t="s">
        <v>436</v>
      </c>
      <c r="E10" s="346" t="s">
        <v>472</v>
      </c>
      <c r="F10" s="347"/>
      <c r="G10" s="347"/>
      <c r="H10" s="348">
        <v>42.430355412333803</v>
      </c>
      <c r="I10" s="349">
        <v>0.37410871928117928</v>
      </c>
      <c r="J10" s="350">
        <v>1</v>
      </c>
      <c r="K10" s="350">
        <v>1</v>
      </c>
      <c r="L10" s="346"/>
      <c r="M10" s="346" t="s">
        <v>473</v>
      </c>
      <c r="N10" s="350">
        <v>1</v>
      </c>
      <c r="O10" s="346" t="s">
        <v>601</v>
      </c>
    </row>
    <row r="11" spans="2:73">
      <c r="B11" s="346" t="s">
        <v>156</v>
      </c>
      <c r="C11" s="346" t="s">
        <v>443</v>
      </c>
      <c r="D11" s="346" t="s">
        <v>436</v>
      </c>
      <c r="E11" s="346" t="s">
        <v>472</v>
      </c>
      <c r="F11" s="347" t="s">
        <v>442</v>
      </c>
      <c r="G11" s="347"/>
      <c r="H11" s="348">
        <v>77.587084420710482</v>
      </c>
      <c r="I11" s="349">
        <v>0.37410871928117928</v>
      </c>
      <c r="J11" s="350">
        <v>0.3</v>
      </c>
      <c r="K11" s="350">
        <v>0.8</v>
      </c>
      <c r="L11" s="350" t="s">
        <v>474</v>
      </c>
      <c r="M11" s="346" t="s">
        <v>473</v>
      </c>
      <c r="N11" s="350">
        <v>0.9</v>
      </c>
      <c r="O11" s="350"/>
      <c r="AO11" t="s">
        <v>676</v>
      </c>
      <c r="BA11" t="s">
        <v>695</v>
      </c>
      <c r="BO11" t="s">
        <v>699</v>
      </c>
    </row>
    <row r="12" spans="2:73">
      <c r="B12" s="346" t="s">
        <v>156</v>
      </c>
      <c r="C12" s="346" t="s">
        <v>443</v>
      </c>
      <c r="D12" s="346" t="s">
        <v>436</v>
      </c>
      <c r="E12" s="346" t="s">
        <v>475</v>
      </c>
      <c r="F12" s="347" t="s">
        <v>442</v>
      </c>
      <c r="G12" s="347"/>
      <c r="H12" s="348">
        <v>30.793535255887829</v>
      </c>
      <c r="I12" s="349">
        <v>0.49928697542494344</v>
      </c>
      <c r="J12" s="350">
        <v>0.15</v>
      </c>
      <c r="K12" s="350">
        <v>0.8</v>
      </c>
      <c r="L12" s="350" t="s">
        <v>476</v>
      </c>
      <c r="M12" s="346" t="s">
        <v>473</v>
      </c>
      <c r="N12" s="350">
        <v>0.9</v>
      </c>
      <c r="O12" s="350"/>
      <c r="AF12" t="s">
        <v>477</v>
      </c>
      <c r="AO12" t="s">
        <v>677</v>
      </c>
      <c r="BA12" t="s">
        <v>696</v>
      </c>
      <c r="BO12" t="s">
        <v>696</v>
      </c>
    </row>
    <row r="13" spans="2:73">
      <c r="B13" s="346" t="s">
        <v>156</v>
      </c>
      <c r="C13" s="346" t="s">
        <v>443</v>
      </c>
      <c r="D13" s="346" t="s">
        <v>436</v>
      </c>
      <c r="E13" s="346" t="s">
        <v>478</v>
      </c>
      <c r="F13" s="347" t="s">
        <v>442</v>
      </c>
      <c r="G13" s="347"/>
      <c r="H13" s="348">
        <v>61.565134652664099</v>
      </c>
      <c r="I13" s="349">
        <v>0.19999999999999996</v>
      </c>
      <c r="J13" s="350">
        <v>0.1</v>
      </c>
      <c r="K13" s="350">
        <v>0.8</v>
      </c>
      <c r="L13" s="350" t="s">
        <v>476</v>
      </c>
      <c r="M13" s="346" t="s">
        <v>473</v>
      </c>
      <c r="N13" s="350">
        <v>0.9</v>
      </c>
      <c r="O13" s="350"/>
      <c r="AO13" t="s">
        <v>678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O13" s="36"/>
      <c r="BP13" s="36"/>
      <c r="BQ13" s="36"/>
      <c r="BR13" s="36"/>
      <c r="BS13" s="36"/>
      <c r="BT13" s="36"/>
      <c r="BU13" s="36"/>
    </row>
    <row r="14" spans="2:73" ht="15" customHeight="1">
      <c r="B14" s="346" t="s">
        <v>156</v>
      </c>
      <c r="C14" s="346" t="s">
        <v>443</v>
      </c>
      <c r="D14" s="346" t="s">
        <v>436</v>
      </c>
      <c r="E14" s="351" t="s">
        <v>479</v>
      </c>
      <c r="F14" s="352" t="s">
        <v>442</v>
      </c>
      <c r="G14" s="353"/>
      <c r="H14" s="348">
        <v>95.275374186035165</v>
      </c>
      <c r="I14" s="349">
        <v>0.22707535278539917</v>
      </c>
      <c r="J14" s="350">
        <v>0.3</v>
      </c>
      <c r="K14" s="350">
        <v>0.8</v>
      </c>
      <c r="L14" s="346" t="s">
        <v>480</v>
      </c>
      <c r="M14" s="346" t="s">
        <v>473</v>
      </c>
      <c r="N14" s="350">
        <v>0.9</v>
      </c>
      <c r="O14" s="346"/>
      <c r="AF14" t="s">
        <v>685</v>
      </c>
      <c r="AO14" s="377" t="s">
        <v>633</v>
      </c>
      <c r="AP14" s="445">
        <v>1367441.8448858038</v>
      </c>
      <c r="AQ14" s="449">
        <v>7.2900979895336817E-4</v>
      </c>
      <c r="AR14" s="449" t="s">
        <v>665</v>
      </c>
      <c r="AS14" s="378"/>
      <c r="AT14" s="525" t="s">
        <v>634</v>
      </c>
      <c r="AU14" s="526">
        <v>0.30574170022849567</v>
      </c>
      <c r="AV14" s="526">
        <v>0.12986313487839568</v>
      </c>
      <c r="AW14" s="526" t="s">
        <v>635</v>
      </c>
      <c r="BA14" s="36"/>
      <c r="BB14" s="470" t="s">
        <v>688</v>
      </c>
      <c r="BC14" s="470"/>
      <c r="BD14" s="470"/>
      <c r="BE14" s="470"/>
      <c r="BF14" s="470"/>
      <c r="BG14" s="470"/>
      <c r="BH14" s="36"/>
      <c r="BI14" s="36"/>
      <c r="BJ14" s="36"/>
      <c r="BK14" s="36"/>
      <c r="BL14" s="36"/>
      <c r="BO14" s="470" t="s">
        <v>688</v>
      </c>
      <c r="BP14" s="470"/>
      <c r="BQ14" s="470"/>
      <c r="BR14" s="470"/>
      <c r="BS14" s="470"/>
      <c r="BT14" s="470"/>
      <c r="BU14" s="36"/>
    </row>
    <row r="15" spans="2:73" ht="15">
      <c r="B15" s="346" t="s">
        <v>156</v>
      </c>
      <c r="C15" s="346" t="s">
        <v>443</v>
      </c>
      <c r="D15" s="346" t="s">
        <v>436</v>
      </c>
      <c r="E15" s="351" t="s">
        <v>481</v>
      </c>
      <c r="F15" s="352" t="s">
        <v>442</v>
      </c>
      <c r="G15" s="353"/>
      <c r="H15" s="348">
        <v>37.801611306252092</v>
      </c>
      <c r="I15" s="349">
        <v>0.38166028222831938</v>
      </c>
      <c r="J15" s="350">
        <v>0.15</v>
      </c>
      <c r="K15" s="350">
        <v>0.8</v>
      </c>
      <c r="L15" s="350" t="s">
        <v>476</v>
      </c>
      <c r="M15" s="346" t="s">
        <v>473</v>
      </c>
      <c r="N15" s="350">
        <v>0.9</v>
      </c>
      <c r="O15" s="350"/>
      <c r="AF15" t="s">
        <v>686</v>
      </c>
      <c r="AO15" s="189" t="s">
        <v>636</v>
      </c>
      <c r="AP15" s="190">
        <v>60653691.917584181</v>
      </c>
      <c r="AQ15" s="53">
        <v>3.2335660866301914E-2</v>
      </c>
      <c r="AR15" s="53" t="s">
        <v>666</v>
      </c>
      <c r="AS15" s="50"/>
      <c r="AT15" s="525"/>
      <c r="AU15" s="536"/>
      <c r="AV15" s="527"/>
      <c r="AW15" s="527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O15" s="36"/>
      <c r="BP15" s="36"/>
      <c r="BQ15" s="36"/>
      <c r="BR15" s="36"/>
      <c r="BS15" s="36"/>
      <c r="BT15" s="36"/>
      <c r="BU15" s="36"/>
    </row>
    <row r="16" spans="2:73" ht="25.5">
      <c r="B16" s="346" t="s">
        <v>156</v>
      </c>
      <c r="C16" s="346" t="s">
        <v>449</v>
      </c>
      <c r="D16" s="346" t="s">
        <v>436</v>
      </c>
      <c r="E16" s="346" t="s">
        <v>472</v>
      </c>
      <c r="F16" s="347" t="s">
        <v>442</v>
      </c>
      <c r="G16" s="347" t="s">
        <v>442</v>
      </c>
      <c r="H16" s="348">
        <v>184.01259936096025</v>
      </c>
      <c r="I16" s="349">
        <v>0.37410871928117928</v>
      </c>
      <c r="J16" s="350">
        <v>0</v>
      </c>
      <c r="K16" s="350">
        <f>1-K11</f>
        <v>0.19999999999999996</v>
      </c>
      <c r="L16" s="346" t="s">
        <v>482</v>
      </c>
      <c r="M16" s="346" t="s">
        <v>473</v>
      </c>
      <c r="N16" s="350">
        <v>0.9</v>
      </c>
      <c r="O16" s="346"/>
      <c r="AF16" t="s">
        <v>687</v>
      </c>
      <c r="AO16" s="189" t="s">
        <v>637</v>
      </c>
      <c r="AP16" s="190">
        <v>167727380.90931895</v>
      </c>
      <c r="AQ16" s="53">
        <v>8.9418723504025063E-2</v>
      </c>
      <c r="AR16" s="53" t="s">
        <v>667</v>
      </c>
      <c r="AS16" s="50"/>
      <c r="AT16" s="525"/>
      <c r="AU16" s="536"/>
      <c r="AV16" s="527"/>
      <c r="AW16" s="527"/>
      <c r="BA16" s="36"/>
      <c r="BB16" s="471" t="s">
        <v>10</v>
      </c>
      <c r="BC16" s="471" t="s">
        <v>28</v>
      </c>
      <c r="BD16" s="471" t="s">
        <v>13</v>
      </c>
      <c r="BE16" s="471" t="s">
        <v>31</v>
      </c>
      <c r="BF16" s="471" t="s">
        <v>9</v>
      </c>
      <c r="BG16" s="471" t="s">
        <v>71</v>
      </c>
      <c r="BH16" s="471" t="s">
        <v>14</v>
      </c>
      <c r="BI16" s="471" t="s">
        <v>72</v>
      </c>
      <c r="BJ16" s="471" t="s">
        <v>73</v>
      </c>
      <c r="BK16" s="471" t="s">
        <v>16</v>
      </c>
      <c r="BL16" s="471" t="s">
        <v>44</v>
      </c>
      <c r="BO16" s="484" t="s">
        <v>697</v>
      </c>
      <c r="BP16" s="485" t="s">
        <v>173</v>
      </c>
      <c r="BQ16" s="485" t="s">
        <v>171</v>
      </c>
      <c r="BR16" s="485" t="s">
        <v>172</v>
      </c>
      <c r="BS16" s="485" t="s">
        <v>44</v>
      </c>
      <c r="BT16" s="36"/>
      <c r="BU16" s="36"/>
    </row>
    <row r="17" spans="2:73">
      <c r="B17" s="346" t="s">
        <v>156</v>
      </c>
      <c r="C17" s="346" t="s">
        <v>449</v>
      </c>
      <c r="D17" s="346" t="s">
        <v>436</v>
      </c>
      <c r="E17" s="346" t="s">
        <v>475</v>
      </c>
      <c r="F17" s="347" t="s">
        <v>442</v>
      </c>
      <c r="G17" s="347" t="s">
        <v>442</v>
      </c>
      <c r="H17" s="348">
        <v>110.53667908464585</v>
      </c>
      <c r="I17" s="349">
        <v>0.49928697542494344</v>
      </c>
      <c r="J17" s="350">
        <v>0</v>
      </c>
      <c r="K17" s="350">
        <f t="shared" ref="K17:K20" si="0">1-K12</f>
        <v>0.19999999999999996</v>
      </c>
      <c r="L17" s="346" t="s">
        <v>482</v>
      </c>
      <c r="M17" s="346" t="s">
        <v>473</v>
      </c>
      <c r="N17" s="350">
        <v>0.9</v>
      </c>
      <c r="O17" s="346"/>
      <c r="AO17" s="189" t="s">
        <v>638</v>
      </c>
      <c r="AP17" s="190">
        <v>13842565.990936747</v>
      </c>
      <c r="AQ17" s="53">
        <v>7.3797407091153247E-3</v>
      </c>
      <c r="AR17" s="53" t="s">
        <v>668</v>
      </c>
      <c r="AS17" s="50"/>
      <c r="AT17" s="525"/>
      <c r="AU17" s="536"/>
      <c r="AV17" s="528"/>
      <c r="AW17" s="528"/>
      <c r="BA17" s="472">
        <v>0</v>
      </c>
      <c r="BB17" s="462">
        <v>7.4760665250941808E-3</v>
      </c>
      <c r="BC17" s="462">
        <v>2.1349612409553953E-3</v>
      </c>
      <c r="BD17" s="462">
        <v>3.9848386463384948E-2</v>
      </c>
      <c r="BE17" s="462">
        <v>2.4422360650775996E-2</v>
      </c>
      <c r="BF17" s="462">
        <v>8.3146323821084306E-3</v>
      </c>
      <c r="BG17" s="462">
        <v>2.8230824905683606E-2</v>
      </c>
      <c r="BH17" s="462">
        <v>1.5723308327836673E-2</v>
      </c>
      <c r="BI17" s="462">
        <v>8.3655917243496795E-3</v>
      </c>
      <c r="BJ17" s="462">
        <v>7.6773007216320317E-3</v>
      </c>
      <c r="BK17" s="462">
        <v>0</v>
      </c>
      <c r="BL17" s="462">
        <v>1.3285894266519781E-2</v>
      </c>
      <c r="BO17" s="480">
        <v>0</v>
      </c>
      <c r="BP17" s="475">
        <v>3.3116003654969146E-2</v>
      </c>
      <c r="BQ17" s="475">
        <v>4.5349879849505758E-3</v>
      </c>
      <c r="BR17" s="475">
        <v>1.323201345561198E-2</v>
      </c>
      <c r="BS17" s="475">
        <v>1.5326402288634768E-2</v>
      </c>
      <c r="BT17" s="36"/>
      <c r="BU17" s="36"/>
    </row>
    <row r="18" spans="2:73">
      <c r="B18" s="346" t="s">
        <v>156</v>
      </c>
      <c r="C18" s="346" t="s">
        <v>449</v>
      </c>
      <c r="D18" s="346" t="s">
        <v>436</v>
      </c>
      <c r="E18" s="346" t="s">
        <v>478</v>
      </c>
      <c r="F18" s="347" t="s">
        <v>442</v>
      </c>
      <c r="G18" s="347" t="s">
        <v>442</v>
      </c>
      <c r="H18" s="348">
        <v>529.74014105690731</v>
      </c>
      <c r="I18" s="349">
        <v>0.19999999999999996</v>
      </c>
      <c r="J18" s="350">
        <v>0</v>
      </c>
      <c r="K18" s="350">
        <f t="shared" si="0"/>
        <v>0.19999999999999996</v>
      </c>
      <c r="L18" s="346" t="s">
        <v>482</v>
      </c>
      <c r="M18" s="346" t="s">
        <v>473</v>
      </c>
      <c r="N18" s="350">
        <v>0.9</v>
      </c>
      <c r="O18" s="346"/>
      <c r="AO18" s="189" t="s">
        <v>639</v>
      </c>
      <c r="AP18" s="190">
        <v>3616632.3458013511</v>
      </c>
      <c r="AQ18" s="53">
        <v>1.9280969272379351E-3</v>
      </c>
      <c r="AR18" s="53" t="s">
        <v>640</v>
      </c>
      <c r="AS18" s="50"/>
      <c r="AT18" s="525"/>
      <c r="AU18" s="536"/>
      <c r="AV18" s="526">
        <v>4.6158934629965453E-2</v>
      </c>
      <c r="AW18" s="526" t="s">
        <v>640</v>
      </c>
      <c r="BA18" s="472">
        <v>1</v>
      </c>
      <c r="BB18" s="462">
        <v>0.11277506326231514</v>
      </c>
      <c r="BC18" s="462">
        <v>6.4764091386040182E-2</v>
      </c>
      <c r="BD18" s="462">
        <v>0.16769546526314449</v>
      </c>
      <c r="BE18" s="462">
        <v>0.11422756694599441</v>
      </c>
      <c r="BF18" s="462">
        <v>0.14083596907116366</v>
      </c>
      <c r="BG18" s="462">
        <v>2.381414073351305E-2</v>
      </c>
      <c r="BH18" s="462">
        <v>5.0886744752538425E-2</v>
      </c>
      <c r="BI18" s="462">
        <v>9.5962028852151354E-2</v>
      </c>
      <c r="BJ18" s="462">
        <v>1.2164611973350529E-2</v>
      </c>
      <c r="BK18" s="462">
        <v>0.10349767179331226</v>
      </c>
      <c r="BL18" s="462">
        <v>0.1010213830405559</v>
      </c>
      <c r="BO18" s="480">
        <v>1</v>
      </c>
      <c r="BP18" s="475">
        <v>0.12352241871839155</v>
      </c>
      <c r="BQ18" s="475">
        <v>4.4175649943894633E-2</v>
      </c>
      <c r="BR18" s="475">
        <v>8.9866555160789494E-2</v>
      </c>
      <c r="BS18" s="475">
        <v>8.1138015167493707E-2</v>
      </c>
      <c r="BT18" s="36"/>
      <c r="BU18" s="36"/>
    </row>
    <row r="19" spans="2:73">
      <c r="B19" s="346" t="s">
        <v>156</v>
      </c>
      <c r="C19" s="346" t="s">
        <v>449</v>
      </c>
      <c r="D19" s="346" t="s">
        <v>450</v>
      </c>
      <c r="E19" s="346" t="s">
        <v>479</v>
      </c>
      <c r="F19" s="347" t="s">
        <v>442</v>
      </c>
      <c r="G19" s="347" t="s">
        <v>442</v>
      </c>
      <c r="H19" s="348">
        <v>190.72324169623747</v>
      </c>
      <c r="I19" s="349">
        <v>0.14593961633745767</v>
      </c>
      <c r="J19" s="354">
        <v>0</v>
      </c>
      <c r="K19" s="350">
        <f t="shared" si="0"/>
        <v>0.19999999999999996</v>
      </c>
      <c r="L19" s="346" t="s">
        <v>482</v>
      </c>
      <c r="M19" s="346" t="s">
        <v>473</v>
      </c>
      <c r="N19" s="350">
        <v>0.9</v>
      </c>
      <c r="O19" s="346"/>
      <c r="AO19" s="189" t="s">
        <v>641</v>
      </c>
      <c r="AP19" s="190">
        <v>4672527.3929561581</v>
      </c>
      <c r="AQ19" s="53">
        <v>2.491015079056279E-3</v>
      </c>
      <c r="AR19" s="53" t="s">
        <v>669</v>
      </c>
      <c r="AS19" s="50"/>
      <c r="AT19" s="525"/>
      <c r="AU19" s="536"/>
      <c r="AV19" s="527"/>
      <c r="AW19" s="527"/>
      <c r="BA19" s="472">
        <v>2</v>
      </c>
      <c r="BB19" s="462">
        <v>4.8512704887709951E-2</v>
      </c>
      <c r="BC19" s="462">
        <v>0.13503642167373753</v>
      </c>
      <c r="BD19" s="462">
        <v>4.4268784603413748E-2</v>
      </c>
      <c r="BE19" s="462">
        <v>0.13007487847965885</v>
      </c>
      <c r="BF19" s="462">
        <v>3.5751382209394583E-2</v>
      </c>
      <c r="BG19" s="462">
        <v>1.0845167006022564E-2</v>
      </c>
      <c r="BH19" s="462">
        <v>1.1852708365044842E-2</v>
      </c>
      <c r="BI19" s="462">
        <v>5.4657408061571343E-2</v>
      </c>
      <c r="BJ19" s="462">
        <v>0.13478499671744601</v>
      </c>
      <c r="BK19" s="462">
        <v>0</v>
      </c>
      <c r="BL19" s="462">
        <v>6.7141625837979516E-2</v>
      </c>
      <c r="BO19" s="480">
        <v>2</v>
      </c>
      <c r="BP19" s="475">
        <v>7.2509823557002168E-2</v>
      </c>
      <c r="BQ19" s="475">
        <v>4.7765101701507676E-2</v>
      </c>
      <c r="BR19" s="475">
        <v>7.5015149144449469E-2</v>
      </c>
      <c r="BS19" s="475">
        <v>6.3517777841905154E-2</v>
      </c>
      <c r="BT19" s="36"/>
      <c r="BU19" s="36"/>
    </row>
    <row r="20" spans="2:73">
      <c r="B20" s="346" t="s">
        <v>156</v>
      </c>
      <c r="C20" s="346" t="s">
        <v>449</v>
      </c>
      <c r="D20" s="346" t="s">
        <v>450</v>
      </c>
      <c r="E20" s="346" t="s">
        <v>481</v>
      </c>
      <c r="F20" s="347" t="s">
        <v>442</v>
      </c>
      <c r="G20" s="347" t="s">
        <v>442</v>
      </c>
      <c r="H20" s="348">
        <v>62.731131520540906</v>
      </c>
      <c r="I20" s="349">
        <v>0.31675169306996614</v>
      </c>
      <c r="J20" s="354">
        <v>1</v>
      </c>
      <c r="K20" s="350">
        <f t="shared" si="0"/>
        <v>0.19999999999999996</v>
      </c>
      <c r="L20" s="350" t="s">
        <v>483</v>
      </c>
      <c r="M20" s="346" t="s">
        <v>473</v>
      </c>
      <c r="N20" s="350">
        <v>0.9</v>
      </c>
      <c r="O20" s="350"/>
      <c r="Q20" s="83" t="s">
        <v>616</v>
      </c>
      <c r="AO20" s="189" t="s">
        <v>642</v>
      </c>
      <c r="AP20" s="190">
        <v>67415165.094671011</v>
      </c>
      <c r="AQ20" s="53">
        <v>3.5940333503673413E-2</v>
      </c>
      <c r="AR20" s="53" t="s">
        <v>670</v>
      </c>
      <c r="AS20" s="50"/>
      <c r="AT20" s="525"/>
      <c r="AU20" s="536"/>
      <c r="AV20" s="527"/>
      <c r="AW20" s="527"/>
      <c r="BA20" s="472">
        <v>3</v>
      </c>
      <c r="BB20" s="462">
        <v>4.7547291547042986E-2</v>
      </c>
      <c r="BC20" s="462">
        <v>0</v>
      </c>
      <c r="BD20" s="462">
        <v>1.8873184551477643E-2</v>
      </c>
      <c r="BE20" s="462">
        <v>1.0346797742114179E-2</v>
      </c>
      <c r="BF20" s="462">
        <v>4.8360366706543069E-2</v>
      </c>
      <c r="BG20" s="462">
        <v>1.7041116665466607E-2</v>
      </c>
      <c r="BH20" s="462">
        <v>2.953959895611229E-2</v>
      </c>
      <c r="BI20" s="462">
        <v>7.4161102009851002E-2</v>
      </c>
      <c r="BJ20" s="462">
        <v>1.3345049179945149E-3</v>
      </c>
      <c r="BK20" s="462">
        <v>3.7424070107231207E-2</v>
      </c>
      <c r="BL20" s="462">
        <v>3.4408695813580241E-2</v>
      </c>
      <c r="BO20" s="480">
        <v>3</v>
      </c>
      <c r="BP20" s="475">
        <v>3.5182519348348096E-2</v>
      </c>
      <c r="BQ20" s="475">
        <v>7.9101955851576585E-3</v>
      </c>
      <c r="BR20" s="475">
        <v>5.8247785015748892E-2</v>
      </c>
      <c r="BS20" s="475">
        <v>3.187140808469701E-2</v>
      </c>
      <c r="BT20" s="36"/>
      <c r="BU20" s="36"/>
    </row>
    <row r="21" spans="2:73">
      <c r="B21" s="335" t="s">
        <v>157</v>
      </c>
      <c r="C21" s="335" t="s">
        <v>416</v>
      </c>
      <c r="D21" s="335" t="s">
        <v>436</v>
      </c>
      <c r="E21" s="335" t="s">
        <v>484</v>
      </c>
      <c r="F21" s="355"/>
      <c r="G21" s="355"/>
      <c r="H21" s="356">
        <v>-83.644113270707393</v>
      </c>
      <c r="I21" s="357">
        <v>0.89951336239144852</v>
      </c>
      <c r="J21" s="358">
        <v>1</v>
      </c>
      <c r="K21" s="359">
        <v>1</v>
      </c>
      <c r="L21" s="335"/>
      <c r="M21" s="335"/>
      <c r="N21" s="359">
        <v>1</v>
      </c>
      <c r="O21" s="335" t="s">
        <v>601</v>
      </c>
      <c r="P21" s="402"/>
      <c r="Q21" t="s">
        <v>683</v>
      </c>
      <c r="Z21" s="83" t="s">
        <v>616</v>
      </c>
      <c r="AO21" s="189" t="s">
        <v>643</v>
      </c>
      <c r="AP21" s="190">
        <v>10878405.356184041</v>
      </c>
      <c r="AQ21" s="53">
        <v>5.7994891199978247E-3</v>
      </c>
      <c r="AR21" s="53" t="s">
        <v>671</v>
      </c>
      <c r="AS21" s="50"/>
      <c r="AT21" s="525"/>
      <c r="AU21" s="536"/>
      <c r="AV21" s="528"/>
      <c r="AW21" s="528"/>
      <c r="BA21" s="472">
        <v>4</v>
      </c>
      <c r="BB21" s="462">
        <v>1.5460669815126032E-2</v>
      </c>
      <c r="BC21" s="462">
        <v>0</v>
      </c>
      <c r="BD21" s="462">
        <v>4.5789596043351685E-2</v>
      </c>
      <c r="BE21" s="462">
        <v>4.0397491291599051E-2</v>
      </c>
      <c r="BF21" s="462">
        <v>1.6339066808825537E-2</v>
      </c>
      <c r="BG21" s="462">
        <v>5.0007432049162803E-2</v>
      </c>
      <c r="BH21" s="462">
        <v>0</v>
      </c>
      <c r="BI21" s="462">
        <v>3.8271593006245282E-2</v>
      </c>
      <c r="BJ21" s="462">
        <v>6.2706548948843581E-3</v>
      </c>
      <c r="BK21" s="462">
        <v>0</v>
      </c>
      <c r="BL21" s="462">
        <v>2.5082890052196372E-2</v>
      </c>
      <c r="BO21" s="480">
        <v>4</v>
      </c>
      <c r="BP21" s="475">
        <v>2.3711208653170734E-2</v>
      </c>
      <c r="BQ21" s="475">
        <v>2.1251198522076329E-2</v>
      </c>
      <c r="BR21" s="475">
        <v>3.7099749875627745E-2</v>
      </c>
      <c r="BS21" s="475">
        <v>2.7087999733510212E-2</v>
      </c>
      <c r="BT21" s="36"/>
      <c r="BU21" s="36"/>
    </row>
    <row r="22" spans="2:73">
      <c r="B22" s="335" t="s">
        <v>157</v>
      </c>
      <c r="C22" s="335" t="s">
        <v>416</v>
      </c>
      <c r="D22" s="335" t="s">
        <v>436</v>
      </c>
      <c r="E22" s="335" t="s">
        <v>486</v>
      </c>
      <c r="F22" s="355"/>
      <c r="G22" s="355"/>
      <c r="H22" s="356">
        <v>-17.937549899464024</v>
      </c>
      <c r="I22" s="357">
        <v>0.62813108259148298</v>
      </c>
      <c r="J22" s="358">
        <v>1</v>
      </c>
      <c r="K22" s="359">
        <v>1</v>
      </c>
      <c r="L22" s="335"/>
      <c r="M22" s="335"/>
      <c r="N22" s="359">
        <v>1</v>
      </c>
      <c r="O22" s="335" t="s">
        <v>601</v>
      </c>
      <c r="P22" s="402"/>
      <c r="Q22" s="360" t="s">
        <v>145</v>
      </c>
      <c r="R22" s="360" t="s">
        <v>146</v>
      </c>
      <c r="S22" s="361"/>
      <c r="T22" s="361"/>
      <c r="Z22" t="s">
        <v>684</v>
      </c>
      <c r="AO22" s="189" t="s">
        <v>644</v>
      </c>
      <c r="AP22" s="190">
        <v>1646954.5290660211</v>
      </c>
      <c r="AQ22" s="53">
        <v>8.7802343815215499E-4</v>
      </c>
      <c r="AR22" s="53" t="s">
        <v>645</v>
      </c>
      <c r="AS22" s="50"/>
      <c r="AT22" s="525"/>
      <c r="AU22" s="536"/>
      <c r="AV22" s="526">
        <v>0.11537601895656328</v>
      </c>
      <c r="AW22" s="526" t="s">
        <v>645</v>
      </c>
      <c r="BA22" s="472">
        <v>5</v>
      </c>
      <c r="BB22" s="462">
        <v>3.0233594384645873E-2</v>
      </c>
      <c r="BC22" s="462">
        <v>5.3118367308197557E-2</v>
      </c>
      <c r="BD22" s="462">
        <v>3.0624576592568533E-2</v>
      </c>
      <c r="BE22" s="462">
        <v>2.5660159985756052E-2</v>
      </c>
      <c r="BF22" s="462">
        <v>7.428098052191455E-2</v>
      </c>
      <c r="BG22" s="462">
        <v>3.8155926277012525E-3</v>
      </c>
      <c r="BH22" s="462">
        <v>7.2771272758681491E-2</v>
      </c>
      <c r="BI22" s="462">
        <v>1.3262425849687414E-2</v>
      </c>
      <c r="BJ22" s="462">
        <v>4.9035801906786927E-2</v>
      </c>
      <c r="BK22" s="462">
        <v>0</v>
      </c>
      <c r="BL22" s="462">
        <v>2.8203669759641212E-2</v>
      </c>
      <c r="BO22" s="480">
        <v>5</v>
      </c>
      <c r="BP22" s="475">
        <v>4.2868678226178666E-2</v>
      </c>
      <c r="BQ22" s="475">
        <v>2.930638484353501E-3</v>
      </c>
      <c r="BR22" s="475">
        <v>3.534347120193989E-2</v>
      </c>
      <c r="BS22" s="475">
        <v>2.4595270275186647E-2</v>
      </c>
      <c r="BT22" s="36"/>
      <c r="BU22" s="36"/>
    </row>
    <row r="23" spans="2:73">
      <c r="B23" s="335" t="s">
        <v>157</v>
      </c>
      <c r="C23" s="335" t="s">
        <v>443</v>
      </c>
      <c r="D23" s="335" t="s">
        <v>436</v>
      </c>
      <c r="E23" s="335" t="s">
        <v>484</v>
      </c>
      <c r="F23" s="355"/>
      <c r="G23" s="355"/>
      <c r="H23" s="356">
        <v>-75.704233619917616</v>
      </c>
      <c r="I23" s="357">
        <v>0.89951336239144852</v>
      </c>
      <c r="J23" s="358">
        <v>1</v>
      </c>
      <c r="K23" s="359">
        <v>0.5</v>
      </c>
      <c r="L23" s="335"/>
      <c r="M23" s="335" t="s">
        <v>487</v>
      </c>
      <c r="N23" s="359">
        <v>0.85</v>
      </c>
      <c r="O23" s="335" t="s">
        <v>613</v>
      </c>
      <c r="Q23" s="360" t="s">
        <v>147</v>
      </c>
      <c r="R23" s="360" t="s">
        <v>148</v>
      </c>
      <c r="S23" s="361"/>
      <c r="T23" s="361"/>
      <c r="Z23" s="60" t="s">
        <v>485</v>
      </c>
      <c r="AA23" s="60"/>
      <c r="AB23" s="60"/>
      <c r="AC23" s="60"/>
      <c r="AO23" s="189" t="s">
        <v>646</v>
      </c>
      <c r="AP23" s="190">
        <v>27867414.388670132</v>
      </c>
      <c r="AQ23" s="53">
        <v>1.4856659708648296E-2</v>
      </c>
      <c r="AR23" s="53" t="s">
        <v>672</v>
      </c>
      <c r="AS23" s="50"/>
      <c r="AT23" s="525"/>
      <c r="AU23" s="536"/>
      <c r="AV23" s="527"/>
      <c r="AW23" s="527"/>
      <c r="BA23" s="472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O23" s="462"/>
      <c r="BP23" s="462"/>
      <c r="BQ23" s="462"/>
      <c r="BR23" s="462"/>
      <c r="BS23" s="462"/>
      <c r="BT23" s="36"/>
      <c r="BU23" s="36"/>
    </row>
    <row r="24" spans="2:73">
      <c r="B24" s="335" t="s">
        <v>157</v>
      </c>
      <c r="C24" s="335" t="s">
        <v>443</v>
      </c>
      <c r="D24" s="335" t="s">
        <v>436</v>
      </c>
      <c r="E24" s="335" t="s">
        <v>486</v>
      </c>
      <c r="F24" s="355"/>
      <c r="G24" s="355"/>
      <c r="H24" s="356">
        <v>24.140230151571213</v>
      </c>
      <c r="I24" s="357">
        <v>0.62813108259148298</v>
      </c>
      <c r="J24" s="358">
        <v>1</v>
      </c>
      <c r="K24" s="359">
        <v>0.8</v>
      </c>
      <c r="L24" s="335"/>
      <c r="M24" s="335"/>
      <c r="N24" s="359">
        <v>0.85</v>
      </c>
      <c r="O24" s="335" t="s">
        <v>613</v>
      </c>
      <c r="Q24" s="360"/>
      <c r="R24" s="360"/>
      <c r="S24" s="361"/>
      <c r="T24" s="361"/>
      <c r="X24" s="326"/>
      <c r="Y24" s="326"/>
      <c r="Z24" s="60"/>
      <c r="AA24" s="60"/>
      <c r="AB24" s="60"/>
      <c r="AC24" s="60"/>
      <c r="AO24" s="189" t="s">
        <v>647</v>
      </c>
      <c r="AP24" s="190">
        <v>170051960.14435998</v>
      </c>
      <c r="AQ24" s="451">
        <v>9.0658001830285398E-2</v>
      </c>
      <c r="AR24" s="451" t="s">
        <v>673</v>
      </c>
      <c r="AS24" s="452"/>
      <c r="AT24" s="525"/>
      <c r="AU24" s="536"/>
      <c r="AV24" s="527"/>
      <c r="AW24" s="527"/>
      <c r="BA24" s="46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O24" s="481"/>
      <c r="BP24" s="462"/>
      <c r="BQ24" s="462"/>
      <c r="BR24" s="462"/>
      <c r="BS24" s="462"/>
      <c r="BT24" s="36"/>
      <c r="BU24" s="36"/>
    </row>
    <row r="25" spans="2:73">
      <c r="B25" s="335" t="s">
        <v>157</v>
      </c>
      <c r="C25" s="335" t="s">
        <v>449</v>
      </c>
      <c r="D25" s="335" t="s">
        <v>436</v>
      </c>
      <c r="E25" s="335" t="s">
        <v>484</v>
      </c>
      <c r="F25" s="355"/>
      <c r="G25" s="355" t="s">
        <v>442</v>
      </c>
      <c r="H25" s="356">
        <v>-61.233462969690443</v>
      </c>
      <c r="I25" s="357">
        <v>0.89951336239144852</v>
      </c>
      <c r="J25" s="358">
        <v>0.1</v>
      </c>
      <c r="K25" s="359">
        <v>0.5</v>
      </c>
      <c r="L25" s="335" t="s">
        <v>490</v>
      </c>
      <c r="M25" s="335"/>
      <c r="N25" s="359">
        <v>0.85</v>
      </c>
      <c r="O25" s="335" t="s">
        <v>613</v>
      </c>
      <c r="Q25" s="360"/>
      <c r="R25" s="360" t="s">
        <v>58</v>
      </c>
      <c r="S25" s="360"/>
      <c r="T25" s="360"/>
      <c r="X25" s="326"/>
      <c r="Y25" s="326"/>
      <c r="Z25" s="362"/>
      <c r="AA25" s="362" t="s">
        <v>41</v>
      </c>
      <c r="AB25" s="362"/>
      <c r="AC25" s="362"/>
      <c r="AO25" s="189" t="s">
        <v>648</v>
      </c>
      <c r="AP25" s="190">
        <v>16850509.839179449</v>
      </c>
      <c r="AQ25" s="53">
        <v>8.9833339794774415E-3</v>
      </c>
      <c r="AR25" s="53" t="s">
        <v>674</v>
      </c>
      <c r="AS25" s="50"/>
      <c r="AT25" s="525"/>
      <c r="AU25" s="536"/>
      <c r="AV25" s="528"/>
      <c r="AW25" s="528"/>
      <c r="BA25" s="466" t="s">
        <v>689</v>
      </c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O25" s="482" t="s">
        <v>689</v>
      </c>
      <c r="BP25" s="36"/>
      <c r="BQ25" s="36"/>
      <c r="BR25" s="36"/>
      <c r="BS25" s="36"/>
      <c r="BT25" s="36"/>
      <c r="BU25" s="36"/>
    </row>
    <row r="26" spans="2:73">
      <c r="B26" s="335" t="s">
        <v>157</v>
      </c>
      <c r="C26" s="335" t="s">
        <v>449</v>
      </c>
      <c r="D26" s="335" t="s">
        <v>436</v>
      </c>
      <c r="E26" s="335" t="s">
        <v>486</v>
      </c>
      <c r="F26" s="355"/>
      <c r="G26" s="355" t="s">
        <v>442</v>
      </c>
      <c r="H26" s="356">
        <v>76.118833200799315</v>
      </c>
      <c r="I26" s="357">
        <v>0.62813108259148298</v>
      </c>
      <c r="J26" s="358">
        <v>0.6</v>
      </c>
      <c r="K26" s="359">
        <v>0.2</v>
      </c>
      <c r="L26" s="335"/>
      <c r="M26" s="335" t="s">
        <v>491</v>
      </c>
      <c r="N26" s="359">
        <v>0.85</v>
      </c>
      <c r="O26" s="335" t="s">
        <v>613</v>
      </c>
      <c r="Q26" s="360"/>
      <c r="R26" s="360" t="s">
        <v>41</v>
      </c>
      <c r="S26" s="360"/>
      <c r="T26" s="360"/>
      <c r="X26" s="326"/>
      <c r="Y26" s="326"/>
      <c r="Z26" s="362" t="s">
        <v>59</v>
      </c>
      <c r="AA26" s="362" t="s">
        <v>149</v>
      </c>
      <c r="AB26" s="362" t="s">
        <v>488</v>
      </c>
      <c r="AC26" s="362" t="s">
        <v>489</v>
      </c>
      <c r="AO26" s="193" t="s">
        <v>649</v>
      </c>
      <c r="AP26" s="194">
        <v>26905063.499096032</v>
      </c>
      <c r="AQ26" s="450">
        <v>1.4343611763571261E-2</v>
      </c>
      <c r="AR26" s="450" t="s">
        <v>675</v>
      </c>
      <c r="AS26" s="386"/>
      <c r="AT26" s="525"/>
      <c r="AU26" s="537"/>
      <c r="AV26" s="446">
        <v>1.4343611763571261E-2</v>
      </c>
      <c r="AW26" s="453" t="s">
        <v>650</v>
      </c>
      <c r="BA26" s="466" t="s">
        <v>690</v>
      </c>
      <c r="BB26" s="463">
        <v>8.0643884075012551E-2</v>
      </c>
      <c r="BC26" s="463">
        <v>9.9900256529888848E-2</v>
      </c>
      <c r="BD26" s="463">
        <v>0.10598212493327912</v>
      </c>
      <c r="BE26" s="463">
        <v>0.12215122271282663</v>
      </c>
      <c r="BF26" s="463">
        <v>8.8293675640279123E-2</v>
      </c>
      <c r="BG26" s="463">
        <v>1.7329653869767807E-2</v>
      </c>
      <c r="BH26" s="463">
        <v>3.1369726558791632E-2</v>
      </c>
      <c r="BI26" s="463">
        <v>7.5309718456861352E-2</v>
      </c>
      <c r="BJ26" s="463">
        <v>7.347480434539827E-2</v>
      </c>
      <c r="BK26" s="463">
        <v>5.1748835896656131E-2</v>
      </c>
      <c r="BL26" s="463">
        <v>8.4081504439267707E-2</v>
      </c>
      <c r="BO26" s="482" t="s">
        <v>690</v>
      </c>
      <c r="BP26" s="463">
        <v>9.8016121137696866E-2</v>
      </c>
      <c r="BQ26" s="463">
        <v>4.5970375822701151E-2</v>
      </c>
      <c r="BR26" s="463">
        <v>8.2440852152619482E-2</v>
      </c>
      <c r="BS26" s="463">
        <v>7.2327896504699424E-2</v>
      </c>
      <c r="BT26" s="36"/>
      <c r="BU26" s="36"/>
    </row>
    <row r="27" spans="2:73">
      <c r="B27" s="335" t="s">
        <v>157</v>
      </c>
      <c r="C27" s="335" t="s">
        <v>449</v>
      </c>
      <c r="D27" s="335" t="s">
        <v>450</v>
      </c>
      <c r="E27" s="335" t="s">
        <v>493</v>
      </c>
      <c r="F27" s="355"/>
      <c r="G27" s="355" t="s">
        <v>442</v>
      </c>
      <c r="H27" s="356">
        <v>-76.449031085642275</v>
      </c>
      <c r="I27" s="357">
        <v>0.89034196292717604</v>
      </c>
      <c r="J27" s="358">
        <v>0.9</v>
      </c>
      <c r="K27" s="359">
        <v>0.5</v>
      </c>
      <c r="L27" s="335"/>
      <c r="M27" s="335"/>
      <c r="N27" s="359">
        <v>0.85</v>
      </c>
      <c r="O27" s="335" t="s">
        <v>613</v>
      </c>
      <c r="Q27" s="360" t="s">
        <v>59</v>
      </c>
      <c r="R27" s="360" t="s">
        <v>149</v>
      </c>
      <c r="S27" s="360" t="s">
        <v>488</v>
      </c>
      <c r="T27" s="360" t="s">
        <v>489</v>
      </c>
      <c r="X27" s="326"/>
      <c r="Y27" s="326"/>
      <c r="Z27" s="56" t="s">
        <v>157</v>
      </c>
      <c r="AA27" s="56">
        <v>72989753.853174016</v>
      </c>
      <c r="AB27" s="27">
        <v>1</v>
      </c>
      <c r="AC27" s="56">
        <v>2812111.565352831</v>
      </c>
      <c r="AO27" s="189" t="s">
        <v>651</v>
      </c>
      <c r="AP27" s="190">
        <v>101515.44173105649</v>
      </c>
      <c r="AQ27" s="53">
        <v>5.411985309927395E-5</v>
      </c>
      <c r="AR27" s="53" t="s">
        <v>665</v>
      </c>
      <c r="AS27" s="50"/>
      <c r="AT27" s="525" t="s">
        <v>652</v>
      </c>
      <c r="AU27" s="526">
        <v>0.51990621906609458</v>
      </c>
      <c r="AV27" s="529">
        <v>2.9020237915685861E-2</v>
      </c>
      <c r="AW27" s="526" t="s">
        <v>635</v>
      </c>
      <c r="BA27" s="473" t="s">
        <v>691</v>
      </c>
      <c r="BB27" s="464">
        <v>6.9611686565689362E-2</v>
      </c>
      <c r="BC27" s="464">
        <v>6.6600171019925894E-2</v>
      </c>
      <c r="BD27" s="464">
        <v>7.6945811472678635E-2</v>
      </c>
      <c r="BE27" s="464">
        <v>8.4883081055922474E-2</v>
      </c>
      <c r="BF27" s="464">
        <v>7.4982572662367103E-2</v>
      </c>
      <c r="BG27" s="464">
        <v>1.7233474801667408E-2</v>
      </c>
      <c r="BH27" s="464">
        <v>3.0759684024565182E-2</v>
      </c>
      <c r="BI27" s="464">
        <v>7.4926846307857897E-2</v>
      </c>
      <c r="BJ27" s="464">
        <v>4.942803786959702E-2</v>
      </c>
      <c r="BK27" s="464">
        <v>4.6973913966847823E-2</v>
      </c>
      <c r="BL27" s="465">
        <v>6.7523901564038549E-2</v>
      </c>
      <c r="BO27" s="483" t="s">
        <v>691</v>
      </c>
      <c r="BP27" s="476">
        <v>7.7071587207913947E-2</v>
      </c>
      <c r="BQ27" s="476">
        <v>3.3283649076853321E-2</v>
      </c>
      <c r="BR27" s="476">
        <v>7.4376496440329287E-2</v>
      </c>
      <c r="BS27" s="477">
        <v>5.8842400364698622E-2</v>
      </c>
      <c r="BT27" s="36"/>
      <c r="BU27" s="36"/>
    </row>
    <row r="28" spans="2:73">
      <c r="B28" s="335" t="s">
        <v>157</v>
      </c>
      <c r="C28" s="335" t="s">
        <v>449</v>
      </c>
      <c r="D28" s="335" t="s">
        <v>450</v>
      </c>
      <c r="E28" s="335" t="s">
        <v>494</v>
      </c>
      <c r="F28" s="355"/>
      <c r="G28" s="355" t="s">
        <v>442</v>
      </c>
      <c r="H28" s="356">
        <v>-0.40801517657048347</v>
      </c>
      <c r="I28" s="357">
        <v>0.59419066552642008</v>
      </c>
      <c r="J28" s="358">
        <v>0.4</v>
      </c>
      <c r="K28" s="359">
        <v>0.2</v>
      </c>
      <c r="L28" s="365" t="s">
        <v>495</v>
      </c>
      <c r="M28" s="335"/>
      <c r="N28" s="359">
        <v>0.85</v>
      </c>
      <c r="O28" s="365" t="s">
        <v>613</v>
      </c>
      <c r="Q28" s="363" t="s">
        <v>157</v>
      </c>
      <c r="R28" s="363">
        <v>93324774.25963749</v>
      </c>
      <c r="S28" s="364">
        <v>1</v>
      </c>
      <c r="T28" s="363">
        <v>3666462.5120884823</v>
      </c>
      <c r="X28" s="403"/>
      <c r="Y28" s="403"/>
      <c r="Z28" s="56" t="s">
        <v>492</v>
      </c>
      <c r="AA28" s="56">
        <v>72989753.853174016</v>
      </c>
      <c r="AB28" s="27">
        <v>1</v>
      </c>
      <c r="AC28" s="56">
        <v>2812111.565352831</v>
      </c>
      <c r="AO28" s="189" t="s">
        <v>653</v>
      </c>
      <c r="AP28" s="190">
        <v>14641045.947180191</v>
      </c>
      <c r="AQ28" s="53">
        <v>7.8054258777726726E-3</v>
      </c>
      <c r="AR28" s="53" t="s">
        <v>666</v>
      </c>
      <c r="AS28" s="50"/>
      <c r="AT28" s="525"/>
      <c r="AU28" s="527"/>
      <c r="AV28" s="530"/>
      <c r="AW28" s="527"/>
      <c r="BA28" s="466" t="s">
        <v>692</v>
      </c>
      <c r="BB28" s="463">
        <v>5.0905864779368003E-2</v>
      </c>
      <c r="BC28" s="463">
        <v>5.0583776073595058E-2</v>
      </c>
      <c r="BD28" s="463">
        <v>6.1450321410791223E-2</v>
      </c>
      <c r="BE28" s="463">
        <v>6.4141378889024506E-2</v>
      </c>
      <c r="BF28" s="463">
        <v>6.3113553063568278E-2</v>
      </c>
      <c r="BG28" s="463">
        <v>2.1104689816373257E-2</v>
      </c>
      <c r="BH28" s="463">
        <v>3.3010064966475405E-2</v>
      </c>
      <c r="BI28" s="463">
        <v>5.5262911555901274E-2</v>
      </c>
      <c r="BJ28" s="463">
        <v>4.0718114082092471E-2</v>
      </c>
      <c r="BK28" s="463">
        <v>2.8184348380108692E-2</v>
      </c>
      <c r="BL28" s="463">
        <v>5.1171652900790655E-2</v>
      </c>
      <c r="BO28" s="482" t="s">
        <v>692</v>
      </c>
      <c r="BP28" s="463">
        <v>5.9558929700618247E-2</v>
      </c>
      <c r="BQ28" s="463">
        <v>2.4806556847397958E-2</v>
      </c>
      <c r="BR28" s="463">
        <v>5.9114542079711098E-2</v>
      </c>
      <c r="BS28" s="463">
        <v>4.5642094220558552E-2</v>
      </c>
      <c r="BT28" s="36"/>
      <c r="BU28" s="36"/>
    </row>
    <row r="29" spans="2:73">
      <c r="B29" s="346" t="s">
        <v>384</v>
      </c>
      <c r="C29" s="346" t="s">
        <v>416</v>
      </c>
      <c r="D29" s="346" t="s">
        <v>436</v>
      </c>
      <c r="E29" s="346" t="s">
        <v>484</v>
      </c>
      <c r="F29" s="347"/>
      <c r="G29" s="347"/>
      <c r="H29" s="348">
        <v>-38.051081035552969</v>
      </c>
      <c r="I29" s="349">
        <v>0.66686886213730612</v>
      </c>
      <c r="J29" s="354">
        <v>1</v>
      </c>
      <c r="K29" s="350">
        <v>1</v>
      </c>
      <c r="L29" s="346"/>
      <c r="M29" s="346"/>
      <c r="N29" s="350">
        <v>1</v>
      </c>
      <c r="O29" s="346" t="s">
        <v>601</v>
      </c>
      <c r="P29" s="363"/>
      <c r="Q29" s="363" t="s">
        <v>492</v>
      </c>
      <c r="R29" s="363">
        <v>72989753.853173986</v>
      </c>
      <c r="S29" s="364">
        <v>0.78210479941917954</v>
      </c>
      <c r="T29" s="363">
        <v>2812111.5653528306</v>
      </c>
      <c r="X29" s="404"/>
      <c r="Y29" s="404"/>
      <c r="Z29" s="56">
        <v>9</v>
      </c>
      <c r="AA29" s="56">
        <v>290038.2613753819</v>
      </c>
      <c r="AB29" s="27">
        <v>3.9736846072781946E-3</v>
      </c>
      <c r="AC29" s="56">
        <v>24530.03523833544</v>
      </c>
      <c r="AO29" s="189" t="s">
        <v>654</v>
      </c>
      <c r="AP29" s="190">
        <v>36555010.216736801</v>
      </c>
      <c r="AQ29" s="53">
        <v>1.9488185730536199E-2</v>
      </c>
      <c r="AR29" s="53" t="s">
        <v>667</v>
      </c>
      <c r="AS29" s="50"/>
      <c r="AT29" s="525"/>
      <c r="AU29" s="527"/>
      <c r="AV29" s="530"/>
      <c r="AW29" s="527"/>
      <c r="BA29" s="472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O29" s="36"/>
      <c r="BP29" s="36"/>
      <c r="BQ29" s="36"/>
      <c r="BR29" s="36"/>
      <c r="BS29" s="36"/>
      <c r="BT29" s="36"/>
      <c r="BU29" s="36"/>
    </row>
    <row r="30" spans="2:73" ht="12.75" customHeight="1">
      <c r="B30" s="346" t="s">
        <v>384</v>
      </c>
      <c r="C30" s="346" t="s">
        <v>416</v>
      </c>
      <c r="D30" s="346" t="s">
        <v>436</v>
      </c>
      <c r="E30" s="346" t="s">
        <v>486</v>
      </c>
      <c r="F30" s="347"/>
      <c r="G30" s="347"/>
      <c r="H30" s="348">
        <v>102.33820307339211</v>
      </c>
      <c r="I30" s="349">
        <v>0.1709699514577564</v>
      </c>
      <c r="J30" s="354">
        <v>1</v>
      </c>
      <c r="K30" s="350">
        <v>1</v>
      </c>
      <c r="L30" s="346"/>
      <c r="M30" s="346"/>
      <c r="N30" s="350">
        <v>1</v>
      </c>
      <c r="O30" s="346" t="s">
        <v>601</v>
      </c>
      <c r="P30" s="363"/>
      <c r="Q30" s="363" t="s">
        <v>496</v>
      </c>
      <c r="R30" s="363">
        <v>20335020.406463508</v>
      </c>
      <c r="S30" s="364">
        <v>0.21789520058082054</v>
      </c>
      <c r="T30" s="363">
        <v>854350.94673565158</v>
      </c>
      <c r="X30" s="27"/>
      <c r="Y30" s="27"/>
      <c r="Z30" s="366">
        <v>13</v>
      </c>
      <c r="AA30" s="367">
        <v>7703300.9425640889</v>
      </c>
      <c r="AB30" s="368">
        <v>0.10553948377549029</v>
      </c>
      <c r="AC30" s="369">
        <v>499039.50361617969</v>
      </c>
      <c r="AO30" s="189" t="s">
        <v>655</v>
      </c>
      <c r="AP30" s="190">
        <v>3137207.9150437131</v>
      </c>
      <c r="AQ30" s="53">
        <v>1.6725064542777149E-3</v>
      </c>
      <c r="AR30" s="53" t="s">
        <v>668</v>
      </c>
      <c r="AS30" s="50"/>
      <c r="AT30" s="525"/>
      <c r="AU30" s="527"/>
      <c r="AV30" s="531"/>
      <c r="AW30" s="528"/>
      <c r="BA30" s="466" t="s">
        <v>693</v>
      </c>
      <c r="BB30" s="463">
        <v>5.6254611558373087E-2</v>
      </c>
      <c r="BC30" s="463">
        <v>6.7311824766911041E-2</v>
      </c>
      <c r="BD30" s="463">
        <v>8.3937545443314401E-2</v>
      </c>
      <c r="BE30" s="463">
        <v>8.957493535880974E-2</v>
      </c>
      <c r="BF30" s="463">
        <v>6.1633994554222221E-2</v>
      </c>
      <c r="BG30" s="463">
        <v>2.0963377548406405E-2</v>
      </c>
      <c r="BH30" s="463">
        <v>2.6154253815139982E-2</v>
      </c>
      <c r="BI30" s="463">
        <v>5.2995009546024124E-2</v>
      </c>
      <c r="BJ30" s="463">
        <v>5.1542303137476188E-2</v>
      </c>
      <c r="BK30" s="463">
        <v>3.4499223931104085E-2</v>
      </c>
      <c r="BL30" s="463">
        <v>6.0482967715018397E-2</v>
      </c>
      <c r="BO30" s="482" t="s">
        <v>693</v>
      </c>
      <c r="BP30" s="463">
        <v>7.638274864345429E-2</v>
      </c>
      <c r="BQ30" s="463">
        <v>3.2158579876784298E-2</v>
      </c>
      <c r="BR30" s="463">
        <v>5.9371239253616981E-2</v>
      </c>
      <c r="BS30" s="463">
        <v>5.3327398432677885E-2</v>
      </c>
      <c r="BT30" s="36"/>
      <c r="BU30" s="36"/>
    </row>
    <row r="31" spans="2:73">
      <c r="B31" s="346" t="s">
        <v>384</v>
      </c>
      <c r="C31" s="346" t="s">
        <v>443</v>
      </c>
      <c r="D31" s="346" t="s">
        <v>436</v>
      </c>
      <c r="E31" s="346" t="s">
        <v>484</v>
      </c>
      <c r="F31" s="347"/>
      <c r="G31" s="347"/>
      <c r="H31" s="348">
        <v>-13.642826536018712</v>
      </c>
      <c r="I31" s="349">
        <v>0.66686886213730612</v>
      </c>
      <c r="J31" s="354">
        <v>1</v>
      </c>
      <c r="K31" s="350">
        <v>0.2</v>
      </c>
      <c r="L31" s="346"/>
      <c r="M31" s="346" t="s">
        <v>497</v>
      </c>
      <c r="N31" s="350">
        <v>0.9</v>
      </c>
      <c r="O31" s="346"/>
      <c r="Q31" s="363" t="s">
        <v>62</v>
      </c>
      <c r="R31" s="363">
        <v>93324774.25963749</v>
      </c>
      <c r="S31" s="364">
        <v>1</v>
      </c>
      <c r="T31" s="363">
        <v>3666462.5120884823</v>
      </c>
      <c r="X31" s="27"/>
      <c r="Y31" s="27"/>
      <c r="Z31" s="56">
        <v>14</v>
      </c>
      <c r="AA31" s="56">
        <v>736706.08984027337</v>
      </c>
      <c r="AB31" s="27">
        <v>1.0093280918883892E-2</v>
      </c>
      <c r="AC31" s="56">
        <v>44045.536935349301</v>
      </c>
      <c r="AO31" s="189" t="s">
        <v>656</v>
      </c>
      <c r="AP31" s="190">
        <v>3306229.4029462929</v>
      </c>
      <c r="AQ31" s="53">
        <v>1.7626150913473586E-3</v>
      </c>
      <c r="AR31" s="53" t="s">
        <v>640</v>
      </c>
      <c r="AS31" s="50"/>
      <c r="AT31" s="525"/>
      <c r="AU31" s="527"/>
      <c r="AV31" s="532">
        <v>0.33456534732398485</v>
      </c>
      <c r="AW31" s="535" t="s">
        <v>640</v>
      </c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O31" s="478"/>
      <c r="BP31" s="36"/>
      <c r="BQ31" s="36"/>
      <c r="BR31" s="36"/>
      <c r="BS31" s="36"/>
      <c r="BT31" s="36"/>
      <c r="BU31" s="36"/>
    </row>
    <row r="32" spans="2:73">
      <c r="B32" s="346" t="s">
        <v>384</v>
      </c>
      <c r="C32" s="346" t="s">
        <v>443</v>
      </c>
      <c r="D32" s="346" t="s">
        <v>436</v>
      </c>
      <c r="E32" s="346" t="s">
        <v>486</v>
      </c>
      <c r="F32" s="347"/>
      <c r="G32" s="347"/>
      <c r="H32" s="348">
        <v>339.26403699288227</v>
      </c>
      <c r="I32" s="349">
        <v>0.1709699514577564</v>
      </c>
      <c r="J32" s="354">
        <v>1</v>
      </c>
      <c r="K32" s="350">
        <v>0.2</v>
      </c>
      <c r="L32" s="346"/>
      <c r="M32" s="346" t="s">
        <v>497</v>
      </c>
      <c r="N32" s="350">
        <v>0.9</v>
      </c>
      <c r="O32" s="346"/>
      <c r="X32" s="27"/>
      <c r="Y32" s="27"/>
      <c r="Z32" s="56">
        <v>15</v>
      </c>
      <c r="AA32" s="56">
        <v>1445049.8026388467</v>
      </c>
      <c r="AB32" s="27">
        <v>1.9797981584452316E-2</v>
      </c>
      <c r="AC32" s="56">
        <v>72245.834741855069</v>
      </c>
      <c r="AO32" s="189" t="s">
        <v>657</v>
      </c>
      <c r="AP32" s="190">
        <v>46442814.640070379</v>
      </c>
      <c r="AQ32" s="53">
        <v>2.4759566258858855E-2</v>
      </c>
      <c r="AR32" s="53" t="s">
        <v>669</v>
      </c>
      <c r="AS32" s="50"/>
      <c r="AT32" s="525"/>
      <c r="AU32" s="527"/>
      <c r="AV32" s="533"/>
      <c r="AW32" s="535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O32" s="478"/>
      <c r="BP32" s="36"/>
      <c r="BQ32" s="36"/>
      <c r="BR32" s="36"/>
      <c r="BS32" s="36"/>
      <c r="BT32" s="36"/>
      <c r="BU32" s="36"/>
    </row>
    <row r="33" spans="2:73">
      <c r="B33" s="346" t="s">
        <v>384</v>
      </c>
      <c r="C33" s="346" t="s">
        <v>449</v>
      </c>
      <c r="D33" s="346" t="s">
        <v>436</v>
      </c>
      <c r="E33" s="346" t="s">
        <v>484</v>
      </c>
      <c r="F33" s="347"/>
      <c r="G33" s="347" t="s">
        <v>442</v>
      </c>
      <c r="H33" s="348">
        <v>9.2462253995430608</v>
      </c>
      <c r="I33" s="349">
        <v>0.66686886213730612</v>
      </c>
      <c r="J33" s="354">
        <v>1</v>
      </c>
      <c r="K33" s="350">
        <v>0.8</v>
      </c>
      <c r="L33" s="346"/>
      <c r="M33" s="346" t="s">
        <v>497</v>
      </c>
      <c r="N33" s="350">
        <v>0.9</v>
      </c>
      <c r="O33" s="346"/>
      <c r="X33" s="27"/>
      <c r="Y33" s="27"/>
      <c r="Z33" s="56">
        <v>16</v>
      </c>
      <c r="AA33" s="56">
        <v>628883.28101795923</v>
      </c>
      <c r="AB33" s="27">
        <v>8.6160487988905816E-3</v>
      </c>
      <c r="AC33" s="56">
        <v>34974.809248042897</v>
      </c>
      <c r="AO33" s="189" t="s">
        <v>658</v>
      </c>
      <c r="AP33" s="190">
        <v>501779484.17476517</v>
      </c>
      <c r="AQ33" s="53">
        <v>0.26750838600212562</v>
      </c>
      <c r="AR33" s="53" t="s">
        <v>670</v>
      </c>
      <c r="AS33" s="50"/>
      <c r="AT33" s="525"/>
      <c r="AU33" s="527"/>
      <c r="AV33" s="533"/>
      <c r="AW33" s="535"/>
      <c r="BA33" s="466" t="s">
        <v>694</v>
      </c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O33" s="466" t="s">
        <v>698</v>
      </c>
      <c r="BP33" s="36"/>
      <c r="BQ33" s="36"/>
      <c r="BR33" s="36"/>
      <c r="BS33" s="36"/>
      <c r="BT33" s="36"/>
      <c r="BU33" s="36"/>
    </row>
    <row r="34" spans="2:73">
      <c r="B34" s="346" t="s">
        <v>384</v>
      </c>
      <c r="C34" s="346" t="s">
        <v>449</v>
      </c>
      <c r="D34" s="346" t="s">
        <v>436</v>
      </c>
      <c r="E34" s="346" t="s">
        <v>486</v>
      </c>
      <c r="F34" s="347"/>
      <c r="G34" s="347"/>
      <c r="H34" s="348">
        <v>601.66370300849155</v>
      </c>
      <c r="I34" s="349">
        <v>0.1709699514577564</v>
      </c>
      <c r="J34" s="354">
        <v>1</v>
      </c>
      <c r="K34" s="350">
        <v>0.8</v>
      </c>
      <c r="L34" s="346"/>
      <c r="M34" s="346" t="s">
        <v>497</v>
      </c>
      <c r="N34" s="350">
        <v>0.9</v>
      </c>
      <c r="O34" s="346"/>
      <c r="X34" s="27"/>
      <c r="Y34" s="27"/>
      <c r="Z34" s="56">
        <v>17</v>
      </c>
      <c r="AA34" s="56">
        <v>115196.69569324149</v>
      </c>
      <c r="AB34" s="27">
        <v>1.5782584487813295E-3</v>
      </c>
      <c r="AC34" s="56">
        <v>5759.8347846620918</v>
      </c>
      <c r="AO34" s="189" t="s">
        <v>659</v>
      </c>
      <c r="AP34" s="190">
        <v>76033208.862289742</v>
      </c>
      <c r="AQ34" s="53">
        <v>4.0534779971652994E-2</v>
      </c>
      <c r="AR34" s="53" t="s">
        <v>671</v>
      </c>
      <c r="AS34" s="50"/>
      <c r="AT34" s="525"/>
      <c r="AU34" s="527"/>
      <c r="AV34" s="534"/>
      <c r="AW34" s="535"/>
      <c r="BA34" s="467">
        <v>0.7</v>
      </c>
      <c r="BB34" s="468">
        <v>4.8728180595982551E-2</v>
      </c>
      <c r="BC34" s="469">
        <v>4.6620119713948124E-2</v>
      </c>
      <c r="BD34" s="469">
        <v>5.3862068030875045E-2</v>
      </c>
      <c r="BE34" s="469">
        <v>5.941815673914573E-2</v>
      </c>
      <c r="BF34" s="469">
        <v>5.2487800863656967E-2</v>
      </c>
      <c r="BG34" s="469">
        <v>1.2063432361167185E-2</v>
      </c>
      <c r="BH34" s="469">
        <v>2.1531778817195625E-2</v>
      </c>
      <c r="BI34" s="469">
        <v>5.2448792415500524E-2</v>
      </c>
      <c r="BJ34" s="469">
        <v>3.4599626508717909E-2</v>
      </c>
      <c r="BK34" s="469">
        <v>3.2881739776793477E-2</v>
      </c>
      <c r="BL34" s="474">
        <v>4.7266731094826979E-2</v>
      </c>
      <c r="BO34" s="479">
        <v>0.8</v>
      </c>
      <c r="BP34" s="464">
        <v>6.1657269766331159E-2</v>
      </c>
      <c r="BQ34" s="464">
        <v>2.6626919261482657E-2</v>
      </c>
      <c r="BR34" s="464">
        <v>5.950119715226343E-2</v>
      </c>
      <c r="BS34" s="465">
        <v>4.70739202917589E-2</v>
      </c>
      <c r="BT34" s="36"/>
      <c r="BU34" s="36"/>
    </row>
    <row r="35" spans="2:73">
      <c r="B35" s="346" t="s">
        <v>384</v>
      </c>
      <c r="C35" s="346" t="s">
        <v>449</v>
      </c>
      <c r="D35" s="346" t="s">
        <v>450</v>
      </c>
      <c r="E35" s="346" t="s">
        <v>494</v>
      </c>
      <c r="F35" s="347"/>
      <c r="G35" s="347"/>
      <c r="H35" s="348">
        <v>46.736894574536521</v>
      </c>
      <c r="I35" s="349">
        <v>0.21185222729182618</v>
      </c>
      <c r="J35" s="354">
        <v>1</v>
      </c>
      <c r="K35" s="350">
        <v>0.8</v>
      </c>
      <c r="L35" s="346"/>
      <c r="M35" s="346" t="s">
        <v>497</v>
      </c>
      <c r="N35" s="350">
        <v>0.9</v>
      </c>
      <c r="O35" s="346"/>
      <c r="Q35" s="83" t="s">
        <v>614</v>
      </c>
      <c r="X35" s="27"/>
      <c r="Y35" s="27"/>
      <c r="Z35" s="56">
        <v>18</v>
      </c>
      <c r="AA35" s="56">
        <v>2987815.3774057538</v>
      </c>
      <c r="AB35" s="27">
        <v>4.0934723295766071E-2</v>
      </c>
      <c r="AC35" s="56">
        <v>151999.32284746991</v>
      </c>
      <c r="AO35" s="189" t="s">
        <v>660</v>
      </c>
      <c r="AP35" s="190">
        <v>1416595.3013790229</v>
      </c>
      <c r="AQ35" s="53">
        <v>7.5521446101632942E-4</v>
      </c>
      <c r="AR35" s="53" t="s">
        <v>645</v>
      </c>
      <c r="AS35" s="50"/>
      <c r="AT35" s="525"/>
      <c r="AU35" s="527"/>
      <c r="AV35" s="532">
        <v>0.1236718481606134</v>
      </c>
      <c r="AW35" s="535" t="s">
        <v>645</v>
      </c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O35" s="478"/>
      <c r="BP35" s="36"/>
      <c r="BQ35" s="36"/>
      <c r="BR35" s="36"/>
      <c r="BS35" s="36"/>
      <c r="BT35" s="36"/>
      <c r="BU35" s="36"/>
    </row>
    <row r="36" spans="2:73">
      <c r="B36" s="346" t="s">
        <v>384</v>
      </c>
      <c r="C36" s="346" t="s">
        <v>449</v>
      </c>
      <c r="D36" s="346" t="s">
        <v>450</v>
      </c>
      <c r="E36" s="346" t="s">
        <v>493</v>
      </c>
      <c r="F36" s="347" t="s">
        <v>442</v>
      </c>
      <c r="G36" s="347" t="s">
        <v>442</v>
      </c>
      <c r="H36" s="348">
        <v>-45.646891143374717</v>
      </c>
      <c r="I36" s="349">
        <v>0.68329668533981602</v>
      </c>
      <c r="J36" s="354">
        <v>0.8</v>
      </c>
      <c r="K36" s="350">
        <v>0.8</v>
      </c>
      <c r="L36" s="346"/>
      <c r="M36" s="346" t="s">
        <v>497</v>
      </c>
      <c r="N36" s="350">
        <v>0.9</v>
      </c>
      <c r="O36" s="346"/>
      <c r="Q36" t="s">
        <v>682</v>
      </c>
      <c r="X36" s="27"/>
      <c r="Y36" s="27"/>
      <c r="Z36" s="56">
        <v>19</v>
      </c>
      <c r="AA36" s="56">
        <v>634373.51377807837</v>
      </c>
      <c r="AB36" s="27">
        <v>8.6912680244707E-3</v>
      </c>
      <c r="AC36" s="56">
        <v>28494.933315980408</v>
      </c>
      <c r="AO36" s="189" t="s">
        <v>661</v>
      </c>
      <c r="AP36" s="190">
        <v>1411924.9371408434</v>
      </c>
      <c r="AQ36" s="53">
        <v>7.5272459915708633E-4</v>
      </c>
      <c r="AR36" s="53" t="s">
        <v>672</v>
      </c>
      <c r="AS36" s="50"/>
      <c r="AT36" s="525"/>
      <c r="AU36" s="527"/>
      <c r="AV36" s="533"/>
      <c r="AW36" s="535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O36" s="478"/>
      <c r="BP36" s="36"/>
      <c r="BQ36" s="36"/>
      <c r="BR36" s="36"/>
      <c r="BS36" s="36"/>
      <c r="BT36" s="36"/>
      <c r="BU36" s="36"/>
    </row>
    <row r="37" spans="2:73">
      <c r="B37" s="346" t="s">
        <v>384</v>
      </c>
      <c r="C37" s="346" t="s">
        <v>449</v>
      </c>
      <c r="D37" s="346" t="s">
        <v>450</v>
      </c>
      <c r="E37" s="346" t="s">
        <v>498</v>
      </c>
      <c r="F37" s="347" t="s">
        <v>442</v>
      </c>
      <c r="G37" s="347"/>
      <c r="H37" s="348">
        <v>-6.3417319521319246</v>
      </c>
      <c r="I37" s="349">
        <v>0.61540112538991065</v>
      </c>
      <c r="J37" s="354">
        <v>0.2</v>
      </c>
      <c r="K37" s="350">
        <v>0.8</v>
      </c>
      <c r="L37" s="346" t="s">
        <v>499</v>
      </c>
      <c r="M37" s="346" t="s">
        <v>497</v>
      </c>
      <c r="N37" s="350">
        <v>0.9</v>
      </c>
      <c r="O37" s="346"/>
      <c r="Q37" s="362" t="s">
        <v>147</v>
      </c>
      <c r="R37" s="362" t="s">
        <v>148</v>
      </c>
      <c r="S37" s="60"/>
      <c r="T37" s="60"/>
      <c r="U37" s="60"/>
      <c r="V37" s="60"/>
      <c r="W37" s="60"/>
      <c r="X37" s="27"/>
      <c r="Y37" s="27"/>
      <c r="Z37" s="56">
        <v>20</v>
      </c>
      <c r="AA37" s="56">
        <v>1161783.3196380257</v>
      </c>
      <c r="AB37" s="27">
        <v>1.5917074086522688E-2</v>
      </c>
      <c r="AC37" s="56">
        <v>50512.318245131464</v>
      </c>
      <c r="AO37" s="189" t="s">
        <v>662</v>
      </c>
      <c r="AP37" s="190">
        <v>192034674.25675276</v>
      </c>
      <c r="AQ37" s="451">
        <v>0.10237741355917186</v>
      </c>
      <c r="AR37" s="451" t="s">
        <v>673</v>
      </c>
      <c r="AS37" s="452"/>
      <c r="AT37" s="525"/>
      <c r="AU37" s="527"/>
      <c r="AV37" s="533"/>
      <c r="AW37" s="535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O37" s="478"/>
      <c r="BP37" s="36"/>
      <c r="BQ37" s="36"/>
      <c r="BR37" s="36"/>
      <c r="BS37" s="36"/>
      <c r="BT37" s="36"/>
      <c r="BU37" s="36"/>
    </row>
    <row r="38" spans="2:73">
      <c r="B38" s="346" t="s">
        <v>384</v>
      </c>
      <c r="C38" s="346" t="s">
        <v>449</v>
      </c>
      <c r="D38" s="346" t="s">
        <v>450</v>
      </c>
      <c r="E38" s="346" t="s">
        <v>500</v>
      </c>
      <c r="F38" s="347"/>
      <c r="G38" s="347"/>
      <c r="H38" s="348">
        <v>85.719268176607528</v>
      </c>
      <c r="I38" s="349">
        <v>0.17653603385797365</v>
      </c>
      <c r="J38" s="354">
        <v>1</v>
      </c>
      <c r="K38" s="350">
        <v>0.8</v>
      </c>
      <c r="L38" s="346"/>
      <c r="M38" s="346" t="s">
        <v>497</v>
      </c>
      <c r="N38" s="350">
        <v>0.9</v>
      </c>
      <c r="O38" s="346"/>
      <c r="Q38" s="399" t="s">
        <v>602</v>
      </c>
      <c r="R38" s="362" t="s">
        <v>9</v>
      </c>
      <c r="S38" s="60"/>
      <c r="T38" s="60"/>
      <c r="U38" s="60"/>
      <c r="V38" s="60"/>
      <c r="W38" s="60"/>
      <c r="X38" s="27"/>
      <c r="Y38" s="27"/>
      <c r="Z38" s="56">
        <v>22</v>
      </c>
      <c r="AA38" s="56">
        <v>275970.96740879893</v>
      </c>
      <c r="AB38" s="27">
        <v>3.7809548990114608E-3</v>
      </c>
      <c r="AC38" s="56">
        <v>11668.792578875486</v>
      </c>
      <c r="AO38" s="189" t="s">
        <v>663</v>
      </c>
      <c r="AP38" s="190">
        <v>37114565.545787849</v>
      </c>
      <c r="AQ38" s="53">
        <v>1.9786495541268118E-2</v>
      </c>
      <c r="AR38" s="53" t="s">
        <v>674</v>
      </c>
      <c r="AS38" s="50"/>
      <c r="AT38" s="525"/>
      <c r="AU38" s="527"/>
      <c r="AV38" s="534"/>
      <c r="AW38" s="535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O38" s="36"/>
      <c r="BP38" s="36"/>
      <c r="BQ38" s="36"/>
      <c r="BR38" s="36"/>
      <c r="BS38" s="36"/>
      <c r="BT38" s="36"/>
      <c r="BU38" s="36"/>
    </row>
    <row r="39" spans="2:73">
      <c r="B39" s="335" t="s">
        <v>501</v>
      </c>
      <c r="C39" s="335" t="s">
        <v>416</v>
      </c>
      <c r="D39" s="335" t="s">
        <v>436</v>
      </c>
      <c r="E39" s="335" t="s">
        <v>502</v>
      </c>
      <c r="F39" s="355" t="s">
        <v>442</v>
      </c>
      <c r="G39" s="355"/>
      <c r="H39" s="356">
        <v>20.392086235563376</v>
      </c>
      <c r="I39" s="357">
        <v>0.65908928703684988</v>
      </c>
      <c r="J39" s="358">
        <v>0.8</v>
      </c>
      <c r="K39" s="359">
        <v>1</v>
      </c>
      <c r="L39" s="335" t="s">
        <v>503</v>
      </c>
      <c r="M39" s="335"/>
      <c r="N39" s="359">
        <v>1</v>
      </c>
      <c r="O39" s="335" t="s">
        <v>601</v>
      </c>
      <c r="Q39" s="362" t="s">
        <v>145</v>
      </c>
      <c r="R39" s="362" t="s">
        <v>146</v>
      </c>
      <c r="S39" s="60"/>
      <c r="T39" s="60"/>
      <c r="U39" s="60"/>
      <c r="V39" s="60"/>
      <c r="W39" s="60"/>
      <c r="Z39" s="56">
        <v>23</v>
      </c>
      <c r="AA39" s="56">
        <v>5326501.5886386614</v>
      </c>
      <c r="AB39" s="27">
        <v>7.2976017967582643E-2</v>
      </c>
      <c r="AC39" s="56">
        <v>202106.49544817657</v>
      </c>
      <c r="AO39" s="193" t="s">
        <v>664</v>
      </c>
      <c r="AP39" s="194">
        <v>61241036.496675164</v>
      </c>
      <c r="AQ39" s="450">
        <v>3.2648785665810462E-2</v>
      </c>
      <c r="AR39" s="450" t="s">
        <v>675</v>
      </c>
      <c r="AS39" s="385"/>
      <c r="AT39" s="525"/>
      <c r="AU39" s="528"/>
      <c r="AV39" s="447">
        <v>3.2648785665810462E-2</v>
      </c>
      <c r="AW39" s="448" t="s">
        <v>650</v>
      </c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O39" s="36"/>
      <c r="BP39" s="36"/>
      <c r="BQ39" s="36"/>
      <c r="BR39" s="36"/>
      <c r="BS39" s="36"/>
      <c r="BT39" s="36"/>
      <c r="BU39" s="36"/>
    </row>
    <row r="40" spans="2:73">
      <c r="B40" s="335" t="s">
        <v>501</v>
      </c>
      <c r="C40" s="335" t="s">
        <v>416</v>
      </c>
      <c r="D40" s="335" t="s">
        <v>436</v>
      </c>
      <c r="E40" s="335" t="s">
        <v>504</v>
      </c>
      <c r="F40" s="355" t="s">
        <v>442</v>
      </c>
      <c r="G40" s="355"/>
      <c r="H40" s="356">
        <v>78.867040642765446</v>
      </c>
      <c r="I40" s="357">
        <v>0.36653279785809917</v>
      </c>
      <c r="J40" s="358">
        <v>0.2</v>
      </c>
      <c r="K40" s="359">
        <v>1</v>
      </c>
      <c r="L40" s="335"/>
      <c r="M40" s="335"/>
      <c r="N40" s="359">
        <v>1</v>
      </c>
      <c r="O40" s="335" t="s">
        <v>601</v>
      </c>
      <c r="Q40" s="362"/>
      <c r="R40" s="362"/>
      <c r="S40" s="60"/>
      <c r="T40" s="60"/>
      <c r="U40" s="60"/>
      <c r="V40" s="60"/>
      <c r="W40" s="60"/>
      <c r="Z40" s="56">
        <v>24</v>
      </c>
      <c r="AA40" s="56">
        <v>748998.81806239521</v>
      </c>
      <c r="AB40" s="27">
        <v>1.0261698094900814E-2</v>
      </c>
      <c r="AC40" s="56">
        <v>34772.134823693596</v>
      </c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O40" s="36"/>
      <c r="BP40" s="36"/>
      <c r="BQ40" s="36"/>
      <c r="BR40" s="36"/>
      <c r="BS40" s="36"/>
      <c r="BT40" s="36"/>
      <c r="BU40" s="36"/>
    </row>
    <row r="41" spans="2:73">
      <c r="B41" s="335" t="s">
        <v>501</v>
      </c>
      <c r="C41" s="335" t="s">
        <v>416</v>
      </c>
      <c r="D41" s="335" t="s">
        <v>436</v>
      </c>
      <c r="E41" s="335" t="s">
        <v>505</v>
      </c>
      <c r="F41" s="355"/>
      <c r="G41" s="355"/>
      <c r="H41" s="356">
        <v>15.13139858539995</v>
      </c>
      <c r="I41" s="357">
        <v>0.46183368008564429</v>
      </c>
      <c r="J41" s="358">
        <v>1</v>
      </c>
      <c r="K41" s="359">
        <v>1</v>
      </c>
      <c r="L41" s="335"/>
      <c r="M41" s="335"/>
      <c r="N41" s="359">
        <v>1</v>
      </c>
      <c r="O41" s="335" t="s">
        <v>601</v>
      </c>
      <c r="Q41" s="398"/>
      <c r="R41" s="362" t="s">
        <v>183</v>
      </c>
      <c r="S41" s="398"/>
      <c r="T41" s="398"/>
      <c r="U41" s="398"/>
      <c r="V41" s="398"/>
      <c r="W41" s="398"/>
      <c r="Z41" s="366">
        <v>26</v>
      </c>
      <c r="AA41" s="367">
        <v>21608243.375583999</v>
      </c>
      <c r="AB41" s="368">
        <v>0.29604488623226599</v>
      </c>
      <c r="AC41" s="369">
        <v>821627.91249792592</v>
      </c>
      <c r="BO41" s="36"/>
      <c r="BP41" s="36"/>
      <c r="BQ41" s="36"/>
      <c r="BR41" s="36"/>
      <c r="BS41" s="36"/>
      <c r="BT41" s="36"/>
      <c r="BU41" s="36"/>
    </row>
    <row r="42" spans="2:73">
      <c r="B42" s="335" t="s">
        <v>501</v>
      </c>
      <c r="C42" s="335" t="s">
        <v>443</v>
      </c>
      <c r="D42" s="335" t="s">
        <v>436</v>
      </c>
      <c r="E42" s="335" t="s">
        <v>502</v>
      </c>
      <c r="F42" s="355" t="s">
        <v>442</v>
      </c>
      <c r="G42" s="355"/>
      <c r="H42" s="356">
        <v>22.973019969673352</v>
      </c>
      <c r="I42" s="357">
        <v>0.65908928703684988</v>
      </c>
      <c r="J42" s="358">
        <v>0.9</v>
      </c>
      <c r="K42" s="359">
        <v>0.7</v>
      </c>
      <c r="L42" s="335" t="s">
        <v>503</v>
      </c>
      <c r="M42" s="335" t="s">
        <v>506</v>
      </c>
      <c r="N42" s="359">
        <v>0.9</v>
      </c>
      <c r="O42" s="335"/>
      <c r="Q42" s="399" t="s">
        <v>59</v>
      </c>
      <c r="R42" s="399" t="s">
        <v>149</v>
      </c>
      <c r="S42" s="399" t="s">
        <v>488</v>
      </c>
      <c r="T42" s="399" t="s">
        <v>603</v>
      </c>
      <c r="U42" s="399" t="s">
        <v>604</v>
      </c>
      <c r="V42" s="399" t="s">
        <v>489</v>
      </c>
      <c r="W42" s="399" t="s">
        <v>605</v>
      </c>
      <c r="Z42" s="56">
        <v>27</v>
      </c>
      <c r="AA42" s="56">
        <v>225062.55026419295</v>
      </c>
      <c r="AB42" s="27">
        <v>3.0834814255837626E-3</v>
      </c>
      <c r="AC42" s="56">
        <v>8153.6353575861667</v>
      </c>
      <c r="AQ42" s="454" t="s">
        <v>679</v>
      </c>
      <c r="AR42" s="455" t="s">
        <v>513</v>
      </c>
      <c r="AS42" s="455" t="s">
        <v>681</v>
      </c>
      <c r="AT42" s="456"/>
    </row>
    <row r="43" spans="2:73">
      <c r="B43" s="335" t="s">
        <v>501</v>
      </c>
      <c r="C43" s="335" t="s">
        <v>443</v>
      </c>
      <c r="D43" s="335" t="s">
        <v>436</v>
      </c>
      <c r="E43" s="335" t="s">
        <v>504</v>
      </c>
      <c r="F43" s="355" t="s">
        <v>442</v>
      </c>
      <c r="G43" s="355"/>
      <c r="H43" s="356">
        <v>93.026754597214705</v>
      </c>
      <c r="I43" s="357">
        <v>0.36653279785809917</v>
      </c>
      <c r="J43" s="358">
        <v>0.1</v>
      </c>
      <c r="K43" s="359">
        <v>0.7</v>
      </c>
      <c r="L43" s="335"/>
      <c r="M43" s="335" t="s">
        <v>506</v>
      </c>
      <c r="N43" s="359">
        <v>0.9</v>
      </c>
      <c r="O43" s="335"/>
      <c r="Q43" s="400" t="s">
        <v>65</v>
      </c>
      <c r="R43" s="56">
        <v>203212132.70379004</v>
      </c>
      <c r="S43" s="27">
        <v>1</v>
      </c>
      <c r="T43" s="56">
        <v>2007771.1463450671</v>
      </c>
      <c r="U43" s="27">
        <v>1</v>
      </c>
      <c r="V43" s="56">
        <v>3121215.4417744437</v>
      </c>
      <c r="W43" s="27">
        <v>1</v>
      </c>
      <c r="Z43" s="56">
        <v>28</v>
      </c>
      <c r="AA43" s="56">
        <v>2648761.220951092</v>
      </c>
      <c r="AB43" s="27">
        <v>3.6289493814150031E-2</v>
      </c>
      <c r="AC43" s="56">
        <v>91338.671385066118</v>
      </c>
      <c r="AQ43" s="457">
        <f>SUM(AQ14,AQ27)</f>
        <v>7.8312965205264216E-4</v>
      </c>
      <c r="AR43" s="345" t="s">
        <v>665</v>
      </c>
      <c r="AS43" s="53">
        <v>0.8</v>
      </c>
      <c r="AT43" s="380"/>
    </row>
    <row r="44" spans="2:73">
      <c r="B44" s="335" t="s">
        <v>501</v>
      </c>
      <c r="C44" s="335" t="s">
        <v>443</v>
      </c>
      <c r="D44" s="335" t="s">
        <v>436</v>
      </c>
      <c r="E44" s="335" t="s">
        <v>505</v>
      </c>
      <c r="F44" s="355"/>
      <c r="G44" s="355"/>
      <c r="H44" s="356">
        <v>20.945885146539091</v>
      </c>
      <c r="I44" s="357">
        <v>0.46183368008564429</v>
      </c>
      <c r="J44" s="358">
        <v>1</v>
      </c>
      <c r="K44" s="359">
        <v>0.7</v>
      </c>
      <c r="L44" s="335"/>
      <c r="M44" s="335" t="s">
        <v>506</v>
      </c>
      <c r="N44" s="359">
        <v>0.9</v>
      </c>
      <c r="O44" s="335"/>
      <c r="Q44" s="461" t="s">
        <v>606</v>
      </c>
      <c r="R44" s="59">
        <v>11441876.550243098</v>
      </c>
      <c r="S44" s="460">
        <v>5.6305085715138994E-2</v>
      </c>
      <c r="T44" s="59">
        <v>109919.60412251088</v>
      </c>
      <c r="U44" s="460">
        <v>5.474707828260595E-2</v>
      </c>
      <c r="V44" s="59">
        <v>291421.16433846997</v>
      </c>
      <c r="W44" s="460">
        <v>9.3367846524812143E-2</v>
      </c>
      <c r="Z44" s="56">
        <v>30</v>
      </c>
      <c r="AA44" s="56">
        <v>639042.28405917669</v>
      </c>
      <c r="AB44" s="27">
        <v>8.7552327597195684E-3</v>
      </c>
      <c r="AC44" s="56">
        <v>17628.752663701383</v>
      </c>
      <c r="AQ44" s="457">
        <f t="shared" ref="AQ44:AQ55" si="1">SUM(AQ15,AQ28)</f>
        <v>4.0141086744074586E-2</v>
      </c>
      <c r="AR44" s="345" t="s">
        <v>666</v>
      </c>
      <c r="AS44" s="53">
        <v>0.8</v>
      </c>
      <c r="AT44" s="380"/>
    </row>
    <row r="45" spans="2:73">
      <c r="B45" s="335" t="s">
        <v>501</v>
      </c>
      <c r="C45" s="335" t="s">
        <v>449</v>
      </c>
      <c r="D45" s="335" t="s">
        <v>436</v>
      </c>
      <c r="E45" s="335" t="s">
        <v>502</v>
      </c>
      <c r="F45" s="355" t="s">
        <v>442</v>
      </c>
      <c r="G45" s="355"/>
      <c r="H45" s="370">
        <v>33.347151471273826</v>
      </c>
      <c r="I45" s="357">
        <v>0.65908928703684988</v>
      </c>
      <c r="J45" s="358">
        <v>0.9</v>
      </c>
      <c r="K45" s="359">
        <v>0.3</v>
      </c>
      <c r="L45" s="335"/>
      <c r="M45" s="335"/>
      <c r="N45" s="359">
        <v>0.9</v>
      </c>
      <c r="O45" s="335"/>
      <c r="Q45" s="401" t="s">
        <v>607</v>
      </c>
      <c r="R45" s="56">
        <v>148003732.57276925</v>
      </c>
      <c r="S45" s="27">
        <v>0.72832133890600559</v>
      </c>
      <c r="T45" s="56">
        <v>1467381.0362340366</v>
      </c>
      <c r="U45" s="27">
        <v>0.7308507440727231</v>
      </c>
      <c r="V45" s="56">
        <v>2301467.1199035109</v>
      </c>
      <c r="W45" s="27">
        <v>0.73736246755049462</v>
      </c>
      <c r="Z45" s="366">
        <v>32</v>
      </c>
      <c r="AA45" s="367">
        <v>19049023.039632455</v>
      </c>
      <c r="AB45" s="368">
        <v>0.2609821520696099</v>
      </c>
      <c r="AC45" s="369">
        <v>565112.14836393599</v>
      </c>
      <c r="AQ45" s="457">
        <f t="shared" si="1"/>
        <v>0.10890690923456126</v>
      </c>
      <c r="AR45" s="345" t="s">
        <v>667</v>
      </c>
      <c r="AS45" s="53">
        <v>0.85</v>
      </c>
      <c r="AT45" s="380"/>
    </row>
    <row r="46" spans="2:73">
      <c r="B46" s="335" t="s">
        <v>501</v>
      </c>
      <c r="C46" s="335" t="s">
        <v>449</v>
      </c>
      <c r="D46" s="335" t="s">
        <v>436</v>
      </c>
      <c r="E46" s="335" t="s">
        <v>504</v>
      </c>
      <c r="F46" s="355" t="s">
        <v>442</v>
      </c>
      <c r="G46" s="355"/>
      <c r="H46" s="370">
        <v>149.94209986436493</v>
      </c>
      <c r="I46" s="357">
        <v>0.36653279785809917</v>
      </c>
      <c r="J46" s="358">
        <v>0.1</v>
      </c>
      <c r="K46" s="359">
        <v>0.3</v>
      </c>
      <c r="L46" s="335"/>
      <c r="M46" s="335"/>
      <c r="N46" s="359">
        <v>0.9</v>
      </c>
      <c r="O46" s="335"/>
      <c r="Q46" s="461" t="s">
        <v>608</v>
      </c>
      <c r="R46" s="59">
        <v>2100433.2902316931</v>
      </c>
      <c r="S46" s="460">
        <v>1.0336160849674102E-2</v>
      </c>
      <c r="T46" s="59">
        <v>41679.631690393449</v>
      </c>
      <c r="U46" s="460">
        <v>2.0759154630878508E-2</v>
      </c>
      <c r="V46" s="59">
        <v>43576.673162437553</v>
      </c>
      <c r="W46" s="460">
        <v>1.3961443538695219E-2</v>
      </c>
      <c r="Z46" s="56">
        <v>35</v>
      </c>
      <c r="AA46" s="56">
        <v>339196.98995500611</v>
      </c>
      <c r="AB46" s="27">
        <v>4.6471863795750539E-3</v>
      </c>
      <c r="AC46" s="56">
        <v>8017.0710972874786</v>
      </c>
      <c r="AQ46" s="457">
        <f t="shared" si="1"/>
        <v>9.0522471633930398E-3</v>
      </c>
      <c r="AR46" s="345" t="s">
        <v>668</v>
      </c>
      <c r="AS46" s="53">
        <v>0.75</v>
      </c>
      <c r="AT46" s="380"/>
    </row>
    <row r="47" spans="2:73">
      <c r="B47" s="335" t="s">
        <v>501</v>
      </c>
      <c r="C47" s="335" t="s">
        <v>449</v>
      </c>
      <c r="D47" s="335" t="s">
        <v>436</v>
      </c>
      <c r="E47" s="335" t="s">
        <v>505</v>
      </c>
      <c r="F47" s="355"/>
      <c r="G47" s="355"/>
      <c r="H47" s="370">
        <v>80.7140304750328</v>
      </c>
      <c r="I47" s="357">
        <v>0.46183368008564429</v>
      </c>
      <c r="J47" s="358">
        <v>1</v>
      </c>
      <c r="K47" s="359">
        <v>0.3</v>
      </c>
      <c r="L47" s="335"/>
      <c r="M47" s="335"/>
      <c r="N47" s="359">
        <v>0.9</v>
      </c>
      <c r="O47" s="335"/>
      <c r="Q47" s="401" t="s">
        <v>609</v>
      </c>
      <c r="R47" s="56">
        <v>11861168.289553918</v>
      </c>
      <c r="S47" s="27">
        <v>5.8368406116987223E-2</v>
      </c>
      <c r="T47" s="56">
        <v>124839.46664994075</v>
      </c>
      <c r="U47" s="27">
        <v>6.2178135629251202E-2</v>
      </c>
      <c r="V47" s="56">
        <v>149240.23057582165</v>
      </c>
      <c r="W47" s="27">
        <v>4.7814780286674803E-2</v>
      </c>
      <c r="Z47" s="56">
        <v>36</v>
      </c>
      <c r="AA47" s="56">
        <v>31554.999958015884</v>
      </c>
      <c r="AB47" s="27">
        <v>4.3232095317778207E-4</v>
      </c>
      <c r="AC47" s="56">
        <v>860.59090794588985</v>
      </c>
      <c r="AQ47" s="457">
        <f t="shared" si="1"/>
        <v>3.6907120185852935E-3</v>
      </c>
      <c r="AR47" s="345" t="s">
        <v>640</v>
      </c>
      <c r="AS47" s="53">
        <v>0.65</v>
      </c>
      <c r="AT47" s="380"/>
    </row>
    <row r="48" spans="2:73">
      <c r="B48" s="371" t="s">
        <v>9</v>
      </c>
      <c r="C48" s="371" t="s">
        <v>449</v>
      </c>
      <c r="D48" s="371" t="s">
        <v>450</v>
      </c>
      <c r="E48" s="371" t="s">
        <v>494</v>
      </c>
      <c r="F48" s="372"/>
      <c r="G48" s="372"/>
      <c r="H48" s="373">
        <v>-12.156427086839962</v>
      </c>
      <c r="I48" s="374">
        <v>0.37052877349151492</v>
      </c>
      <c r="J48" s="375">
        <v>1</v>
      </c>
      <c r="K48" s="376">
        <v>1</v>
      </c>
      <c r="L48" s="371"/>
      <c r="M48" s="371" t="s">
        <v>507</v>
      </c>
      <c r="N48" s="376">
        <v>0.9</v>
      </c>
      <c r="O48" s="371"/>
      <c r="Q48" s="401" t="s">
        <v>610</v>
      </c>
      <c r="R48" s="56">
        <v>11575107.466038296</v>
      </c>
      <c r="S48" s="27">
        <v>5.6960710524654679E-2</v>
      </c>
      <c r="T48" s="56">
        <v>106707.09026945091</v>
      </c>
      <c r="U48" s="27">
        <v>5.3147038428009975E-2</v>
      </c>
      <c r="V48" s="56">
        <v>126846.0293548984</v>
      </c>
      <c r="W48" s="27">
        <v>4.0639946751892621E-2</v>
      </c>
      <c r="Z48" s="56">
        <v>40</v>
      </c>
      <c r="AA48" s="56">
        <v>1197935.0247872323</v>
      </c>
      <c r="AB48" s="27">
        <v>1.6412372443356846E-2</v>
      </c>
      <c r="AC48" s="56">
        <v>26192.680436632909</v>
      </c>
      <c r="AQ48" s="457">
        <f t="shared" si="1"/>
        <v>2.7250581337915133E-2</v>
      </c>
      <c r="AR48" s="345" t="s">
        <v>669</v>
      </c>
      <c r="AS48" s="53">
        <v>0.65</v>
      </c>
      <c r="AT48" s="380"/>
    </row>
    <row r="49" spans="2:46">
      <c r="B49" s="371" t="s">
        <v>9</v>
      </c>
      <c r="C49" s="371" t="s">
        <v>449</v>
      </c>
      <c r="D49" s="371" t="s">
        <v>450</v>
      </c>
      <c r="E49" s="371" t="s">
        <v>493</v>
      </c>
      <c r="F49" s="372" t="s">
        <v>442</v>
      </c>
      <c r="G49" s="372"/>
      <c r="H49" s="373">
        <v>-102.3831677047617</v>
      </c>
      <c r="I49" s="374">
        <v>0.84321075148547842</v>
      </c>
      <c r="J49" s="375">
        <v>0.8</v>
      </c>
      <c r="K49" s="376">
        <v>1</v>
      </c>
      <c r="L49" s="371"/>
      <c r="M49" s="371" t="s">
        <v>507</v>
      </c>
      <c r="N49" s="376">
        <v>0.85</v>
      </c>
      <c r="O49" s="371" t="s">
        <v>615</v>
      </c>
      <c r="Q49" s="401" t="s">
        <v>611</v>
      </c>
      <c r="R49" s="56">
        <v>8798597.8741096351</v>
      </c>
      <c r="S49" s="27">
        <v>4.3297601167026849E-2</v>
      </c>
      <c r="T49" s="56">
        <v>65968.668425739001</v>
      </c>
      <c r="U49" s="27">
        <v>3.2856667228148943E-2</v>
      </c>
      <c r="V49" s="56">
        <v>77549.466205120814</v>
      </c>
      <c r="W49" s="27">
        <v>2.4845919050379018E-2</v>
      </c>
      <c r="Z49" s="56">
        <v>41</v>
      </c>
      <c r="AA49" s="56">
        <v>508839.85707750323</v>
      </c>
      <c r="AB49" s="27">
        <v>6.971387492292193E-3</v>
      </c>
      <c r="AC49" s="56">
        <v>11183.29356214289</v>
      </c>
      <c r="AQ49" s="457">
        <f t="shared" si="1"/>
        <v>0.30344871950579905</v>
      </c>
      <c r="AR49" s="345" t="s">
        <v>670</v>
      </c>
      <c r="AS49" s="53">
        <v>0.7</v>
      </c>
      <c r="AT49" s="380"/>
    </row>
    <row r="50" spans="2:46">
      <c r="B50" s="371" t="s">
        <v>9</v>
      </c>
      <c r="C50" s="371" t="s">
        <v>449</v>
      </c>
      <c r="D50" s="371" t="s">
        <v>450</v>
      </c>
      <c r="E50" s="371" t="s">
        <v>508</v>
      </c>
      <c r="F50" s="372" t="s">
        <v>442</v>
      </c>
      <c r="G50" s="372"/>
      <c r="H50" s="373">
        <v>-90.092817506912851</v>
      </c>
      <c r="I50" s="374">
        <v>0.75091911764705876</v>
      </c>
      <c r="J50" s="375">
        <v>0.2</v>
      </c>
      <c r="K50" s="376">
        <v>1</v>
      </c>
      <c r="L50" s="371" t="s">
        <v>509</v>
      </c>
      <c r="M50" s="371" t="s">
        <v>507</v>
      </c>
      <c r="N50" s="376">
        <v>0.85</v>
      </c>
      <c r="O50" s="371" t="s">
        <v>615</v>
      </c>
      <c r="Q50" s="401" t="s">
        <v>612</v>
      </c>
      <c r="R50" s="56">
        <v>9431216.6608441602</v>
      </c>
      <c r="S50" s="27">
        <v>4.6410696720512602E-2</v>
      </c>
      <c r="T50" s="56">
        <v>91275.648952995325</v>
      </c>
      <c r="U50" s="27">
        <v>4.5461181728382191E-2</v>
      </c>
      <c r="V50" s="56">
        <v>131114.75823418435</v>
      </c>
      <c r="W50" s="27">
        <v>4.2007596297051586E-2</v>
      </c>
      <c r="Z50" s="366">
        <v>42</v>
      </c>
      <c r="AA50" s="367">
        <v>4681276.4109328967</v>
      </c>
      <c r="AB50" s="368">
        <v>6.4136076145012613E-2</v>
      </c>
      <c r="AC50" s="369">
        <v>101735.6991761948</v>
      </c>
      <c r="AQ50" s="457">
        <f t="shared" si="1"/>
        <v>4.6334269091650816E-2</v>
      </c>
      <c r="AR50" s="345" t="s">
        <v>671</v>
      </c>
      <c r="AS50" s="53">
        <v>0.65</v>
      </c>
      <c r="AT50" s="380"/>
    </row>
    <row r="51" spans="2:46">
      <c r="B51" s="371" t="s">
        <v>9</v>
      </c>
      <c r="C51" s="371" t="s">
        <v>449</v>
      </c>
      <c r="D51" s="371" t="s">
        <v>450</v>
      </c>
      <c r="E51" s="371" t="s">
        <v>510</v>
      </c>
      <c r="F51" s="372"/>
      <c r="G51" s="372"/>
      <c r="H51" s="373">
        <v>38.082567612656284</v>
      </c>
      <c r="I51" s="374">
        <v>0.45245260223563383</v>
      </c>
      <c r="J51" s="375">
        <v>1</v>
      </c>
      <c r="K51" s="376">
        <v>1</v>
      </c>
      <c r="L51" s="371"/>
      <c r="M51" s="371" t="s">
        <v>507</v>
      </c>
      <c r="N51" s="376">
        <v>0.9</v>
      </c>
      <c r="O51" s="371"/>
      <c r="Q51" s="400" t="s">
        <v>62</v>
      </c>
      <c r="R51" s="56">
        <v>203212132.70379004</v>
      </c>
      <c r="S51" s="27">
        <v>1</v>
      </c>
      <c r="T51" s="56">
        <v>2007771.1463450671</v>
      </c>
      <c r="U51" s="27">
        <v>1</v>
      </c>
      <c r="V51" s="56">
        <v>3121215.4417744437</v>
      </c>
      <c r="W51" s="27">
        <v>1</v>
      </c>
      <c r="Z51" s="56">
        <v>46</v>
      </c>
      <c r="AA51" s="56">
        <v>6199.4419109435421</v>
      </c>
      <c r="AB51" s="27">
        <v>8.4935783225332178E-5</v>
      </c>
      <c r="AC51" s="56">
        <v>111.55808065965243</v>
      </c>
      <c r="AQ51" s="457">
        <f t="shared" si="1"/>
        <v>1.6332378991684845E-3</v>
      </c>
      <c r="AR51" s="345" t="s">
        <v>645</v>
      </c>
      <c r="AS51" s="53">
        <v>0.8</v>
      </c>
      <c r="AT51" s="380"/>
    </row>
    <row r="52" spans="2:46">
      <c r="Z52" s="56" t="s">
        <v>62</v>
      </c>
      <c r="AA52" s="56">
        <v>72989753.853174016</v>
      </c>
      <c r="AB52" s="27">
        <v>1</v>
      </c>
      <c r="AC52" s="56">
        <v>2812111.565352831</v>
      </c>
      <c r="AQ52" s="457">
        <f t="shared" si="1"/>
        <v>1.5609384307805382E-2</v>
      </c>
      <c r="AR52" s="345" t="s">
        <v>672</v>
      </c>
      <c r="AS52" s="53">
        <v>0.75</v>
      </c>
      <c r="AT52" s="380"/>
    </row>
    <row r="53" spans="2:46">
      <c r="AQ53" s="457">
        <f t="shared" si="1"/>
        <v>0.19303541538945726</v>
      </c>
      <c r="AR53" s="345" t="s">
        <v>673</v>
      </c>
      <c r="AS53" s="53">
        <v>0.85</v>
      </c>
      <c r="AT53" s="380"/>
    </row>
    <row r="54" spans="2:46">
      <c r="AQ54" s="457">
        <f t="shared" si="1"/>
        <v>2.8769829520745561E-2</v>
      </c>
      <c r="AR54" s="345" t="s">
        <v>674</v>
      </c>
      <c r="AS54" s="53">
        <v>0.75</v>
      </c>
      <c r="AT54" s="380"/>
    </row>
    <row r="55" spans="2:46">
      <c r="AQ55" s="457">
        <f t="shared" si="1"/>
        <v>4.6992397429381723E-2</v>
      </c>
      <c r="AR55" s="345" t="s">
        <v>675</v>
      </c>
      <c r="AS55" s="53">
        <v>0.75</v>
      </c>
      <c r="AT55" s="380"/>
    </row>
    <row r="56" spans="2:46">
      <c r="AQ56" s="193"/>
      <c r="AR56" s="458" t="s">
        <v>680</v>
      </c>
      <c r="AS56" s="459">
        <f>SUMPRODUCT(AQ43:AQ55,AS43:AS55)/SUM(AQ43:AQ55)</f>
        <v>0.76141178065962012</v>
      </c>
      <c r="AT56" s="386"/>
    </row>
  </sheetData>
  <autoFilter ref="B9:M55"/>
  <mergeCells count="16">
    <mergeCell ref="AT14:AT26"/>
    <mergeCell ref="AU14:AU26"/>
    <mergeCell ref="AV14:AV17"/>
    <mergeCell ref="AW14:AW17"/>
    <mergeCell ref="AV18:AV21"/>
    <mergeCell ref="AW18:AW21"/>
    <mergeCell ref="AV22:AV25"/>
    <mergeCell ref="AW22:AW25"/>
    <mergeCell ref="AT27:AT39"/>
    <mergeCell ref="AU27:AU39"/>
    <mergeCell ref="AV27:AV30"/>
    <mergeCell ref="AW27:AW30"/>
    <mergeCell ref="AV31:AV34"/>
    <mergeCell ref="AW31:AW34"/>
    <mergeCell ref="AV35:AV38"/>
    <mergeCell ref="AW35:AW38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Note</vt:lpstr>
      <vt:lpstr>Flyover</vt:lpstr>
      <vt:lpstr>LPDExist</vt:lpstr>
      <vt:lpstr>Pre_2014</vt:lpstr>
      <vt:lpstr>LPDNew</vt:lpstr>
      <vt:lpstr>Post 2014</vt:lpstr>
      <vt:lpstr>DOE2014 Sales Pen</vt:lpstr>
      <vt:lpstr>Applic</vt:lpstr>
      <vt:lpstr>ApplicNotes</vt:lpstr>
      <vt:lpstr>CBSA Tables</vt:lpstr>
      <vt:lpstr>CBSA Hrs_Plus</vt:lpstr>
      <vt:lpstr>CBSA LPD Dist t53</vt:lpstr>
      <vt:lpstr>6PResults</vt:lpstr>
      <vt:lpstr>6P New</vt:lpstr>
      <vt:lpstr>list_Applic</vt:lpstr>
      <vt:lpstr>list_LPDBaseExist</vt:lpstr>
      <vt:lpstr>list_LPDBaseNew</vt:lpstr>
    </vt:vector>
  </TitlesOfParts>
  <Company>Northwest Power and Conservation Council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Charlie Grist</dc:creator>
  <cp:lastModifiedBy>Charlie Grist</cp:lastModifiedBy>
  <dcterms:created xsi:type="dcterms:W3CDTF">2014-12-07T15:35:21Z</dcterms:created>
  <dcterms:modified xsi:type="dcterms:W3CDTF">2015-02-22T03:54:43Z</dcterms:modified>
</cp:coreProperties>
</file>