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0" windowWidth="14880" windowHeight="5712" tabRatio="877" firstSheet="4" activeTab="7"/>
  </bookViews>
  <sheets>
    <sheet name="Sheet1" sheetId="20" state="hidden" r:id="rId1"/>
    <sheet name="Lists" sheetId="13" state="hidden" r:id="rId2"/>
    <sheet name="NW Baseline Grid Char" sheetId="23" r:id="rId3"/>
    <sheet name="NW Baseline Energy" sheetId="24" r:id="rId4"/>
    <sheet name="NW Baseline Energy by Use" sheetId="26" r:id="rId5"/>
    <sheet name="NW Baseline Demand" sheetId="30" r:id="rId6"/>
    <sheet name="NW Customers" sheetId="29" r:id="rId7"/>
    <sheet name="SummaryTables" sheetId="50" r:id="rId8"/>
    <sheet name="KeyAssumptions" sheetId="45" r:id="rId9"/>
    <sheet name="Res-Capacity-Base" sheetId="35" r:id="rId10"/>
    <sheet name="Com-Capacity-Base" sheetId="38" r:id="rId11"/>
    <sheet name="Ag-Ind-Capacity-Base" sheetId="43" r:id="rId12"/>
    <sheet name="Res-Capacity-Smart" sheetId="48" r:id="rId13"/>
    <sheet name="Com-Capacity-Smart" sheetId="51" r:id="rId14"/>
    <sheet name="Ag-Ind-Capacity-Smart" sheetId="55" r:id="rId15"/>
    <sheet name="Res-Balancing" sheetId="57" r:id="rId16"/>
    <sheet name="Com-Balancing" sheetId="58" r:id="rId17"/>
    <sheet name="Ag-Ind-Balancing" sheetId="61" r:id="rId18"/>
  </sheets>
  <calcPr calcId="145621"/>
</workbook>
</file>

<file path=xl/calcChain.xml><?xml version="1.0" encoding="utf-8"?>
<calcChain xmlns="http://schemas.openxmlformats.org/spreadsheetml/2006/main">
  <c r="C113" i="61" l="1"/>
  <c r="D106" i="61"/>
  <c r="E106" i="61"/>
  <c r="F106" i="61"/>
  <c r="G106" i="61"/>
  <c r="H106" i="61"/>
  <c r="I106" i="61"/>
  <c r="J106" i="61"/>
  <c r="K106" i="61"/>
  <c r="L106" i="61"/>
  <c r="M106" i="61"/>
  <c r="N106" i="61"/>
  <c r="O106" i="61"/>
  <c r="P106" i="61"/>
  <c r="Q106" i="61"/>
  <c r="R106" i="61"/>
  <c r="S106" i="61"/>
  <c r="T106" i="61"/>
  <c r="U106" i="61"/>
  <c r="V106" i="61"/>
  <c r="W106" i="61"/>
  <c r="C106" i="61"/>
  <c r="D94" i="61"/>
  <c r="E94" i="61"/>
  <c r="F94" i="61"/>
  <c r="G94" i="61"/>
  <c r="H94" i="61"/>
  <c r="I94" i="61"/>
  <c r="J94" i="61"/>
  <c r="K94" i="61"/>
  <c r="L94" i="61"/>
  <c r="M94" i="61"/>
  <c r="N94" i="61"/>
  <c r="O94" i="61"/>
  <c r="P94" i="61"/>
  <c r="Q94" i="61"/>
  <c r="R94" i="61"/>
  <c r="S94" i="61"/>
  <c r="T94" i="61"/>
  <c r="U94" i="61"/>
  <c r="V94" i="61"/>
  <c r="W94" i="61"/>
  <c r="C94" i="61"/>
  <c r="D82" i="61"/>
  <c r="E82" i="61"/>
  <c r="F82" i="61"/>
  <c r="G82" i="61"/>
  <c r="H82" i="61"/>
  <c r="I82" i="61"/>
  <c r="J82" i="61"/>
  <c r="K82" i="61"/>
  <c r="L82" i="61"/>
  <c r="M82" i="61"/>
  <c r="N82" i="61"/>
  <c r="O82" i="61"/>
  <c r="P82" i="61"/>
  <c r="Q82" i="61"/>
  <c r="R82" i="61"/>
  <c r="S82" i="61"/>
  <c r="T82" i="61"/>
  <c r="U82" i="61"/>
  <c r="V82" i="61"/>
  <c r="W82" i="61"/>
  <c r="C82" i="61"/>
  <c r="D70" i="61"/>
  <c r="E70" i="61"/>
  <c r="F70" i="61"/>
  <c r="G70" i="61"/>
  <c r="H70" i="61"/>
  <c r="I70" i="61"/>
  <c r="J70" i="61"/>
  <c r="K70" i="61"/>
  <c r="L70" i="61"/>
  <c r="M70" i="61"/>
  <c r="N70" i="61"/>
  <c r="O70" i="61"/>
  <c r="P70" i="61"/>
  <c r="Q70" i="61"/>
  <c r="R70" i="61"/>
  <c r="S70" i="61"/>
  <c r="T70" i="61"/>
  <c r="U70" i="61"/>
  <c r="V70" i="61"/>
  <c r="W70" i="61"/>
  <c r="C70" i="61"/>
  <c r="D58" i="61"/>
  <c r="E58" i="61"/>
  <c r="F58" i="61"/>
  <c r="G58" i="61"/>
  <c r="H58" i="61"/>
  <c r="I58" i="61"/>
  <c r="J58" i="61"/>
  <c r="K58" i="61"/>
  <c r="L58" i="61"/>
  <c r="M58" i="61"/>
  <c r="N58" i="61"/>
  <c r="O58" i="61"/>
  <c r="P58" i="61"/>
  <c r="Q58" i="61"/>
  <c r="R58" i="61"/>
  <c r="S58" i="61"/>
  <c r="T58" i="61"/>
  <c r="U58" i="61"/>
  <c r="V58" i="61"/>
  <c r="W58" i="61"/>
  <c r="C58" i="61"/>
  <c r="D81" i="58"/>
  <c r="E81" i="58"/>
  <c r="F81" i="58"/>
  <c r="G81" i="58"/>
  <c r="C81" i="58"/>
  <c r="D65" i="57"/>
  <c r="E65" i="57"/>
  <c r="F65" i="57"/>
  <c r="G65" i="57"/>
  <c r="H65" i="57"/>
  <c r="I65" i="57"/>
  <c r="J65" i="57"/>
  <c r="K65" i="57"/>
  <c r="L65" i="57"/>
  <c r="M65" i="57"/>
  <c r="N65" i="57"/>
  <c r="O65" i="57"/>
  <c r="P65" i="57"/>
  <c r="Q65" i="57"/>
  <c r="R65" i="57"/>
  <c r="S65" i="57"/>
  <c r="T65" i="57"/>
  <c r="U65" i="57"/>
  <c r="V65" i="57"/>
  <c r="W65" i="57"/>
  <c r="C65" i="57"/>
  <c r="D102" i="51"/>
  <c r="E102" i="51"/>
  <c r="F102" i="51"/>
  <c r="G102" i="51"/>
  <c r="C102" i="51"/>
  <c r="D118" i="48"/>
  <c r="E118" i="48"/>
  <c r="F118" i="48"/>
  <c r="G118" i="48"/>
  <c r="C118" i="48"/>
  <c r="D88" i="43"/>
  <c r="E88" i="43"/>
  <c r="F88" i="43"/>
  <c r="G88" i="43"/>
  <c r="H88" i="43"/>
  <c r="I88" i="43"/>
  <c r="J88" i="43"/>
  <c r="K88" i="43"/>
  <c r="L88" i="43"/>
  <c r="M88" i="43"/>
  <c r="N88" i="43"/>
  <c r="O88" i="43"/>
  <c r="P88" i="43"/>
  <c r="Q88" i="43"/>
  <c r="R88" i="43"/>
  <c r="S88" i="43"/>
  <c r="T88" i="43"/>
  <c r="U88" i="43"/>
  <c r="V88" i="43"/>
  <c r="W88" i="43"/>
  <c r="C88" i="43"/>
  <c r="D86" i="38"/>
  <c r="E86" i="38"/>
  <c r="F86" i="38"/>
  <c r="G86" i="38"/>
  <c r="C86" i="38"/>
  <c r="D65" i="55"/>
  <c r="E65" i="55"/>
  <c r="F65" i="55"/>
  <c r="G65" i="55"/>
  <c r="H65" i="55"/>
  <c r="I65" i="55"/>
  <c r="J65" i="55"/>
  <c r="K65" i="55"/>
  <c r="L65" i="55"/>
  <c r="M65" i="55"/>
  <c r="N65" i="55"/>
  <c r="O65" i="55"/>
  <c r="P65" i="55"/>
  <c r="Q65" i="55"/>
  <c r="R65" i="55"/>
  <c r="S65" i="55"/>
  <c r="T65" i="55"/>
  <c r="U65" i="55"/>
  <c r="V65" i="55"/>
  <c r="W65" i="55"/>
  <c r="C65" i="55"/>
  <c r="D77" i="55"/>
  <c r="E77" i="55"/>
  <c r="F77" i="55"/>
  <c r="G77" i="55"/>
  <c r="H77" i="55"/>
  <c r="I77" i="55"/>
  <c r="J77" i="55"/>
  <c r="K77" i="55"/>
  <c r="L77" i="55"/>
  <c r="M77" i="55"/>
  <c r="N77" i="55"/>
  <c r="O77" i="55"/>
  <c r="P77" i="55"/>
  <c r="Q77" i="55"/>
  <c r="R77" i="55"/>
  <c r="S77" i="55"/>
  <c r="T77" i="55"/>
  <c r="U77" i="55"/>
  <c r="V77" i="55"/>
  <c r="W77" i="55"/>
  <c r="C77" i="55"/>
  <c r="D89" i="55"/>
  <c r="E89" i="55"/>
  <c r="F89" i="55"/>
  <c r="G89" i="55"/>
  <c r="H89" i="55"/>
  <c r="I89" i="55"/>
  <c r="J89" i="55"/>
  <c r="K89" i="55"/>
  <c r="L89" i="55"/>
  <c r="M89" i="55"/>
  <c r="N89" i="55"/>
  <c r="O89" i="55"/>
  <c r="P89" i="55"/>
  <c r="Q89" i="55"/>
  <c r="R89" i="55"/>
  <c r="S89" i="55"/>
  <c r="T89" i="55"/>
  <c r="U89" i="55"/>
  <c r="V89" i="55"/>
  <c r="W89" i="55"/>
  <c r="C89" i="55"/>
  <c r="D113" i="55"/>
  <c r="E113" i="55"/>
  <c r="F113" i="55"/>
  <c r="G113" i="55"/>
  <c r="H113" i="55"/>
  <c r="I113" i="55"/>
  <c r="J113" i="55"/>
  <c r="K113" i="55"/>
  <c r="L113" i="55"/>
  <c r="M113" i="55"/>
  <c r="N113" i="55"/>
  <c r="O113" i="55"/>
  <c r="P113" i="55"/>
  <c r="Q113" i="55"/>
  <c r="R113" i="55"/>
  <c r="S113" i="55"/>
  <c r="T113" i="55"/>
  <c r="U113" i="55"/>
  <c r="V113" i="55"/>
  <c r="W113" i="55"/>
  <c r="C113" i="55"/>
  <c r="D101" i="55"/>
  <c r="E101" i="55"/>
  <c r="F101" i="55"/>
  <c r="G101" i="55"/>
  <c r="H101" i="55"/>
  <c r="I101" i="55"/>
  <c r="J101" i="55"/>
  <c r="K101" i="55"/>
  <c r="L101" i="55"/>
  <c r="M101" i="55"/>
  <c r="N101" i="55"/>
  <c r="O101" i="55"/>
  <c r="P101" i="55"/>
  <c r="Q101" i="55"/>
  <c r="R101" i="55"/>
  <c r="S101" i="55"/>
  <c r="T101" i="55"/>
  <c r="U101" i="55"/>
  <c r="V101" i="55"/>
  <c r="W101" i="55"/>
  <c r="C101" i="55"/>
  <c r="D99" i="55"/>
  <c r="E99" i="55"/>
  <c r="F99" i="55"/>
  <c r="G99" i="55"/>
  <c r="H99" i="55"/>
  <c r="I99" i="55"/>
  <c r="J99" i="55"/>
  <c r="K99" i="55"/>
  <c r="L99" i="55"/>
  <c r="M99" i="55"/>
  <c r="N99" i="55"/>
  <c r="O99" i="55"/>
  <c r="P99" i="55"/>
  <c r="Q99" i="55"/>
  <c r="R99" i="55"/>
  <c r="S99" i="55"/>
  <c r="T99" i="55"/>
  <c r="U99" i="55"/>
  <c r="V99" i="55"/>
  <c r="W99" i="55"/>
  <c r="C99" i="55"/>
  <c r="D68" i="43"/>
  <c r="E68" i="43"/>
  <c r="F68" i="43"/>
  <c r="G68" i="43"/>
  <c r="H68" i="43"/>
  <c r="I68" i="43"/>
  <c r="J68" i="43"/>
  <c r="K68" i="43"/>
  <c r="L68" i="43"/>
  <c r="M68" i="43"/>
  <c r="N68" i="43"/>
  <c r="O68" i="43"/>
  <c r="P68" i="43"/>
  <c r="Q68" i="43"/>
  <c r="R68" i="43"/>
  <c r="S68" i="43"/>
  <c r="T68" i="43"/>
  <c r="U68" i="43"/>
  <c r="V68" i="43"/>
  <c r="W68" i="43"/>
  <c r="C68" i="43"/>
  <c r="H15" i="38"/>
  <c r="D47" i="38" l="1"/>
  <c r="E47" i="38"/>
  <c r="F47" i="38"/>
  <c r="G47" i="38"/>
  <c r="H47" i="38"/>
  <c r="C47" i="38"/>
  <c r="D46" i="38"/>
  <c r="E46" i="38"/>
  <c r="F46" i="38"/>
  <c r="G46" i="38"/>
  <c r="H46" i="38"/>
  <c r="C46" i="38"/>
  <c r="N4" i="45" l="1"/>
  <c r="N6" i="45"/>
  <c r="N7" i="45"/>
  <c r="AG6" i="45" l="1"/>
  <c r="AH6" i="45"/>
  <c r="AG7" i="45"/>
  <c r="AH7" i="45"/>
  <c r="AG8" i="45"/>
  <c r="AH8" i="45"/>
  <c r="W10" i="45"/>
  <c r="X10" i="45"/>
  <c r="W13" i="45"/>
  <c r="W14" i="45"/>
  <c r="X13" i="45"/>
  <c r="X14" i="45"/>
  <c r="AH5" i="45" l="1"/>
  <c r="AH9" i="45"/>
  <c r="AH10" i="45"/>
  <c r="AH11" i="45"/>
  <c r="AH12" i="45"/>
  <c r="AH13" i="45"/>
  <c r="AH14" i="45"/>
  <c r="AG5" i="45"/>
  <c r="AG9" i="45"/>
  <c r="AG10" i="45"/>
  <c r="AG11" i="45"/>
  <c r="AG12" i="45"/>
  <c r="AG13" i="45"/>
  <c r="AG14" i="45"/>
  <c r="X4" i="45"/>
  <c r="X5" i="45"/>
  <c r="X6" i="45"/>
  <c r="X7" i="45"/>
  <c r="X8" i="45"/>
  <c r="X9" i="45"/>
  <c r="X11" i="45"/>
  <c r="X12" i="45"/>
  <c r="W5" i="45"/>
  <c r="W6" i="45"/>
  <c r="W7" i="45"/>
  <c r="W8" i="45"/>
  <c r="W9" i="45"/>
  <c r="W11" i="45"/>
  <c r="W12" i="45"/>
  <c r="W4" i="45"/>
  <c r="V13" i="50" l="1"/>
  <c r="U11" i="45"/>
  <c r="U12" i="45"/>
  <c r="AF10" i="45"/>
  <c r="AD10" i="45"/>
  <c r="AD13" i="45"/>
  <c r="B79" i="61" s="1"/>
  <c r="AD14" i="45"/>
  <c r="B80" i="61" s="1"/>
  <c r="AA11" i="45"/>
  <c r="AC9" i="45"/>
  <c r="B71" i="58" s="1"/>
  <c r="AC10" i="45"/>
  <c r="B72" i="58" s="1"/>
  <c r="AC11" i="45"/>
  <c r="AC12" i="45"/>
  <c r="AC13" i="45"/>
  <c r="B103" i="61" s="1"/>
  <c r="AC14" i="45"/>
  <c r="B104" i="61" s="1"/>
  <c r="Z10" i="45"/>
  <c r="Z12" i="45"/>
  <c r="Z13" i="45"/>
  <c r="Z14" i="45"/>
  <c r="G4" i="45"/>
  <c r="G5" i="45"/>
  <c r="Q14" i="45"/>
  <c r="AA14" i="45" s="1"/>
  <c r="Q13" i="45"/>
  <c r="AA13" i="45" s="1"/>
  <c r="Q12" i="45"/>
  <c r="AA12" i="45" s="1"/>
  <c r="V13" i="45"/>
  <c r="AF13" i="45" s="1"/>
  <c r="C27" i="61" s="1"/>
  <c r="V5" i="45"/>
  <c r="AF5" i="45" s="1"/>
  <c r="C5" i="57" s="1"/>
  <c r="V6" i="45"/>
  <c r="V7" i="45"/>
  <c r="V8" i="45"/>
  <c r="C10" i="51" s="1"/>
  <c r="V9" i="45"/>
  <c r="C21" i="51" s="1"/>
  <c r="V11" i="45"/>
  <c r="AF11" i="45" s="1"/>
  <c r="C5" i="61" s="1"/>
  <c r="V12" i="45"/>
  <c r="C23" i="55" s="1"/>
  <c r="V4" i="45"/>
  <c r="C10" i="48" s="1"/>
  <c r="U14" i="45"/>
  <c r="C44" i="55" s="1"/>
  <c r="U13" i="45"/>
  <c r="U5" i="45"/>
  <c r="U6" i="45"/>
  <c r="C11" i="55"/>
  <c r="C22" i="55"/>
  <c r="U4" i="45"/>
  <c r="Y10" i="45"/>
  <c r="P10" i="45"/>
  <c r="T5" i="45"/>
  <c r="AD5" i="45" s="1"/>
  <c r="B38" i="57" s="1"/>
  <c r="T6" i="45"/>
  <c r="T7" i="45"/>
  <c r="Q7" i="45" s="1"/>
  <c r="T8" i="45"/>
  <c r="Q8" i="45" s="1"/>
  <c r="T9" i="45"/>
  <c r="Q9" i="45" s="1"/>
  <c r="AA9" i="45" s="1"/>
  <c r="T11" i="45"/>
  <c r="P11" i="45" s="1"/>
  <c r="Z11" i="45" s="1"/>
  <c r="T12" i="45"/>
  <c r="T4" i="45"/>
  <c r="P4" i="45" s="1"/>
  <c r="S5" i="45"/>
  <c r="AC5" i="45" s="1"/>
  <c r="B56" i="57" s="1"/>
  <c r="S6" i="45"/>
  <c r="B106" i="48" s="1"/>
  <c r="S7" i="45"/>
  <c r="B107" i="48" s="1"/>
  <c r="B101" i="61"/>
  <c r="B110" i="55"/>
  <c r="S4" i="45"/>
  <c r="P5" i="45"/>
  <c r="Z5" i="45" s="1"/>
  <c r="Q6" i="45"/>
  <c r="P6" i="45"/>
  <c r="B69" i="43"/>
  <c r="D28" i="38"/>
  <c r="D28" i="51" s="1"/>
  <c r="D17" i="38"/>
  <c r="D17" i="51" s="1"/>
  <c r="K9" i="45"/>
  <c r="U9" i="45" s="1"/>
  <c r="C20" i="51" s="1"/>
  <c r="K8" i="45"/>
  <c r="C9" i="38" s="1"/>
  <c r="C28" i="51"/>
  <c r="C17" i="51"/>
  <c r="B85" i="35"/>
  <c r="B84" i="35"/>
  <c r="B83" i="35"/>
  <c r="B82" i="35"/>
  <c r="K7" i="45"/>
  <c r="C31" i="35" s="1"/>
  <c r="G11" i="45"/>
  <c r="G9" i="45"/>
  <c r="B67" i="38" s="1"/>
  <c r="G8" i="45"/>
  <c r="B66" i="38" s="1"/>
  <c r="G7" i="45"/>
  <c r="G6" i="45"/>
  <c r="AB10" i="45"/>
  <c r="B52" i="58"/>
  <c r="AB11" i="45"/>
  <c r="AB12" i="45"/>
  <c r="B102" i="61"/>
  <c r="AB13" i="45"/>
  <c r="AB14" i="45"/>
  <c r="AB9" i="45"/>
  <c r="AB5" i="45"/>
  <c r="C37" i="61"/>
  <c r="C26" i="61"/>
  <c r="C15" i="61"/>
  <c r="C4" i="61"/>
  <c r="C16" i="58"/>
  <c r="C15" i="58"/>
  <c r="C4" i="58"/>
  <c r="C4" i="57"/>
  <c r="C34" i="55"/>
  <c r="C33" i="55"/>
  <c r="C12" i="55"/>
  <c r="C32" i="51"/>
  <c r="C31" i="51"/>
  <c r="C42" i="48"/>
  <c r="C32" i="48"/>
  <c r="C21" i="48"/>
  <c r="C20" i="48"/>
  <c r="C9" i="48"/>
  <c r="C23" i="43"/>
  <c r="C22" i="43"/>
  <c r="C12" i="43"/>
  <c r="C11" i="43"/>
  <c r="C21" i="38"/>
  <c r="C20" i="38"/>
  <c r="C10" i="38"/>
  <c r="C43" i="35"/>
  <c r="C42" i="35"/>
  <c r="C32" i="35"/>
  <c r="C21" i="35"/>
  <c r="C20" i="35"/>
  <c r="C10" i="35"/>
  <c r="C9" i="35"/>
  <c r="Q11" i="45"/>
  <c r="P8" i="45"/>
  <c r="Q10" i="45"/>
  <c r="AA10" i="45" s="1"/>
  <c r="U18" i="50"/>
  <c r="U19" i="50"/>
  <c r="U20" i="50"/>
  <c r="U17" i="50"/>
  <c r="U13" i="50"/>
  <c r="W13" i="50" s="1"/>
  <c r="U12" i="50"/>
  <c r="U6" i="50"/>
  <c r="B94" i="48"/>
  <c r="B97" i="35"/>
  <c r="B96" i="35"/>
  <c r="B95" i="35"/>
  <c r="B94" i="35"/>
  <c r="K17" i="50"/>
  <c r="A17" i="50"/>
  <c r="A112" i="61"/>
  <c r="A111" i="61"/>
  <c r="A104" i="61"/>
  <c r="A103" i="61"/>
  <c r="A102" i="61"/>
  <c r="A101" i="61"/>
  <c r="A92" i="61"/>
  <c r="A91" i="61"/>
  <c r="A90" i="61"/>
  <c r="A89" i="61"/>
  <c r="A80" i="61"/>
  <c r="A79" i="61"/>
  <c r="A78" i="61"/>
  <c r="A77" i="61"/>
  <c r="A68" i="61"/>
  <c r="A67" i="61"/>
  <c r="A66" i="61"/>
  <c r="A65" i="61"/>
  <c r="C43" i="61"/>
  <c r="C32" i="61"/>
  <c r="D32" i="61" s="1"/>
  <c r="E32" i="61" s="1"/>
  <c r="F32" i="61" s="1"/>
  <c r="G32" i="61" s="1"/>
  <c r="H32" i="61" s="1"/>
  <c r="I32" i="61" s="1"/>
  <c r="J32" i="61" s="1"/>
  <c r="K32" i="61" s="1"/>
  <c r="L32" i="61" s="1"/>
  <c r="M32" i="61" s="1"/>
  <c r="N32" i="61" s="1"/>
  <c r="O32" i="61" s="1"/>
  <c r="P32" i="61" s="1"/>
  <c r="Q32" i="61" s="1"/>
  <c r="R32" i="61" s="1"/>
  <c r="S32" i="61" s="1"/>
  <c r="C21" i="61"/>
  <c r="D21" i="61" s="1"/>
  <c r="E21" i="61" s="1"/>
  <c r="F21" i="61" s="1"/>
  <c r="G21" i="61" s="1"/>
  <c r="H21" i="61" s="1"/>
  <c r="I21" i="61" s="1"/>
  <c r="C10" i="61"/>
  <c r="B111" i="55"/>
  <c r="B109" i="55"/>
  <c r="A108" i="55"/>
  <c r="A96" i="55"/>
  <c r="A84" i="55"/>
  <c r="A72" i="55"/>
  <c r="D19" i="55"/>
  <c r="E19" i="55"/>
  <c r="F19" i="55"/>
  <c r="G19" i="55"/>
  <c r="H19" i="55"/>
  <c r="I19" i="55"/>
  <c r="J19" i="55"/>
  <c r="K19" i="55"/>
  <c r="L19" i="55"/>
  <c r="M19" i="55"/>
  <c r="N19" i="55"/>
  <c r="O19" i="55"/>
  <c r="P19" i="55"/>
  <c r="Q19" i="55"/>
  <c r="R19" i="55"/>
  <c r="S19" i="55"/>
  <c r="T19" i="55"/>
  <c r="U19" i="55"/>
  <c r="V19" i="55"/>
  <c r="W19" i="55"/>
  <c r="C19" i="55"/>
  <c r="C17" i="55"/>
  <c r="D17" i="55" s="1"/>
  <c r="E17" i="55" s="1"/>
  <c r="F17" i="55" s="1"/>
  <c r="G17" i="55" s="1"/>
  <c r="H17" i="55" s="1"/>
  <c r="I17" i="55" s="1"/>
  <c r="J17" i="55" s="1"/>
  <c r="K17" i="55" s="1"/>
  <c r="L17" i="55" s="1"/>
  <c r="M17" i="55" s="1"/>
  <c r="N17" i="55" s="1"/>
  <c r="O17" i="55" s="1"/>
  <c r="P17" i="55" s="1"/>
  <c r="Q17" i="55" s="1"/>
  <c r="R17" i="55" s="1"/>
  <c r="S17" i="55" s="1"/>
  <c r="T17" i="55" s="1"/>
  <c r="U17" i="55" s="1"/>
  <c r="V17" i="55" s="1"/>
  <c r="W17" i="55" s="1"/>
  <c r="W8" i="55"/>
  <c r="W7" i="55" s="1"/>
  <c r="W6" i="55" s="1"/>
  <c r="V8" i="55"/>
  <c r="V7" i="55" s="1"/>
  <c r="U8" i="55"/>
  <c r="U7" i="55" s="1"/>
  <c r="T8" i="55"/>
  <c r="T7" i="55" s="1"/>
  <c r="T6" i="55" s="1"/>
  <c r="S8" i="55"/>
  <c r="S7" i="55" s="1"/>
  <c r="S6" i="55" s="1"/>
  <c r="R8" i="55"/>
  <c r="R7" i="55" s="1"/>
  <c r="R6" i="55" s="1"/>
  <c r="Q8" i="55"/>
  <c r="Q7" i="55" s="1"/>
  <c r="Q6" i="55" s="1"/>
  <c r="P8" i="55"/>
  <c r="P7" i="55" s="1"/>
  <c r="P6" i="55" s="1"/>
  <c r="O8" i="55"/>
  <c r="O7" i="55" s="1"/>
  <c r="O6" i="55" s="1"/>
  <c r="N8" i="55"/>
  <c r="N7" i="55" s="1"/>
  <c r="M8" i="55"/>
  <c r="M7" i="55" s="1"/>
  <c r="L8" i="55"/>
  <c r="L7" i="55" s="1"/>
  <c r="L6" i="55" s="1"/>
  <c r="K8" i="55"/>
  <c r="K7" i="55" s="1"/>
  <c r="K6" i="55" s="1"/>
  <c r="J8" i="55"/>
  <c r="J7" i="55" s="1"/>
  <c r="J6" i="55" s="1"/>
  <c r="I8" i="55"/>
  <c r="I7" i="55" s="1"/>
  <c r="I6" i="55" s="1"/>
  <c r="H8" i="55"/>
  <c r="H7" i="55" s="1"/>
  <c r="H6" i="55" s="1"/>
  <c r="G8" i="55"/>
  <c r="G7" i="55" s="1"/>
  <c r="G6" i="55" s="1"/>
  <c r="F8" i="55"/>
  <c r="F7" i="55" s="1"/>
  <c r="E8" i="55"/>
  <c r="E7" i="55" s="1"/>
  <c r="D8" i="55"/>
  <c r="D7" i="55" s="1"/>
  <c r="D6" i="55" s="1"/>
  <c r="C8" i="55"/>
  <c r="C7" i="55" s="1"/>
  <c r="J7" i="43"/>
  <c r="J6" i="43" s="1"/>
  <c r="N7" i="43"/>
  <c r="N6" i="43" s="1"/>
  <c r="D8" i="43"/>
  <c r="D7" i="43" s="1"/>
  <c r="D6" i="43" s="1"/>
  <c r="E8" i="43"/>
  <c r="E7" i="43" s="1"/>
  <c r="E6" i="43" s="1"/>
  <c r="F8" i="43"/>
  <c r="F7" i="43" s="1"/>
  <c r="F6" i="43" s="1"/>
  <c r="G8" i="43"/>
  <c r="G7" i="43" s="1"/>
  <c r="G6" i="43" s="1"/>
  <c r="H8" i="43"/>
  <c r="H7" i="43" s="1"/>
  <c r="H6" i="43" s="1"/>
  <c r="I8" i="43"/>
  <c r="I7" i="43" s="1"/>
  <c r="I6" i="43" s="1"/>
  <c r="J8" i="43"/>
  <c r="K8" i="43"/>
  <c r="K7" i="43" s="1"/>
  <c r="K6" i="43" s="1"/>
  <c r="L8" i="43"/>
  <c r="L7" i="43" s="1"/>
  <c r="L6" i="43" s="1"/>
  <c r="M8" i="43"/>
  <c r="M7" i="43" s="1"/>
  <c r="M6" i="43" s="1"/>
  <c r="N8" i="43"/>
  <c r="O8" i="43"/>
  <c r="O7" i="43" s="1"/>
  <c r="O6" i="43" s="1"/>
  <c r="P8" i="43"/>
  <c r="P7" i="43" s="1"/>
  <c r="P6" i="43" s="1"/>
  <c r="Q8" i="43"/>
  <c r="Q7" i="43" s="1"/>
  <c r="Q6" i="43" s="1"/>
  <c r="R8" i="43"/>
  <c r="R7" i="43" s="1"/>
  <c r="R6" i="43" s="1"/>
  <c r="S8" i="43"/>
  <c r="S7" i="43" s="1"/>
  <c r="S6" i="43" s="1"/>
  <c r="T8" i="43"/>
  <c r="T7" i="43" s="1"/>
  <c r="T6" i="43" s="1"/>
  <c r="U8" i="43"/>
  <c r="U7" i="43" s="1"/>
  <c r="U6" i="43" s="1"/>
  <c r="V8" i="43"/>
  <c r="V7" i="43" s="1"/>
  <c r="V6" i="43" s="1"/>
  <c r="W8" i="43"/>
  <c r="W7" i="43" s="1"/>
  <c r="W6" i="43" s="1"/>
  <c r="C8" i="43"/>
  <c r="C7" i="43" s="1"/>
  <c r="C6" i="43" s="1"/>
  <c r="B78" i="43"/>
  <c r="B68" i="43"/>
  <c r="B58" i="43"/>
  <c r="A78" i="43"/>
  <c r="A68" i="43"/>
  <c r="A58" i="43"/>
  <c r="A48" i="43"/>
  <c r="C17" i="43"/>
  <c r="D17" i="43" s="1"/>
  <c r="E17" i="43" s="1"/>
  <c r="F17" i="43" s="1"/>
  <c r="G17" i="43" s="1"/>
  <c r="H17" i="43" s="1"/>
  <c r="I17" i="43" s="1"/>
  <c r="J17" i="43" s="1"/>
  <c r="K17" i="43" s="1"/>
  <c r="L17" i="43" s="1"/>
  <c r="M17" i="43" s="1"/>
  <c r="N17" i="43" s="1"/>
  <c r="O17" i="43" s="1"/>
  <c r="P17" i="43" s="1"/>
  <c r="Q17" i="43" s="1"/>
  <c r="R17" i="43" s="1"/>
  <c r="S17" i="43" s="1"/>
  <c r="T17" i="43" s="1"/>
  <c r="U17" i="43" s="1"/>
  <c r="V17" i="43" s="1"/>
  <c r="W17" i="43" s="1"/>
  <c r="A80" i="58"/>
  <c r="A79" i="58"/>
  <c r="A72" i="58"/>
  <c r="A71" i="58"/>
  <c r="A62" i="58"/>
  <c r="A61" i="58"/>
  <c r="A52" i="58"/>
  <c r="A51" i="58"/>
  <c r="A42" i="58"/>
  <c r="A41" i="58"/>
  <c r="C21" i="58"/>
  <c r="C10" i="58"/>
  <c r="D10" i="58" s="1"/>
  <c r="E10" i="58" s="1"/>
  <c r="A64" i="57"/>
  <c r="A63" i="57"/>
  <c r="A56" i="57"/>
  <c r="A47" i="57"/>
  <c r="A38" i="57"/>
  <c r="A29" i="57"/>
  <c r="C10" i="57"/>
  <c r="D10" i="57" s="1"/>
  <c r="E10" i="57" s="1"/>
  <c r="F10" i="57" s="1"/>
  <c r="K20" i="50"/>
  <c r="K19" i="50"/>
  <c r="K18" i="50"/>
  <c r="A119" i="55"/>
  <c r="A118" i="55"/>
  <c r="B99" i="55"/>
  <c r="B86" i="55"/>
  <c r="B87" i="55"/>
  <c r="B92" i="51"/>
  <c r="B91" i="51"/>
  <c r="A100" i="51"/>
  <c r="A101" i="51"/>
  <c r="B69" i="51"/>
  <c r="B83" i="48"/>
  <c r="B82" i="48"/>
  <c r="A116" i="48"/>
  <c r="A117" i="48"/>
  <c r="B108" i="48"/>
  <c r="A107" i="48"/>
  <c r="A108" i="48"/>
  <c r="A109" i="48"/>
  <c r="A106" i="48"/>
  <c r="A96" i="48"/>
  <c r="A87" i="43"/>
  <c r="A86" i="43"/>
  <c r="B79" i="43"/>
  <c r="B77" i="38"/>
  <c r="B76" i="38"/>
  <c r="B57" i="38"/>
  <c r="B56" i="38"/>
  <c r="A117" i="35"/>
  <c r="B109" i="35"/>
  <c r="B108" i="35"/>
  <c r="B107" i="35"/>
  <c r="B106" i="35"/>
  <c r="D30" i="55"/>
  <c r="E30" i="55"/>
  <c r="F30" i="55"/>
  <c r="G30" i="55"/>
  <c r="H30" i="55"/>
  <c r="I30" i="55"/>
  <c r="J30" i="55"/>
  <c r="K30" i="55"/>
  <c r="L30" i="55"/>
  <c r="M30" i="55"/>
  <c r="N30" i="55"/>
  <c r="O30" i="55"/>
  <c r="P30" i="55"/>
  <c r="Q30" i="55"/>
  <c r="R30" i="55"/>
  <c r="S30" i="55"/>
  <c r="T30" i="55"/>
  <c r="U30" i="55"/>
  <c r="V30" i="55"/>
  <c r="W30" i="55"/>
  <c r="C30" i="55"/>
  <c r="B59" i="43"/>
  <c r="A18" i="50"/>
  <c r="K13" i="50"/>
  <c r="K14" i="50"/>
  <c r="K12" i="50"/>
  <c r="K7" i="50"/>
  <c r="K8" i="50"/>
  <c r="K9" i="50"/>
  <c r="K6" i="50"/>
  <c r="A13" i="50"/>
  <c r="A12" i="50"/>
  <c r="A7" i="50"/>
  <c r="A8" i="50"/>
  <c r="A9" i="50"/>
  <c r="A6" i="50"/>
  <c r="A92" i="51"/>
  <c r="A93" i="51"/>
  <c r="A91" i="51"/>
  <c r="A82" i="51"/>
  <c r="A71" i="51"/>
  <c r="A60" i="51"/>
  <c r="A109" i="55"/>
  <c r="A110" i="55"/>
  <c r="A111" i="55"/>
  <c r="A99" i="55"/>
  <c r="A87" i="55"/>
  <c r="A75" i="55"/>
  <c r="C50" i="55"/>
  <c r="D50" i="55" s="1"/>
  <c r="E50" i="55" s="1"/>
  <c r="F50" i="55" s="1"/>
  <c r="G50" i="55" s="1"/>
  <c r="H50" i="55" s="1"/>
  <c r="I50" i="55" s="1"/>
  <c r="J50" i="55" s="1"/>
  <c r="K50" i="55" s="1"/>
  <c r="L50" i="55" s="1"/>
  <c r="M50" i="55" s="1"/>
  <c r="N50" i="55" s="1"/>
  <c r="O50" i="55" s="1"/>
  <c r="P50" i="55" s="1"/>
  <c r="Q50" i="55" s="1"/>
  <c r="R50" i="55" s="1"/>
  <c r="S50" i="55" s="1"/>
  <c r="T50" i="55" s="1"/>
  <c r="U50" i="55" s="1"/>
  <c r="V50" i="55" s="1"/>
  <c r="W50" i="55" s="1"/>
  <c r="AA13" i="50" l="1"/>
  <c r="W12" i="50"/>
  <c r="W15" i="50" s="1"/>
  <c r="V12" i="50"/>
  <c r="Y13" i="50"/>
  <c r="AC17" i="50"/>
  <c r="AA17" i="50"/>
  <c r="Y17" i="50"/>
  <c r="AB17" i="50"/>
  <c r="Z17" i="50"/>
  <c r="X17" i="50"/>
  <c r="W17" i="50"/>
  <c r="V17" i="50"/>
  <c r="Z13" i="50"/>
  <c r="AC13" i="50"/>
  <c r="AC19" i="50"/>
  <c r="AA19" i="50"/>
  <c r="Y19" i="50"/>
  <c r="W19" i="50"/>
  <c r="AB19" i="50"/>
  <c r="Z19" i="50"/>
  <c r="X19" i="50"/>
  <c r="V19" i="50"/>
  <c r="V18" i="50"/>
  <c r="W18" i="50"/>
  <c r="AC18" i="50"/>
  <c r="AA18" i="50"/>
  <c r="Y18" i="50"/>
  <c r="AB18" i="50"/>
  <c r="Z18" i="50"/>
  <c r="X18" i="50"/>
  <c r="X13" i="50"/>
  <c r="AA6" i="50"/>
  <c r="AA10" i="50" s="1"/>
  <c r="W6" i="50"/>
  <c r="W10" i="50" s="1"/>
  <c r="Z6" i="50"/>
  <c r="Z10" i="50" s="1"/>
  <c r="V6" i="50"/>
  <c r="AC6" i="50"/>
  <c r="AC10" i="50" s="1"/>
  <c r="Y6" i="50"/>
  <c r="Y10" i="50" s="1"/>
  <c r="AB6" i="50"/>
  <c r="AB10" i="50" s="1"/>
  <c r="X6" i="50"/>
  <c r="X10" i="50" s="1"/>
  <c r="AC20" i="50"/>
  <c r="AA20" i="50"/>
  <c r="Y20" i="50"/>
  <c r="V20" i="50"/>
  <c r="AB20" i="50"/>
  <c r="Z20" i="50"/>
  <c r="X20" i="50"/>
  <c r="W20" i="50"/>
  <c r="AB13" i="50"/>
  <c r="L7" i="50"/>
  <c r="M7" i="50"/>
  <c r="R19" i="50"/>
  <c r="P19" i="50"/>
  <c r="N19" i="50"/>
  <c r="L19" i="50"/>
  <c r="S19" i="50"/>
  <c r="Q19" i="50"/>
  <c r="M19" i="50"/>
  <c r="O19" i="50"/>
  <c r="R17" i="50"/>
  <c r="P17" i="50"/>
  <c r="N17" i="50"/>
  <c r="L17" i="50"/>
  <c r="S17" i="50"/>
  <c r="O17" i="50"/>
  <c r="Q17" i="50"/>
  <c r="M17" i="50"/>
  <c r="L6" i="50"/>
  <c r="M6" i="50"/>
  <c r="L12" i="50"/>
  <c r="M12" i="50"/>
  <c r="S20" i="50"/>
  <c r="Q20" i="50"/>
  <c r="O20" i="50"/>
  <c r="M20" i="50"/>
  <c r="R20" i="50"/>
  <c r="P20" i="50"/>
  <c r="N20" i="50"/>
  <c r="L20" i="50"/>
  <c r="S9" i="50"/>
  <c r="Q9" i="50"/>
  <c r="O9" i="50"/>
  <c r="M9" i="50"/>
  <c r="R9" i="50"/>
  <c r="N9" i="50"/>
  <c r="P9" i="50"/>
  <c r="L9" i="50"/>
  <c r="P14" i="50"/>
  <c r="L14" i="50"/>
  <c r="S14" i="50"/>
  <c r="O14" i="50"/>
  <c r="R14" i="50"/>
  <c r="N14" i="50"/>
  <c r="Q14" i="50"/>
  <c r="M14" i="50"/>
  <c r="M8" i="50"/>
  <c r="L8" i="50"/>
  <c r="M13" i="50"/>
  <c r="L13" i="50"/>
  <c r="S18" i="50"/>
  <c r="Q18" i="50"/>
  <c r="O18" i="50"/>
  <c r="M18" i="50"/>
  <c r="R18" i="50"/>
  <c r="P18" i="50"/>
  <c r="N18" i="50"/>
  <c r="L18" i="50"/>
  <c r="G18" i="50"/>
  <c r="C18" i="50"/>
  <c r="I18" i="50"/>
  <c r="E18" i="50"/>
  <c r="H18" i="50"/>
  <c r="D18" i="50"/>
  <c r="F18" i="50"/>
  <c r="B18" i="50"/>
  <c r="I17" i="50"/>
  <c r="E17" i="50"/>
  <c r="G17" i="50"/>
  <c r="B17" i="50"/>
  <c r="H17" i="50"/>
  <c r="H21" i="50" s="1"/>
  <c r="D17" i="50"/>
  <c r="D21" i="50" s="1"/>
  <c r="C17" i="50"/>
  <c r="F17" i="50"/>
  <c r="C8" i="50"/>
  <c r="B8" i="50"/>
  <c r="B6" i="50"/>
  <c r="C6" i="50"/>
  <c r="I9" i="50"/>
  <c r="E9" i="50"/>
  <c r="G9" i="50"/>
  <c r="F9" i="50"/>
  <c r="H9" i="50"/>
  <c r="D9" i="50"/>
  <c r="C9" i="50"/>
  <c r="B9" i="50"/>
  <c r="B7" i="50"/>
  <c r="C7" i="50"/>
  <c r="AF9" i="45"/>
  <c r="C5" i="58" s="1"/>
  <c r="B109" i="48"/>
  <c r="B70" i="51"/>
  <c r="P9" i="45"/>
  <c r="Z9" i="45" s="1"/>
  <c r="B84" i="48"/>
  <c r="Q4" i="45"/>
  <c r="B96" i="48" s="1"/>
  <c r="B78" i="61"/>
  <c r="U8" i="45"/>
  <c r="C9" i="51" s="1"/>
  <c r="V14" i="45"/>
  <c r="AD12" i="45"/>
  <c r="AF12" i="45"/>
  <c r="C16" i="61" s="1"/>
  <c r="C43" i="48"/>
  <c r="Q5" i="45"/>
  <c r="AA5" i="45" s="1"/>
  <c r="AD9" i="45"/>
  <c r="B51" i="58" s="1"/>
  <c r="B85" i="48"/>
  <c r="U7" i="45"/>
  <c r="C31" i="48" s="1"/>
  <c r="AD11" i="45"/>
  <c r="B77" i="61" s="1"/>
  <c r="J48" i="43"/>
  <c r="J58" i="43" s="1"/>
  <c r="J78" i="43" s="1"/>
  <c r="G48" i="43"/>
  <c r="G38" i="43" s="1"/>
  <c r="B61" i="58"/>
  <c r="B92" i="61"/>
  <c r="H72" i="55"/>
  <c r="I60" i="55" s="1"/>
  <c r="S72" i="55"/>
  <c r="Q72" i="55"/>
  <c r="P72" i="55"/>
  <c r="K72" i="55"/>
  <c r="T72" i="55"/>
  <c r="T60" i="55" s="1"/>
  <c r="L72" i="55"/>
  <c r="I72" i="55"/>
  <c r="D72" i="55"/>
  <c r="J72" i="55"/>
  <c r="G72" i="55"/>
  <c r="V72" i="55"/>
  <c r="N72" i="55"/>
  <c r="F72" i="55"/>
  <c r="R72" i="55"/>
  <c r="W72" i="55"/>
  <c r="W60" i="55" s="1"/>
  <c r="O72" i="55"/>
  <c r="O60" i="55" s="1"/>
  <c r="U72" i="55"/>
  <c r="M72" i="55"/>
  <c r="E72" i="55"/>
  <c r="B71" i="51"/>
  <c r="B82" i="51"/>
  <c r="B89" i="61"/>
  <c r="B91" i="61"/>
  <c r="B98" i="55"/>
  <c r="B85" i="55"/>
  <c r="B97" i="48"/>
  <c r="B47" i="57"/>
  <c r="B84" i="55"/>
  <c r="H84" i="55" s="1"/>
  <c r="B81" i="51"/>
  <c r="B80" i="51"/>
  <c r="B62" i="58"/>
  <c r="P7" i="45"/>
  <c r="B95" i="48" s="1"/>
  <c r="B108" i="55"/>
  <c r="B93" i="51"/>
  <c r="E28" i="38"/>
  <c r="E17" i="38"/>
  <c r="E48" i="43"/>
  <c r="E58" i="43" s="1"/>
  <c r="E78" i="43" s="1"/>
  <c r="U48" i="43"/>
  <c r="U58" i="43" s="1"/>
  <c r="U78" i="43" s="1"/>
  <c r="O48" i="43"/>
  <c r="O58" i="43" s="1"/>
  <c r="O78" i="43" s="1"/>
  <c r="S48" i="43"/>
  <c r="S58" i="43" s="1"/>
  <c r="S78" i="43" s="1"/>
  <c r="I48" i="43"/>
  <c r="I38" i="43" s="1"/>
  <c r="W48" i="43"/>
  <c r="W58" i="43" s="1"/>
  <c r="W78" i="43" s="1"/>
  <c r="R48" i="43"/>
  <c r="R38" i="43" s="1"/>
  <c r="M48" i="43"/>
  <c r="M58" i="43" s="1"/>
  <c r="V48" i="43"/>
  <c r="V38" i="43" s="1"/>
  <c r="Q48" i="43"/>
  <c r="Q38" i="43" s="1"/>
  <c r="K48" i="43"/>
  <c r="K58" i="43" s="1"/>
  <c r="K78" i="43" s="1"/>
  <c r="F48" i="43"/>
  <c r="F38" i="43" s="1"/>
  <c r="N48" i="43"/>
  <c r="N58" i="43" s="1"/>
  <c r="N78" i="43" s="1"/>
  <c r="D48" i="43"/>
  <c r="D58" i="43" s="1"/>
  <c r="D78" i="43" s="1"/>
  <c r="C48" i="43"/>
  <c r="C58" i="43" s="1"/>
  <c r="T48" i="43"/>
  <c r="T38" i="43" s="1"/>
  <c r="P48" i="43"/>
  <c r="P38" i="43" s="1"/>
  <c r="L48" i="43"/>
  <c r="L38" i="43" s="1"/>
  <c r="H48" i="43"/>
  <c r="H58" i="43" s="1"/>
  <c r="B96" i="55"/>
  <c r="D21" i="58"/>
  <c r="E21" i="58" s="1"/>
  <c r="F21" i="58" s="1"/>
  <c r="G21" i="58" s="1"/>
  <c r="H21" i="58" s="1"/>
  <c r="G58" i="43"/>
  <c r="G78" i="43" s="1"/>
  <c r="D43" i="61"/>
  <c r="T32" i="61"/>
  <c r="J21" i="61"/>
  <c r="K21" i="61" s="1"/>
  <c r="D10" i="61"/>
  <c r="E10" i="61" s="1"/>
  <c r="V6" i="55"/>
  <c r="N6" i="55"/>
  <c r="U6" i="55"/>
  <c r="M6" i="55"/>
  <c r="E6" i="55"/>
  <c r="F6" i="55"/>
  <c r="F10" i="58"/>
  <c r="G10" i="57"/>
  <c r="A79" i="43"/>
  <c r="A77" i="38"/>
  <c r="A76" i="38"/>
  <c r="D50" i="48"/>
  <c r="E50" i="48"/>
  <c r="F50" i="48"/>
  <c r="G50" i="48"/>
  <c r="H50" i="48"/>
  <c r="I50" i="48"/>
  <c r="J50" i="48"/>
  <c r="K50" i="48"/>
  <c r="L50" i="48"/>
  <c r="M50" i="48"/>
  <c r="N50" i="48"/>
  <c r="O50" i="48"/>
  <c r="P50" i="48"/>
  <c r="Q50" i="48"/>
  <c r="R50" i="48"/>
  <c r="S50" i="48"/>
  <c r="T50" i="48"/>
  <c r="U50" i="48"/>
  <c r="V50" i="48"/>
  <c r="W50" i="48"/>
  <c r="C50" i="48"/>
  <c r="C39" i="48"/>
  <c r="C28" i="48"/>
  <c r="C37" i="48"/>
  <c r="D37" i="48" s="1"/>
  <c r="E37" i="48" s="1"/>
  <c r="F37" i="48" s="1"/>
  <c r="G37" i="48" s="1"/>
  <c r="H37" i="48" s="1"/>
  <c r="I37" i="48" s="1"/>
  <c r="J37" i="48" s="1"/>
  <c r="K37" i="48" s="1"/>
  <c r="L37" i="48" s="1"/>
  <c r="M37" i="48" s="1"/>
  <c r="N37" i="48" s="1"/>
  <c r="O37" i="48" s="1"/>
  <c r="P37" i="48" s="1"/>
  <c r="Q37" i="48" s="1"/>
  <c r="R37" i="48" s="1"/>
  <c r="S37" i="48" s="1"/>
  <c r="T37" i="48" s="1"/>
  <c r="U37" i="48" s="1"/>
  <c r="V37" i="48" s="1"/>
  <c r="W37" i="48" s="1"/>
  <c r="D28" i="35"/>
  <c r="D28" i="48" s="1"/>
  <c r="D39" i="35"/>
  <c r="D39" i="48" s="1"/>
  <c r="A109" i="35"/>
  <c r="A108" i="35"/>
  <c r="A107" i="35"/>
  <c r="A106" i="35"/>
  <c r="C37" i="35"/>
  <c r="D37" i="35" s="1"/>
  <c r="E37" i="35" s="1"/>
  <c r="F37" i="35" s="1"/>
  <c r="G37" i="35" s="1"/>
  <c r="H37" i="35" s="1"/>
  <c r="I37" i="35" s="1"/>
  <c r="J37" i="35" s="1"/>
  <c r="K37" i="35" s="1"/>
  <c r="L37" i="35" s="1"/>
  <c r="M37" i="35" s="1"/>
  <c r="N37" i="35" s="1"/>
  <c r="O37" i="35" s="1"/>
  <c r="P37" i="35" s="1"/>
  <c r="Q37" i="35" s="1"/>
  <c r="R37" i="35" s="1"/>
  <c r="S37" i="35" s="1"/>
  <c r="T37" i="35" s="1"/>
  <c r="U37" i="35" s="1"/>
  <c r="V37" i="35" s="1"/>
  <c r="W37" i="35" s="1"/>
  <c r="C17" i="48"/>
  <c r="D17" i="35"/>
  <c r="E17" i="35" s="1"/>
  <c r="X21" i="50" l="1"/>
  <c r="Z21" i="50"/>
  <c r="AC21" i="50"/>
  <c r="W21" i="50"/>
  <c r="W22" i="50" s="1"/>
  <c r="C64" i="50" s="1"/>
  <c r="Y21" i="50"/>
  <c r="AA21" i="50"/>
  <c r="AB21" i="50"/>
  <c r="O21" i="50"/>
  <c r="O33" i="50" s="1"/>
  <c r="Q21" i="50"/>
  <c r="Q33" i="50" s="1"/>
  <c r="M10" i="50"/>
  <c r="M29" i="50" s="1"/>
  <c r="M21" i="50"/>
  <c r="M33" i="50" s="1"/>
  <c r="M15" i="50"/>
  <c r="N21" i="50"/>
  <c r="P21" i="50"/>
  <c r="S21" i="50"/>
  <c r="R21" i="50"/>
  <c r="F21" i="50"/>
  <c r="E21" i="50"/>
  <c r="E33" i="50" s="1"/>
  <c r="I21" i="50"/>
  <c r="I33" i="50" s="1"/>
  <c r="C21" i="50"/>
  <c r="C33" i="50" s="1"/>
  <c r="G21" i="50"/>
  <c r="G33" i="50" s="1"/>
  <c r="C10" i="50"/>
  <c r="J38" i="43"/>
  <c r="L58" i="43"/>
  <c r="L78" i="43" s="1"/>
  <c r="I58" i="43"/>
  <c r="I78" i="43" s="1"/>
  <c r="V58" i="43"/>
  <c r="V78" i="43" s="1"/>
  <c r="R58" i="43"/>
  <c r="Q60" i="55"/>
  <c r="Q96" i="55" s="1"/>
  <c r="C38" i="43"/>
  <c r="Q58" i="43"/>
  <c r="Q78" i="43" s="1"/>
  <c r="V60" i="55"/>
  <c r="V96" i="55" s="1"/>
  <c r="F60" i="55"/>
  <c r="F96" i="55" s="1"/>
  <c r="D38" i="43"/>
  <c r="W38" i="43"/>
  <c r="I96" i="55"/>
  <c r="U38" i="43"/>
  <c r="J84" i="55"/>
  <c r="D65" i="61"/>
  <c r="D77" i="61" s="1"/>
  <c r="D101" i="61" s="1"/>
  <c r="D84" i="55"/>
  <c r="D108" i="55" s="1"/>
  <c r="AF14" i="45"/>
  <c r="C38" i="61" s="1"/>
  <c r="C45" i="55"/>
  <c r="N75" i="55" s="1"/>
  <c r="N87" i="55" s="1"/>
  <c r="N111" i="55" s="1"/>
  <c r="T96" i="55"/>
  <c r="W96" i="55"/>
  <c r="O96" i="55"/>
  <c r="M84" i="55"/>
  <c r="L84" i="55"/>
  <c r="L108" i="55" s="1"/>
  <c r="E38" i="43"/>
  <c r="N38" i="43"/>
  <c r="E60" i="55"/>
  <c r="E96" i="55" s="1"/>
  <c r="S60" i="55"/>
  <c r="S96" i="55" s="1"/>
  <c r="G84" i="55"/>
  <c r="G108" i="55" s="1"/>
  <c r="J60" i="55"/>
  <c r="J96" i="55" s="1"/>
  <c r="G60" i="55"/>
  <c r="G96" i="55" s="1"/>
  <c r="K60" i="55"/>
  <c r="K96" i="55" s="1"/>
  <c r="O84" i="55"/>
  <c r="O108" i="55" s="1"/>
  <c r="L60" i="55"/>
  <c r="L96" i="55" s="1"/>
  <c r="H60" i="55"/>
  <c r="H96" i="55" s="1"/>
  <c r="P60" i="55"/>
  <c r="P96" i="55" s="1"/>
  <c r="N60" i="55"/>
  <c r="N96" i="55" s="1"/>
  <c r="R60" i="55"/>
  <c r="R96" i="55" s="1"/>
  <c r="U60" i="55"/>
  <c r="U96" i="55" s="1"/>
  <c r="M60" i="55"/>
  <c r="M96" i="55" s="1"/>
  <c r="S84" i="55"/>
  <c r="S108" i="55" s="1"/>
  <c r="I84" i="55"/>
  <c r="I108" i="55" s="1"/>
  <c r="F84" i="55"/>
  <c r="F108" i="55" s="1"/>
  <c r="P84" i="55"/>
  <c r="P108" i="55" s="1"/>
  <c r="V84" i="55"/>
  <c r="V108" i="55" s="1"/>
  <c r="R84" i="55"/>
  <c r="R108" i="55" s="1"/>
  <c r="W84" i="55"/>
  <c r="W108" i="55" s="1"/>
  <c r="N84" i="55"/>
  <c r="N108" i="55" s="1"/>
  <c r="Q84" i="55"/>
  <c r="Q108" i="55" s="1"/>
  <c r="U84" i="55"/>
  <c r="U108" i="55" s="1"/>
  <c r="B90" i="61"/>
  <c r="B97" i="55"/>
  <c r="K84" i="55"/>
  <c r="K108" i="55" s="1"/>
  <c r="T84" i="55"/>
  <c r="T108" i="55" s="1"/>
  <c r="E84" i="55"/>
  <c r="E108" i="55" s="1"/>
  <c r="J108" i="55"/>
  <c r="F28" i="38"/>
  <c r="E28" i="51"/>
  <c r="E17" i="51"/>
  <c r="F17" i="38"/>
  <c r="S38" i="43"/>
  <c r="M38" i="43"/>
  <c r="F58" i="43"/>
  <c r="F78" i="43" s="1"/>
  <c r="O38" i="43"/>
  <c r="P58" i="43"/>
  <c r="P78" i="43" s="1"/>
  <c r="K38" i="43"/>
  <c r="T58" i="43"/>
  <c r="T78" i="43" s="1"/>
  <c r="H38" i="43"/>
  <c r="M78" i="43"/>
  <c r="H78" i="43"/>
  <c r="C78" i="43"/>
  <c r="H108" i="55"/>
  <c r="L21" i="61"/>
  <c r="E43" i="61"/>
  <c r="F10" i="61"/>
  <c r="F65" i="61" s="1"/>
  <c r="E65" i="61"/>
  <c r="U32" i="61"/>
  <c r="G10" i="61"/>
  <c r="G65" i="61" s="1"/>
  <c r="H10" i="57"/>
  <c r="G10" i="58"/>
  <c r="I21" i="58"/>
  <c r="E28" i="35"/>
  <c r="F28" i="35" s="1"/>
  <c r="G28" i="35" s="1"/>
  <c r="I28" i="35" s="1"/>
  <c r="I28" i="48" s="1"/>
  <c r="E39" i="35"/>
  <c r="D17" i="48"/>
  <c r="E17" i="48"/>
  <c r="F17" i="35"/>
  <c r="Y5" i="45"/>
  <c r="S33" i="50" l="1"/>
  <c r="M22" i="50"/>
  <c r="M31" i="50"/>
  <c r="C29" i="50"/>
  <c r="M108" i="55"/>
  <c r="R78" i="43"/>
  <c r="U75" i="55"/>
  <c r="U87" i="55" s="1"/>
  <c r="U111" i="55" s="1"/>
  <c r="W75" i="55"/>
  <c r="P75" i="55"/>
  <c r="V75" i="55"/>
  <c r="D75" i="55"/>
  <c r="O75" i="55"/>
  <c r="T75" i="55"/>
  <c r="J75" i="55"/>
  <c r="M75" i="55"/>
  <c r="S75" i="55"/>
  <c r="L75" i="55"/>
  <c r="F75" i="55"/>
  <c r="I75" i="55"/>
  <c r="H75" i="55"/>
  <c r="R75" i="55"/>
  <c r="Q75" i="55"/>
  <c r="K75" i="55"/>
  <c r="G75" i="55"/>
  <c r="E75" i="55"/>
  <c r="G28" i="38"/>
  <c r="F28" i="51"/>
  <c r="G17" i="38"/>
  <c r="F17" i="51"/>
  <c r="V32" i="61"/>
  <c r="F43" i="61"/>
  <c r="M21" i="61"/>
  <c r="E77" i="61"/>
  <c r="E101" i="61" s="1"/>
  <c r="E53" i="61"/>
  <c r="E89" i="61" s="1"/>
  <c r="F53" i="61"/>
  <c r="F89" i="61" s="1"/>
  <c r="F77" i="61"/>
  <c r="F101" i="61" s="1"/>
  <c r="H10" i="61"/>
  <c r="H65" i="61" s="1"/>
  <c r="I10" i="57"/>
  <c r="J21" i="58"/>
  <c r="H10" i="58"/>
  <c r="G28" i="48"/>
  <c r="H28" i="48"/>
  <c r="E28" i="48"/>
  <c r="J28" i="35"/>
  <c r="J28" i="48" s="1"/>
  <c r="F28" i="48"/>
  <c r="F39" i="35"/>
  <c r="E39" i="48"/>
  <c r="F17" i="48"/>
  <c r="G17" i="35"/>
  <c r="Y14" i="45"/>
  <c r="C37" i="51"/>
  <c r="D37" i="51" s="1"/>
  <c r="E37" i="51" s="1"/>
  <c r="F37" i="51" s="1"/>
  <c r="G37" i="51" s="1"/>
  <c r="H37" i="51" s="1"/>
  <c r="I37" i="51" s="1"/>
  <c r="J37" i="51" s="1"/>
  <c r="K37" i="51" s="1"/>
  <c r="L37" i="51" s="1"/>
  <c r="M37" i="51" s="1"/>
  <c r="N37" i="51" s="1"/>
  <c r="O37" i="51" s="1"/>
  <c r="P37" i="51" s="1"/>
  <c r="Q37" i="51" s="1"/>
  <c r="R37" i="51" s="1"/>
  <c r="S37" i="51" s="1"/>
  <c r="T37" i="51" s="1"/>
  <c r="U37" i="51" s="1"/>
  <c r="V37" i="51" s="1"/>
  <c r="W37" i="51" s="1"/>
  <c r="A98" i="55"/>
  <c r="A97" i="55"/>
  <c r="A86" i="55"/>
  <c r="A85" i="55"/>
  <c r="A74" i="55"/>
  <c r="A73" i="55"/>
  <c r="C39" i="55"/>
  <c r="D39" i="55" s="1"/>
  <c r="E39" i="55" s="1"/>
  <c r="F39" i="55" s="1"/>
  <c r="G39" i="55" s="1"/>
  <c r="H39" i="55" s="1"/>
  <c r="I39" i="55" s="1"/>
  <c r="J39" i="55" s="1"/>
  <c r="K39" i="55" s="1"/>
  <c r="L39" i="55" s="1"/>
  <c r="M39" i="55" s="1"/>
  <c r="N39" i="55" s="1"/>
  <c r="O39" i="55" s="1"/>
  <c r="P39" i="55" s="1"/>
  <c r="Q39" i="55" s="1"/>
  <c r="R39" i="55" s="1"/>
  <c r="S39" i="55" s="1"/>
  <c r="T39" i="55" s="1"/>
  <c r="U39" i="55" s="1"/>
  <c r="V39" i="55" s="1"/>
  <c r="W39" i="55" s="1"/>
  <c r="C28" i="55"/>
  <c r="D28" i="55" s="1"/>
  <c r="E28" i="55" s="1"/>
  <c r="F28" i="55" s="1"/>
  <c r="G28" i="55" s="1"/>
  <c r="H28" i="55" s="1"/>
  <c r="I28" i="55" s="1"/>
  <c r="J28" i="55" s="1"/>
  <c r="K28" i="55" s="1"/>
  <c r="L28" i="55" s="1"/>
  <c r="M28" i="55" s="1"/>
  <c r="N28" i="55" s="1"/>
  <c r="O28" i="55" s="1"/>
  <c r="P28" i="55" s="1"/>
  <c r="Q28" i="55" s="1"/>
  <c r="R28" i="55" s="1"/>
  <c r="S28" i="55" s="1"/>
  <c r="T28" i="55" s="1"/>
  <c r="U28" i="55" s="1"/>
  <c r="V28" i="55" s="1"/>
  <c r="W28" i="55" s="1"/>
  <c r="A81" i="51"/>
  <c r="A80" i="51"/>
  <c r="A70" i="51"/>
  <c r="A69" i="51"/>
  <c r="A59" i="51"/>
  <c r="A58" i="51"/>
  <c r="C26" i="51"/>
  <c r="D26" i="51" s="1"/>
  <c r="E26" i="51" s="1"/>
  <c r="F26" i="51" s="1"/>
  <c r="G26" i="51" s="1"/>
  <c r="C15" i="51"/>
  <c r="D15" i="51" s="1"/>
  <c r="E15" i="51" s="1"/>
  <c r="F15" i="51" s="1"/>
  <c r="G15" i="51" s="1"/>
  <c r="H15" i="51" s="1"/>
  <c r="I15" i="51" s="1"/>
  <c r="J15" i="51" s="1"/>
  <c r="K15" i="51" s="1"/>
  <c r="W6" i="51"/>
  <c r="V6" i="51"/>
  <c r="U6" i="51"/>
  <c r="U60" i="51" s="1"/>
  <c r="T6" i="51"/>
  <c r="T60" i="51" s="1"/>
  <c r="S6" i="51"/>
  <c r="R6" i="51"/>
  <c r="Q6" i="51"/>
  <c r="Q60" i="51" s="1"/>
  <c r="P6" i="51"/>
  <c r="P60" i="51" s="1"/>
  <c r="O6" i="51"/>
  <c r="N6" i="51"/>
  <c r="M6" i="51"/>
  <c r="M60" i="51" s="1"/>
  <c r="L6" i="51"/>
  <c r="L60" i="51" s="1"/>
  <c r="K6" i="51"/>
  <c r="J6" i="51"/>
  <c r="I6" i="51"/>
  <c r="I60" i="51" s="1"/>
  <c r="H6" i="51"/>
  <c r="H60" i="51" s="1"/>
  <c r="G6" i="51"/>
  <c r="F6" i="51"/>
  <c r="E6" i="51"/>
  <c r="E60" i="51" s="1"/>
  <c r="D6" i="51"/>
  <c r="D60" i="51" s="1"/>
  <c r="C6" i="51"/>
  <c r="A97" i="48"/>
  <c r="A95" i="48"/>
  <c r="A94" i="48"/>
  <c r="A85" i="48"/>
  <c r="A84" i="48"/>
  <c r="A83" i="48"/>
  <c r="A82" i="48"/>
  <c r="A73" i="48"/>
  <c r="A72" i="48"/>
  <c r="A71" i="48"/>
  <c r="A70" i="48"/>
  <c r="C48" i="48"/>
  <c r="D48" i="48" s="1"/>
  <c r="C26" i="48"/>
  <c r="D26" i="48" s="1"/>
  <c r="E26" i="48" s="1"/>
  <c r="F26" i="48" s="1"/>
  <c r="G26" i="48" s="1"/>
  <c r="H26" i="48" s="1"/>
  <c r="C15" i="48"/>
  <c r="D15" i="48" s="1"/>
  <c r="E15" i="48" s="1"/>
  <c r="F15" i="48" s="1"/>
  <c r="G15" i="48" s="1"/>
  <c r="W6" i="48"/>
  <c r="V6" i="48"/>
  <c r="U6" i="48"/>
  <c r="T6" i="48"/>
  <c r="S6" i="48"/>
  <c r="R6" i="48"/>
  <c r="Q6" i="48"/>
  <c r="P6" i="48"/>
  <c r="O6" i="48"/>
  <c r="N6" i="48"/>
  <c r="M6" i="48"/>
  <c r="L6" i="48"/>
  <c r="K6" i="48"/>
  <c r="J6" i="48"/>
  <c r="I6" i="48"/>
  <c r="H6" i="48"/>
  <c r="G6" i="48"/>
  <c r="F6" i="48"/>
  <c r="E6" i="48"/>
  <c r="D6" i="48"/>
  <c r="C6" i="48"/>
  <c r="M34" i="50" l="1"/>
  <c r="E87" i="55"/>
  <c r="E111" i="55" s="1"/>
  <c r="E63" i="55"/>
  <c r="R87" i="55"/>
  <c r="R111" i="55" s="1"/>
  <c r="R63" i="55"/>
  <c r="L87" i="55"/>
  <c r="L111" i="55" s="1"/>
  <c r="L63" i="55"/>
  <c r="T87" i="55"/>
  <c r="T111" i="55" s="1"/>
  <c r="T63" i="55"/>
  <c r="C73" i="48"/>
  <c r="C29" i="57" s="1"/>
  <c r="E68" i="61"/>
  <c r="E56" i="61" s="1"/>
  <c r="E92" i="61" s="1"/>
  <c r="U63" i="55"/>
  <c r="K87" i="55"/>
  <c r="K111" i="55" s="1"/>
  <c r="K63" i="55"/>
  <c r="I87" i="55"/>
  <c r="I111" i="55" s="1"/>
  <c r="I63" i="55"/>
  <c r="M87" i="55"/>
  <c r="M111" i="55" s="1"/>
  <c r="M63" i="55"/>
  <c r="D87" i="55"/>
  <c r="D111" i="55" s="1"/>
  <c r="D68" i="61"/>
  <c r="D80" i="61" s="1"/>
  <c r="D104" i="61" s="1"/>
  <c r="F60" i="51"/>
  <c r="F42" i="58" s="1"/>
  <c r="J60" i="51"/>
  <c r="J49" i="51" s="1"/>
  <c r="J82" i="51" s="1"/>
  <c r="N60" i="51"/>
  <c r="R60" i="51"/>
  <c r="V60" i="51"/>
  <c r="V49" i="51" s="1"/>
  <c r="V82" i="51" s="1"/>
  <c r="N63" i="55"/>
  <c r="Q87" i="55"/>
  <c r="Q111" i="55" s="1"/>
  <c r="Q63" i="55"/>
  <c r="F87" i="55"/>
  <c r="F111" i="55" s="1"/>
  <c r="F63" i="55"/>
  <c r="J87" i="55"/>
  <c r="J111" i="55" s="1"/>
  <c r="J63" i="55"/>
  <c r="V87" i="55"/>
  <c r="V111" i="55" s="1"/>
  <c r="V63" i="55"/>
  <c r="P87" i="55"/>
  <c r="P111" i="55" s="1"/>
  <c r="P63" i="55"/>
  <c r="G87" i="55"/>
  <c r="G111" i="55" s="1"/>
  <c r="G63" i="55"/>
  <c r="H87" i="55"/>
  <c r="H111" i="55" s="1"/>
  <c r="H63" i="55"/>
  <c r="S87" i="55"/>
  <c r="S111" i="55" s="1"/>
  <c r="S63" i="55"/>
  <c r="O87" i="55"/>
  <c r="O111" i="55" s="1"/>
  <c r="O63" i="55"/>
  <c r="W87" i="55"/>
  <c r="W111" i="55" s="1"/>
  <c r="W63" i="55"/>
  <c r="G28" i="51"/>
  <c r="G58" i="51" s="1"/>
  <c r="G69" i="51" s="1"/>
  <c r="G91" i="51" s="1"/>
  <c r="G17" i="51"/>
  <c r="E42" i="58"/>
  <c r="E71" i="51"/>
  <c r="E93" i="51" s="1"/>
  <c r="M71" i="51"/>
  <c r="M93" i="51" s="1"/>
  <c r="U71" i="51"/>
  <c r="U93" i="51" s="1"/>
  <c r="R71" i="51"/>
  <c r="R93" i="51" s="1"/>
  <c r="D42" i="58"/>
  <c r="D71" i="51"/>
  <c r="D93" i="51" s="1"/>
  <c r="H42" i="58"/>
  <c r="H71" i="51"/>
  <c r="H93" i="51" s="1"/>
  <c r="L71" i="51"/>
  <c r="L93" i="51" s="1"/>
  <c r="P71" i="51"/>
  <c r="P93" i="51" s="1"/>
  <c r="T71" i="51"/>
  <c r="T93" i="51" s="1"/>
  <c r="I42" i="58"/>
  <c r="I71" i="51"/>
  <c r="I93" i="51" s="1"/>
  <c r="Q71" i="51"/>
  <c r="Q93" i="51" s="1"/>
  <c r="V71" i="51"/>
  <c r="V93" i="51" s="1"/>
  <c r="K21" i="58"/>
  <c r="N21" i="61"/>
  <c r="G43" i="61"/>
  <c r="F68" i="61"/>
  <c r="W32" i="61"/>
  <c r="G77" i="61"/>
  <c r="G101" i="61" s="1"/>
  <c r="G53" i="61"/>
  <c r="G89" i="61" s="1"/>
  <c r="I10" i="61"/>
  <c r="I65" i="61" s="1"/>
  <c r="J10" i="57"/>
  <c r="I10" i="58"/>
  <c r="L21" i="58"/>
  <c r="L42" i="58" s="1"/>
  <c r="L52" i="58" s="1"/>
  <c r="C60" i="51"/>
  <c r="G60" i="51"/>
  <c r="K60" i="51"/>
  <c r="O60" i="51"/>
  <c r="P49" i="51" s="1"/>
  <c r="P82" i="51" s="1"/>
  <c r="S60" i="51"/>
  <c r="T49" i="51" s="1"/>
  <c r="T82" i="51" s="1"/>
  <c r="W60" i="51"/>
  <c r="E49" i="51"/>
  <c r="E82" i="51" s="1"/>
  <c r="M49" i="51"/>
  <c r="M82" i="51" s="1"/>
  <c r="R49" i="51"/>
  <c r="R82" i="51" s="1"/>
  <c r="I49" i="51"/>
  <c r="I82" i="51" s="1"/>
  <c r="Q49" i="51"/>
  <c r="Q82" i="51" s="1"/>
  <c r="U49" i="51"/>
  <c r="U82" i="51" s="1"/>
  <c r="G74" i="55"/>
  <c r="D70" i="48"/>
  <c r="K74" i="55"/>
  <c r="S74" i="55"/>
  <c r="I74" i="55"/>
  <c r="M74" i="55"/>
  <c r="U74" i="55"/>
  <c r="O74" i="55"/>
  <c r="E74" i="55"/>
  <c r="Q74" i="55"/>
  <c r="K28" i="35"/>
  <c r="L28" i="35" s="1"/>
  <c r="F70" i="48"/>
  <c r="G70" i="48"/>
  <c r="H70" i="48"/>
  <c r="E70" i="48"/>
  <c r="F39" i="48"/>
  <c r="C70" i="48"/>
  <c r="C82" i="48" s="1"/>
  <c r="C71" i="48"/>
  <c r="C83" i="48" s="1"/>
  <c r="D73" i="48"/>
  <c r="G17" i="48"/>
  <c r="G72" i="48" s="1"/>
  <c r="G84" i="48" s="1"/>
  <c r="G108" i="48" s="1"/>
  <c r="C58" i="51"/>
  <c r="D59" i="51"/>
  <c r="E59" i="51"/>
  <c r="G59" i="51"/>
  <c r="W74" i="55"/>
  <c r="W86" i="55" s="1"/>
  <c r="W110" i="55" s="1"/>
  <c r="K73" i="55"/>
  <c r="S73" i="55"/>
  <c r="S85" i="55" s="1"/>
  <c r="S109" i="55" s="1"/>
  <c r="F73" i="55"/>
  <c r="J73" i="55"/>
  <c r="N73" i="55"/>
  <c r="N85" i="55" s="1"/>
  <c r="N109" i="55" s="1"/>
  <c r="R73" i="55"/>
  <c r="R85" i="55" s="1"/>
  <c r="V73" i="55"/>
  <c r="V85" i="55" s="1"/>
  <c r="V109" i="55" s="1"/>
  <c r="E73" i="55"/>
  <c r="M73" i="55"/>
  <c r="M85" i="55" s="1"/>
  <c r="U73" i="55"/>
  <c r="U85" i="55" s="1"/>
  <c r="U109" i="55" s="1"/>
  <c r="G73" i="55"/>
  <c r="O73" i="55"/>
  <c r="O85" i="55" s="1"/>
  <c r="O109" i="55" s="1"/>
  <c r="W73" i="55"/>
  <c r="W85" i="55" s="1"/>
  <c r="W109" i="55" s="1"/>
  <c r="D74" i="55"/>
  <c r="H74" i="55"/>
  <c r="L74" i="55"/>
  <c r="P74" i="55"/>
  <c r="T74" i="55"/>
  <c r="I73" i="55"/>
  <c r="Q73" i="55"/>
  <c r="Q85" i="55" s="1"/>
  <c r="Q109" i="55" s="1"/>
  <c r="D73" i="55"/>
  <c r="H73" i="55"/>
  <c r="L73" i="55"/>
  <c r="P73" i="55"/>
  <c r="P85" i="55" s="1"/>
  <c r="P109" i="55" s="1"/>
  <c r="T73" i="55"/>
  <c r="T85" i="55" s="1"/>
  <c r="T109" i="55" s="1"/>
  <c r="F74" i="55"/>
  <c r="J74" i="55"/>
  <c r="N74" i="55"/>
  <c r="R74" i="55"/>
  <c r="V74" i="55"/>
  <c r="V86" i="55" s="1"/>
  <c r="V110" i="55" s="1"/>
  <c r="H26" i="51"/>
  <c r="L15" i="51"/>
  <c r="M15" i="51" s="1"/>
  <c r="F58" i="51"/>
  <c r="F69" i="51" s="1"/>
  <c r="F91" i="51" s="1"/>
  <c r="F59" i="51"/>
  <c r="D58" i="51"/>
  <c r="D69" i="51" s="1"/>
  <c r="D91" i="51" s="1"/>
  <c r="C59" i="51"/>
  <c r="C41" i="58" s="1"/>
  <c r="E58" i="51"/>
  <c r="E69" i="51" s="1"/>
  <c r="E91" i="51" s="1"/>
  <c r="D71" i="48"/>
  <c r="D83" i="48" s="1"/>
  <c r="D107" i="48" s="1"/>
  <c r="E48" i="48"/>
  <c r="F48" i="48" s="1"/>
  <c r="G48" i="48" s="1"/>
  <c r="H48" i="48" s="1"/>
  <c r="H73" i="48" s="1"/>
  <c r="I26" i="48"/>
  <c r="J26" i="48" s="1"/>
  <c r="K26" i="48" s="1"/>
  <c r="L26" i="48" s="1"/>
  <c r="M26" i="48" s="1"/>
  <c r="N26" i="48" s="1"/>
  <c r="O26" i="48" s="1"/>
  <c r="H71" i="48"/>
  <c r="H83" i="48" s="1"/>
  <c r="H15" i="48"/>
  <c r="F72" i="48"/>
  <c r="F84" i="48" s="1"/>
  <c r="F108" i="48" s="1"/>
  <c r="F71" i="48"/>
  <c r="F83" i="48" s="1"/>
  <c r="F107" i="48" s="1"/>
  <c r="G71" i="48"/>
  <c r="G83" i="48" s="1"/>
  <c r="G107" i="48" s="1"/>
  <c r="C72" i="48"/>
  <c r="C84" i="48" s="1"/>
  <c r="C108" i="48" s="1"/>
  <c r="E72" i="48"/>
  <c r="E84" i="48" s="1"/>
  <c r="E108" i="48" s="1"/>
  <c r="E71" i="48"/>
  <c r="E83" i="48" s="1"/>
  <c r="E107" i="48" s="1"/>
  <c r="D72" i="48"/>
  <c r="D84" i="48" s="1"/>
  <c r="D108" i="48" s="1"/>
  <c r="H107" i="48" l="1"/>
  <c r="O7" i="50"/>
  <c r="N7" i="50"/>
  <c r="J71" i="51"/>
  <c r="J93" i="51" s="1"/>
  <c r="J42" i="58"/>
  <c r="J52" i="58" s="1"/>
  <c r="J72" i="58" s="1"/>
  <c r="E80" i="61"/>
  <c r="E104" i="61" s="1"/>
  <c r="C85" i="48"/>
  <c r="C109" i="48" s="1"/>
  <c r="F71" i="51"/>
  <c r="F93" i="51" s="1"/>
  <c r="N71" i="51"/>
  <c r="N93" i="51" s="1"/>
  <c r="N49" i="51"/>
  <c r="N82" i="51" s="1"/>
  <c r="F49" i="51"/>
  <c r="F82" i="51" s="1"/>
  <c r="C20" i="57"/>
  <c r="C31" i="57"/>
  <c r="C38" i="57"/>
  <c r="O49" i="51"/>
  <c r="O82" i="51" s="1"/>
  <c r="S49" i="51"/>
  <c r="S82" i="51" s="1"/>
  <c r="W67" i="61"/>
  <c r="H28" i="51"/>
  <c r="H58" i="51" s="1"/>
  <c r="H69" i="51" s="1"/>
  <c r="I28" i="38"/>
  <c r="I47" i="38" s="1"/>
  <c r="H17" i="51"/>
  <c r="H59" i="51" s="1"/>
  <c r="H48" i="51" s="1"/>
  <c r="H81" i="51" s="1"/>
  <c r="I17" i="38"/>
  <c r="R86" i="55"/>
  <c r="R67" i="61"/>
  <c r="P86" i="55"/>
  <c r="P110" i="55" s="1"/>
  <c r="P119" i="55" s="1"/>
  <c r="P67" i="61"/>
  <c r="O86" i="55"/>
  <c r="O110" i="55" s="1"/>
  <c r="O67" i="61"/>
  <c r="S67" i="61"/>
  <c r="S86" i="55"/>
  <c r="S110" i="55" s="1"/>
  <c r="N67" i="61"/>
  <c r="N86" i="55"/>
  <c r="N110" i="55" s="1"/>
  <c r="L67" i="61"/>
  <c r="L86" i="55"/>
  <c r="L110" i="55" s="1"/>
  <c r="U86" i="55"/>
  <c r="U110" i="55" s="1"/>
  <c r="U67" i="61"/>
  <c r="K67" i="61"/>
  <c r="K86" i="55"/>
  <c r="K110" i="55" s="1"/>
  <c r="J86" i="55"/>
  <c r="J110" i="55" s="1"/>
  <c r="J67" i="61"/>
  <c r="H86" i="55"/>
  <c r="H67" i="61"/>
  <c r="Q86" i="55"/>
  <c r="Q110" i="55" s="1"/>
  <c r="Q67" i="61"/>
  <c r="M67" i="61"/>
  <c r="M86" i="55"/>
  <c r="F86" i="55"/>
  <c r="F110" i="55" s="1"/>
  <c r="F67" i="61"/>
  <c r="T86" i="55"/>
  <c r="T110" i="55" s="1"/>
  <c r="T67" i="61"/>
  <c r="D86" i="55"/>
  <c r="D110" i="55" s="1"/>
  <c r="D67" i="61"/>
  <c r="E67" i="61"/>
  <c r="E86" i="55"/>
  <c r="E110" i="55" s="1"/>
  <c r="I86" i="55"/>
  <c r="I110" i="55" s="1"/>
  <c r="I67" i="61"/>
  <c r="G86" i="55"/>
  <c r="G110" i="55" s="1"/>
  <c r="G67" i="61"/>
  <c r="V67" i="61"/>
  <c r="V79" i="61" s="1"/>
  <c r="V103" i="61" s="1"/>
  <c r="E66" i="61"/>
  <c r="E85" i="55"/>
  <c r="E109" i="55" s="1"/>
  <c r="I66" i="61"/>
  <c r="I85" i="55"/>
  <c r="I109" i="55" s="1"/>
  <c r="G66" i="61"/>
  <c r="G85" i="55"/>
  <c r="G109" i="55" s="1"/>
  <c r="F66" i="61"/>
  <c r="F85" i="55"/>
  <c r="F109" i="55" s="1"/>
  <c r="H66" i="61"/>
  <c r="H85" i="55"/>
  <c r="R109" i="55"/>
  <c r="M66" i="61"/>
  <c r="J66" i="61"/>
  <c r="J85" i="55"/>
  <c r="J109" i="55" s="1"/>
  <c r="L85" i="55"/>
  <c r="L109" i="55" s="1"/>
  <c r="L66" i="61"/>
  <c r="D66" i="61"/>
  <c r="D78" i="61" s="1"/>
  <c r="D85" i="55"/>
  <c r="D109" i="55" s="1"/>
  <c r="M109" i="55"/>
  <c r="K85" i="55"/>
  <c r="K109" i="55" s="1"/>
  <c r="K66" i="61"/>
  <c r="S71" i="51"/>
  <c r="S93" i="51" s="1"/>
  <c r="C42" i="58"/>
  <c r="C71" i="51"/>
  <c r="C93" i="51" s="1"/>
  <c r="F52" i="58"/>
  <c r="F72" i="58" s="1"/>
  <c r="F32" i="58"/>
  <c r="F62" i="58" s="1"/>
  <c r="I52" i="58"/>
  <c r="I72" i="58" s="1"/>
  <c r="I32" i="58"/>
  <c r="I62" i="58" s="1"/>
  <c r="H52" i="58"/>
  <c r="O71" i="51"/>
  <c r="O93" i="51" s="1"/>
  <c r="W49" i="51"/>
  <c r="W82" i="51" s="1"/>
  <c r="W71" i="51"/>
  <c r="W93" i="51" s="1"/>
  <c r="G49" i="51"/>
  <c r="G82" i="51" s="1"/>
  <c r="G42" i="58"/>
  <c r="G71" i="51"/>
  <c r="G93" i="51" s="1"/>
  <c r="C49" i="51"/>
  <c r="C82" i="51" s="1"/>
  <c r="D49" i="51"/>
  <c r="D82" i="51" s="1"/>
  <c r="H49" i="51"/>
  <c r="H82" i="51" s="1"/>
  <c r="L49" i="51"/>
  <c r="L82" i="51" s="1"/>
  <c r="K42" i="58"/>
  <c r="K52" i="58" s="1"/>
  <c r="K72" i="58" s="1"/>
  <c r="K71" i="51"/>
  <c r="K93" i="51" s="1"/>
  <c r="D52" i="58"/>
  <c r="D72" i="58" s="1"/>
  <c r="E52" i="58"/>
  <c r="E72" i="58" s="1"/>
  <c r="E32" i="58"/>
  <c r="E62" i="58" s="1"/>
  <c r="C69" i="51"/>
  <c r="C91" i="51" s="1"/>
  <c r="C51" i="58"/>
  <c r="C31" i="58"/>
  <c r="E41" i="58"/>
  <c r="E70" i="51"/>
  <c r="E92" i="51" s="1"/>
  <c r="G41" i="58"/>
  <c r="G70" i="51"/>
  <c r="G92" i="51" s="1"/>
  <c r="F41" i="58"/>
  <c r="F70" i="51"/>
  <c r="F92" i="51" s="1"/>
  <c r="D41" i="58"/>
  <c r="D70" i="51"/>
  <c r="D92" i="51" s="1"/>
  <c r="F58" i="48"/>
  <c r="F82" i="48"/>
  <c r="F106" i="48" s="1"/>
  <c r="C106" i="48"/>
  <c r="H58" i="48"/>
  <c r="H82" i="48"/>
  <c r="D58" i="48"/>
  <c r="D82" i="48"/>
  <c r="D106" i="48" s="1"/>
  <c r="G58" i="48"/>
  <c r="G82" i="48"/>
  <c r="G106" i="48" s="1"/>
  <c r="E58" i="48"/>
  <c r="E82" i="48"/>
  <c r="E106" i="48" s="1"/>
  <c r="C107" i="48"/>
  <c r="D29" i="57"/>
  <c r="D85" i="48"/>
  <c r="D109" i="48" s="1"/>
  <c r="H85" i="48"/>
  <c r="H109" i="48" s="1"/>
  <c r="H29" i="57"/>
  <c r="F56" i="61"/>
  <c r="F92" i="61" s="1"/>
  <c r="F80" i="61"/>
  <c r="F104" i="61" s="1"/>
  <c r="H43" i="61"/>
  <c r="G68" i="61"/>
  <c r="O21" i="61"/>
  <c r="N66" i="61"/>
  <c r="J10" i="61"/>
  <c r="J65" i="61" s="1"/>
  <c r="H77" i="61"/>
  <c r="H53" i="61"/>
  <c r="H89" i="61" s="1"/>
  <c r="K10" i="57"/>
  <c r="J10" i="58"/>
  <c r="M21" i="58"/>
  <c r="M42" i="58" s="1"/>
  <c r="M52" i="58" s="1"/>
  <c r="K49" i="51"/>
  <c r="K82" i="51" s="1"/>
  <c r="C70" i="51"/>
  <c r="C92" i="51" s="1"/>
  <c r="C62" i="51"/>
  <c r="F62" i="51"/>
  <c r="D62" i="51"/>
  <c r="G62" i="51"/>
  <c r="E62" i="51"/>
  <c r="K28" i="48"/>
  <c r="K71" i="48" s="1"/>
  <c r="K83" i="48" s="1"/>
  <c r="K107" i="48" s="1"/>
  <c r="C60" i="48"/>
  <c r="C96" i="48" s="1"/>
  <c r="S62" i="55"/>
  <c r="S98" i="55" s="1"/>
  <c r="C47" i="51"/>
  <c r="C80" i="51" s="1"/>
  <c r="U62" i="55"/>
  <c r="U98" i="55" s="1"/>
  <c r="M62" i="55"/>
  <c r="M98" i="55" s="1"/>
  <c r="I62" i="55"/>
  <c r="I98" i="55" s="1"/>
  <c r="E62" i="55"/>
  <c r="E98" i="55" s="1"/>
  <c r="K62" i="55"/>
  <c r="K98" i="55" s="1"/>
  <c r="G39" i="48"/>
  <c r="M28" i="35"/>
  <c r="L28" i="48"/>
  <c r="L70" i="48" s="1"/>
  <c r="J70" i="48"/>
  <c r="I70" i="48"/>
  <c r="J71" i="48"/>
  <c r="J83" i="48" s="1"/>
  <c r="J107" i="48" s="1"/>
  <c r="D59" i="48"/>
  <c r="I48" i="48"/>
  <c r="J48" i="48" s="1"/>
  <c r="K48" i="48" s="1"/>
  <c r="I17" i="35"/>
  <c r="H17" i="48"/>
  <c r="H72" i="48" s="1"/>
  <c r="D48" i="51"/>
  <c r="D81" i="51" s="1"/>
  <c r="E48" i="51"/>
  <c r="E81" i="51" s="1"/>
  <c r="N62" i="55"/>
  <c r="N98" i="55" s="1"/>
  <c r="P61" i="55"/>
  <c r="P97" i="55" s="1"/>
  <c r="P62" i="55"/>
  <c r="P98" i="55" s="1"/>
  <c r="G61" i="55"/>
  <c r="G97" i="55" s="1"/>
  <c r="M61" i="55"/>
  <c r="M97" i="55" s="1"/>
  <c r="V61" i="55"/>
  <c r="V97" i="55" s="1"/>
  <c r="F61" i="55"/>
  <c r="F97" i="55" s="1"/>
  <c r="S61" i="55"/>
  <c r="S97" i="55" s="1"/>
  <c r="Q62" i="55"/>
  <c r="Q98" i="55" s="1"/>
  <c r="J62" i="55"/>
  <c r="J98" i="55" s="1"/>
  <c r="L61" i="55"/>
  <c r="L97" i="55" s="1"/>
  <c r="Q61" i="55"/>
  <c r="Q97" i="55" s="1"/>
  <c r="L62" i="55"/>
  <c r="L98" i="55" s="1"/>
  <c r="E61" i="55"/>
  <c r="E97" i="55" s="1"/>
  <c r="R61" i="55"/>
  <c r="R97" i="55" s="1"/>
  <c r="K61" i="55"/>
  <c r="K97" i="55" s="1"/>
  <c r="V62" i="55"/>
  <c r="V98" i="55" s="1"/>
  <c r="F62" i="55"/>
  <c r="F98" i="55" s="1"/>
  <c r="H61" i="55"/>
  <c r="H97" i="55" s="1"/>
  <c r="I61" i="55"/>
  <c r="I97" i="55" s="1"/>
  <c r="H62" i="55"/>
  <c r="H98" i="55" s="1"/>
  <c r="W61" i="55"/>
  <c r="W97" i="55" s="1"/>
  <c r="N61" i="55"/>
  <c r="N97" i="55" s="1"/>
  <c r="O62" i="55"/>
  <c r="O98" i="55" s="1"/>
  <c r="G62" i="55"/>
  <c r="G98" i="55" s="1"/>
  <c r="R62" i="55"/>
  <c r="R98" i="55" s="1"/>
  <c r="T61" i="55"/>
  <c r="T97" i="55" s="1"/>
  <c r="T62" i="55"/>
  <c r="T98" i="55" s="1"/>
  <c r="O61" i="55"/>
  <c r="O97" i="55" s="1"/>
  <c r="U61" i="55"/>
  <c r="U97" i="55" s="1"/>
  <c r="J61" i="55"/>
  <c r="J97" i="55" s="1"/>
  <c r="W62" i="55"/>
  <c r="W98" i="55" s="1"/>
  <c r="E47" i="51"/>
  <c r="F47" i="51"/>
  <c r="I26" i="51"/>
  <c r="F48" i="51"/>
  <c r="F81" i="51" s="1"/>
  <c r="G47" i="51"/>
  <c r="G48" i="51"/>
  <c r="G81" i="51" s="1"/>
  <c r="C48" i="51"/>
  <c r="C81" i="51" s="1"/>
  <c r="D47" i="51"/>
  <c r="N15" i="51"/>
  <c r="F73" i="48"/>
  <c r="E73" i="48"/>
  <c r="G73" i="48"/>
  <c r="C61" i="48"/>
  <c r="C97" i="48" s="1"/>
  <c r="I15" i="48"/>
  <c r="P26" i="48"/>
  <c r="D60" i="48"/>
  <c r="E60" i="48"/>
  <c r="C75" i="48"/>
  <c r="C58" i="48"/>
  <c r="G59" i="48"/>
  <c r="F59" i="48"/>
  <c r="F60" i="48"/>
  <c r="E59" i="48"/>
  <c r="D75" i="48"/>
  <c r="I71" i="48"/>
  <c r="I83" i="48" s="1"/>
  <c r="I107" i="48" s="1"/>
  <c r="C59" i="48"/>
  <c r="G60" i="48"/>
  <c r="H59" i="48"/>
  <c r="D61" i="48"/>
  <c r="D97" i="48" s="1"/>
  <c r="A67" i="38"/>
  <c r="A69" i="43"/>
  <c r="A59" i="43"/>
  <c r="A49" i="43"/>
  <c r="C28" i="43"/>
  <c r="D6" i="38"/>
  <c r="E6" i="38"/>
  <c r="F6" i="38"/>
  <c r="G6" i="38"/>
  <c r="H6" i="38"/>
  <c r="I6" i="38"/>
  <c r="J6" i="38"/>
  <c r="K6" i="38"/>
  <c r="L6" i="38"/>
  <c r="M6" i="38"/>
  <c r="N6" i="38"/>
  <c r="O6" i="38"/>
  <c r="P6" i="38"/>
  <c r="Q6" i="38"/>
  <c r="R6" i="38"/>
  <c r="S6" i="38"/>
  <c r="T6" i="38"/>
  <c r="U6" i="38"/>
  <c r="V6" i="38"/>
  <c r="W6" i="38"/>
  <c r="C6" i="38"/>
  <c r="A66" i="38"/>
  <c r="A57" i="38"/>
  <c r="A56" i="38"/>
  <c r="A47" i="38"/>
  <c r="A46" i="38"/>
  <c r="C26" i="38"/>
  <c r="D26" i="38" s="1"/>
  <c r="C15" i="38"/>
  <c r="D15" i="38" s="1"/>
  <c r="E15" i="38" s="1"/>
  <c r="F15" i="38" s="1"/>
  <c r="G15" i="38" s="1"/>
  <c r="I15" i="38" s="1"/>
  <c r="H106" i="48" l="1"/>
  <c r="O6" i="50"/>
  <c r="N6" i="50"/>
  <c r="J15" i="38"/>
  <c r="I46" i="38"/>
  <c r="H91" i="51"/>
  <c r="O12" i="50"/>
  <c r="N12" i="50"/>
  <c r="J32" i="58"/>
  <c r="J62" i="58" s="1"/>
  <c r="L10" i="50"/>
  <c r="D28" i="43"/>
  <c r="C49" i="43"/>
  <c r="C51" i="43" s="1"/>
  <c r="V10" i="50"/>
  <c r="C40" i="57"/>
  <c r="C56" i="57"/>
  <c r="C58" i="57" s="1"/>
  <c r="C47" i="57"/>
  <c r="C49" i="57" s="1"/>
  <c r="C22" i="57"/>
  <c r="K32" i="58"/>
  <c r="K62" i="58" s="1"/>
  <c r="W55" i="61"/>
  <c r="W91" i="61" s="1"/>
  <c r="E73" i="51"/>
  <c r="W79" i="61"/>
  <c r="W103" i="61" s="1"/>
  <c r="H70" i="51"/>
  <c r="H41" i="58"/>
  <c r="H44" i="58" s="1"/>
  <c r="J119" i="55"/>
  <c r="G73" i="51"/>
  <c r="J28" i="38"/>
  <c r="J47" i="38" s="1"/>
  <c r="I28" i="51"/>
  <c r="I58" i="51" s="1"/>
  <c r="I69" i="51" s="1"/>
  <c r="I91" i="51" s="1"/>
  <c r="I17" i="51"/>
  <c r="I59" i="51" s="1"/>
  <c r="J17" i="38"/>
  <c r="E51" i="51"/>
  <c r="M54" i="61"/>
  <c r="M90" i="61" s="1"/>
  <c r="M78" i="61"/>
  <c r="G31" i="58"/>
  <c r="G61" i="58" s="1"/>
  <c r="H110" i="55"/>
  <c r="L79" i="61"/>
  <c r="L103" i="61" s="1"/>
  <c r="L55" i="61"/>
  <c r="L91" i="61" s="1"/>
  <c r="S79" i="61"/>
  <c r="S103" i="61" s="1"/>
  <c r="S55" i="61"/>
  <c r="S91" i="61" s="1"/>
  <c r="D79" i="61"/>
  <c r="D103" i="61" s="1"/>
  <c r="Q79" i="61"/>
  <c r="Q103" i="61" s="1"/>
  <c r="Q55" i="61"/>
  <c r="Q91" i="61" s="1"/>
  <c r="U55" i="61"/>
  <c r="U91" i="61" s="1"/>
  <c r="U79" i="61"/>
  <c r="U103" i="61" s="1"/>
  <c r="O55" i="61"/>
  <c r="O91" i="61" s="1"/>
  <c r="O79" i="61"/>
  <c r="O103" i="61" s="1"/>
  <c r="V55" i="61"/>
  <c r="V91" i="61" s="1"/>
  <c r="N55" i="61"/>
  <c r="N91" i="61" s="1"/>
  <c r="N79" i="61"/>
  <c r="N103" i="61" s="1"/>
  <c r="G79" i="61"/>
  <c r="G103" i="61" s="1"/>
  <c r="G55" i="61"/>
  <c r="G91" i="61" s="1"/>
  <c r="T55" i="61"/>
  <c r="T91" i="61" s="1"/>
  <c r="T79" i="61"/>
  <c r="T103" i="61" s="1"/>
  <c r="M110" i="55"/>
  <c r="H79" i="61"/>
  <c r="H55" i="61"/>
  <c r="H91" i="61" s="1"/>
  <c r="P79" i="61"/>
  <c r="P103" i="61" s="1"/>
  <c r="P55" i="61"/>
  <c r="P91" i="61" s="1"/>
  <c r="E55" i="61"/>
  <c r="E91" i="61" s="1"/>
  <c r="E79" i="61"/>
  <c r="E103" i="61" s="1"/>
  <c r="M79" i="61"/>
  <c r="M55" i="61"/>
  <c r="M91" i="61" s="1"/>
  <c r="K79" i="61"/>
  <c r="K103" i="61" s="1"/>
  <c r="K55" i="61"/>
  <c r="K91" i="61" s="1"/>
  <c r="I79" i="61"/>
  <c r="I103" i="61" s="1"/>
  <c r="I55" i="61"/>
  <c r="I91" i="61" s="1"/>
  <c r="F55" i="61"/>
  <c r="F91" i="61" s="1"/>
  <c r="F79" i="61"/>
  <c r="F103" i="61" s="1"/>
  <c r="J79" i="61"/>
  <c r="J103" i="61" s="1"/>
  <c r="J55" i="61"/>
  <c r="J91" i="61" s="1"/>
  <c r="R79" i="61"/>
  <c r="R55" i="61"/>
  <c r="R91" i="61" s="1"/>
  <c r="R110" i="55"/>
  <c r="J54" i="61"/>
  <c r="J78" i="61"/>
  <c r="J102" i="61" s="1"/>
  <c r="H109" i="55"/>
  <c r="L54" i="61"/>
  <c r="L78" i="61"/>
  <c r="L102" i="61" s="1"/>
  <c r="G78" i="61"/>
  <c r="G102" i="61" s="1"/>
  <c r="G54" i="61"/>
  <c r="K54" i="61"/>
  <c r="K78" i="61"/>
  <c r="K102" i="61" s="1"/>
  <c r="F78" i="61"/>
  <c r="F102" i="61" s="1"/>
  <c r="F112" i="61" s="1"/>
  <c r="F54" i="61"/>
  <c r="I78" i="61"/>
  <c r="I102" i="61" s="1"/>
  <c r="I54" i="61"/>
  <c r="M102" i="61"/>
  <c r="H54" i="61"/>
  <c r="H78" i="61"/>
  <c r="E78" i="61"/>
  <c r="E54" i="61"/>
  <c r="H101" i="61"/>
  <c r="G52" i="58"/>
  <c r="G72" i="58" s="1"/>
  <c r="G32" i="58"/>
  <c r="G62" i="58" s="1"/>
  <c r="H72" i="58"/>
  <c r="C52" i="58"/>
  <c r="C54" i="58" s="1"/>
  <c r="C32" i="58"/>
  <c r="C62" i="58" s="1"/>
  <c r="C44" i="58"/>
  <c r="H32" i="58"/>
  <c r="H62" i="58" s="1"/>
  <c r="D32" i="58"/>
  <c r="D62" i="58" s="1"/>
  <c r="E44" i="58"/>
  <c r="E31" i="58"/>
  <c r="E51" i="58"/>
  <c r="G44" i="58"/>
  <c r="G51" i="58"/>
  <c r="D31" i="58"/>
  <c r="D51" i="58"/>
  <c r="D44" i="58"/>
  <c r="F44" i="58"/>
  <c r="F51" i="58"/>
  <c r="F31" i="58"/>
  <c r="C61" i="58"/>
  <c r="C71" i="58"/>
  <c r="I58" i="48"/>
  <c r="I82" i="48"/>
  <c r="I106" i="48" s="1"/>
  <c r="J58" i="48"/>
  <c r="J94" i="48" s="1"/>
  <c r="J82" i="48"/>
  <c r="J106" i="48" s="1"/>
  <c r="L58" i="48"/>
  <c r="L82" i="48"/>
  <c r="L106" i="48" s="1"/>
  <c r="H75" i="48"/>
  <c r="H84" i="48"/>
  <c r="E61" i="48"/>
  <c r="E97" i="48" s="1"/>
  <c r="E29" i="57"/>
  <c r="E85" i="48"/>
  <c r="E109" i="48" s="1"/>
  <c r="H38" i="57"/>
  <c r="F29" i="57"/>
  <c r="F85" i="48"/>
  <c r="F109" i="48" s="1"/>
  <c r="G85" i="48"/>
  <c r="G109" i="48" s="1"/>
  <c r="G29" i="57"/>
  <c r="D38" i="57"/>
  <c r="D31" i="57"/>
  <c r="D20" i="57"/>
  <c r="K119" i="55"/>
  <c r="D119" i="55"/>
  <c r="Q119" i="55"/>
  <c r="W119" i="55"/>
  <c r="N78" i="61"/>
  <c r="N102" i="61" s="1"/>
  <c r="N54" i="61"/>
  <c r="P21" i="61"/>
  <c r="O66" i="61"/>
  <c r="G80" i="61"/>
  <c r="G104" i="61" s="1"/>
  <c r="G56" i="61"/>
  <c r="G92" i="61" s="1"/>
  <c r="I43" i="61"/>
  <c r="H68" i="61"/>
  <c r="I53" i="61"/>
  <c r="I89" i="61" s="1"/>
  <c r="I77" i="61"/>
  <c r="I101" i="61" s="1"/>
  <c r="K10" i="61"/>
  <c r="K65" i="61" s="1"/>
  <c r="T119" i="55"/>
  <c r="D95" i="51"/>
  <c r="D101" i="51" s="1"/>
  <c r="F119" i="55"/>
  <c r="L119" i="55"/>
  <c r="I119" i="55"/>
  <c r="L10" i="57"/>
  <c r="K10" i="58"/>
  <c r="L72" i="58"/>
  <c r="L32" i="58"/>
  <c r="L62" i="58" s="1"/>
  <c r="N21" i="58"/>
  <c r="N42" i="58" s="1"/>
  <c r="N52" i="58" s="1"/>
  <c r="H31" i="57"/>
  <c r="E119" i="55"/>
  <c r="G119" i="55"/>
  <c r="S119" i="55"/>
  <c r="U119" i="55"/>
  <c r="V119" i="55"/>
  <c r="O119" i="55"/>
  <c r="N119" i="55"/>
  <c r="D51" i="51"/>
  <c r="C95" i="51"/>
  <c r="E95" i="51"/>
  <c r="E101" i="51" s="1"/>
  <c r="G95" i="51"/>
  <c r="G101" i="51" s="1"/>
  <c r="F95" i="51"/>
  <c r="F101" i="51" s="1"/>
  <c r="G51" i="51"/>
  <c r="F51" i="51"/>
  <c r="C73" i="51"/>
  <c r="C84" i="51"/>
  <c r="H62" i="51"/>
  <c r="C51" i="51"/>
  <c r="D73" i="51"/>
  <c r="F73" i="51"/>
  <c r="C87" i="48"/>
  <c r="K70" i="48"/>
  <c r="F75" i="48"/>
  <c r="D87" i="48"/>
  <c r="G75" i="48"/>
  <c r="H39" i="48"/>
  <c r="I39" i="35"/>
  <c r="L71" i="48"/>
  <c r="N28" i="35"/>
  <c r="M28" i="48"/>
  <c r="E75" i="48"/>
  <c r="J59" i="48"/>
  <c r="J95" i="48" s="1"/>
  <c r="H61" i="48"/>
  <c r="H97" i="48" s="1"/>
  <c r="D95" i="48"/>
  <c r="G61" i="48"/>
  <c r="G97" i="48" s="1"/>
  <c r="F61" i="48"/>
  <c r="F97" i="48" s="1"/>
  <c r="I73" i="48"/>
  <c r="L48" i="48"/>
  <c r="K73" i="48"/>
  <c r="K85" i="48" s="1"/>
  <c r="K109" i="48" s="1"/>
  <c r="J73" i="48"/>
  <c r="I17" i="48"/>
  <c r="I72" i="48" s="1"/>
  <c r="I84" i="48" s="1"/>
  <c r="I108" i="48" s="1"/>
  <c r="J17" i="35"/>
  <c r="H47" i="51"/>
  <c r="H51" i="51" s="1"/>
  <c r="E80" i="51"/>
  <c r="F80" i="51"/>
  <c r="D80" i="51"/>
  <c r="J26" i="51"/>
  <c r="O15" i="51"/>
  <c r="G80" i="51"/>
  <c r="E95" i="48"/>
  <c r="F95" i="48"/>
  <c r="C95" i="48"/>
  <c r="D111" i="48"/>
  <c r="D117" i="48" s="1"/>
  <c r="D94" i="48"/>
  <c r="D63" i="48"/>
  <c r="C94" i="48"/>
  <c r="C63" i="48"/>
  <c r="E96" i="48"/>
  <c r="Q26" i="48"/>
  <c r="F94" i="48"/>
  <c r="F96" i="48"/>
  <c r="G95" i="48"/>
  <c r="H60" i="48"/>
  <c r="G94" i="48"/>
  <c r="H95" i="48"/>
  <c r="G96" i="48"/>
  <c r="I59" i="48"/>
  <c r="K59" i="48"/>
  <c r="H94" i="48"/>
  <c r="D96" i="48"/>
  <c r="J15" i="48"/>
  <c r="E94" i="48"/>
  <c r="D49" i="43"/>
  <c r="D51" i="43" s="1"/>
  <c r="E28" i="43"/>
  <c r="F28" i="43" s="1"/>
  <c r="G28" i="43" s="1"/>
  <c r="H28" i="43" s="1"/>
  <c r="D57" i="38"/>
  <c r="D77" i="38" s="1"/>
  <c r="H57" i="38"/>
  <c r="D56" i="38"/>
  <c r="D76" i="38" s="1"/>
  <c r="F57" i="38"/>
  <c r="F77" i="38" s="1"/>
  <c r="E26" i="38"/>
  <c r="E56" i="38" s="1"/>
  <c r="E76" i="38" s="1"/>
  <c r="C57" i="38"/>
  <c r="C56" i="38"/>
  <c r="E57" i="38"/>
  <c r="E77" i="38" s="1"/>
  <c r="I57" i="38"/>
  <c r="I77" i="38" s="1"/>
  <c r="G57" i="38"/>
  <c r="G77" i="38" s="1"/>
  <c r="H92" i="51" l="1"/>
  <c r="H95" i="51" s="1"/>
  <c r="N13" i="50"/>
  <c r="N15" i="50" s="1"/>
  <c r="O13" i="50"/>
  <c r="O15" i="50" s="1"/>
  <c r="O31" i="50" s="1"/>
  <c r="H108" i="48"/>
  <c r="H111" i="48" s="1"/>
  <c r="O8" i="50"/>
  <c r="O10" i="50" s="1"/>
  <c r="O29" i="50" s="1"/>
  <c r="N8" i="50"/>
  <c r="N10" i="50" s="1"/>
  <c r="N29" i="50" s="1"/>
  <c r="K15" i="38"/>
  <c r="J46" i="38"/>
  <c r="J57" i="38"/>
  <c r="J77" i="38" s="1"/>
  <c r="H77" i="38"/>
  <c r="E13" i="50"/>
  <c r="D13" i="50"/>
  <c r="C13" i="50"/>
  <c r="B13" i="50"/>
  <c r="C76" i="38"/>
  <c r="C12" i="50"/>
  <c r="B12" i="50"/>
  <c r="V40" i="50"/>
  <c r="C63" i="57"/>
  <c r="V41" i="50"/>
  <c r="C64" i="57"/>
  <c r="V29" i="50"/>
  <c r="W29" i="50"/>
  <c r="H51" i="58"/>
  <c r="H31" i="58"/>
  <c r="H61" i="58" s="1"/>
  <c r="H64" i="58" s="1"/>
  <c r="G34" i="58"/>
  <c r="E63" i="48"/>
  <c r="C34" i="58"/>
  <c r="K28" i="38"/>
  <c r="K47" i="38" s="1"/>
  <c r="J28" i="51"/>
  <c r="J58" i="51" s="1"/>
  <c r="J69" i="51" s="1"/>
  <c r="J91" i="51" s="1"/>
  <c r="K17" i="38"/>
  <c r="J17" i="51"/>
  <c r="J59" i="51" s="1"/>
  <c r="I41" i="58"/>
  <c r="I44" i="58" s="1"/>
  <c r="I48" i="51"/>
  <c r="I81" i="51" s="1"/>
  <c r="I70" i="51"/>
  <c r="I92" i="51" s="1"/>
  <c r="I95" i="51" s="1"/>
  <c r="I101" i="51" s="1"/>
  <c r="L15" i="50"/>
  <c r="G64" i="58"/>
  <c r="G79" i="58" s="1"/>
  <c r="G112" i="61"/>
  <c r="P33" i="50"/>
  <c r="R33" i="50"/>
  <c r="R103" i="61"/>
  <c r="H103" i="61"/>
  <c r="M103" i="61"/>
  <c r="D102" i="61"/>
  <c r="D112" i="61" s="1"/>
  <c r="L90" i="61"/>
  <c r="L111" i="61" s="1"/>
  <c r="H102" i="61"/>
  <c r="I90" i="61"/>
  <c r="I111" i="61" s="1"/>
  <c r="J90" i="61"/>
  <c r="J111" i="61" s="1"/>
  <c r="E90" i="61"/>
  <c r="E111" i="61" s="1"/>
  <c r="K90" i="61"/>
  <c r="K111" i="61" s="1"/>
  <c r="H90" i="61"/>
  <c r="G90" i="61"/>
  <c r="G111" i="61" s="1"/>
  <c r="M111" i="61"/>
  <c r="Z48" i="50"/>
  <c r="E102" i="61"/>
  <c r="E112" i="61" s="1"/>
  <c r="F90" i="61"/>
  <c r="F111" i="61" s="1"/>
  <c r="F113" i="61" s="1"/>
  <c r="N33" i="50"/>
  <c r="C64" i="58"/>
  <c r="V44" i="50" s="1"/>
  <c r="G54" i="58"/>
  <c r="C72" i="58"/>
  <c r="C74" i="58" s="1"/>
  <c r="V45" i="50" s="1"/>
  <c r="V15" i="50"/>
  <c r="G71" i="58"/>
  <c r="G74" i="58" s="1"/>
  <c r="G80" i="58" s="1"/>
  <c r="F61" i="58"/>
  <c r="F64" i="58" s="1"/>
  <c r="F79" i="58" s="1"/>
  <c r="F34" i="58"/>
  <c r="D71" i="58"/>
  <c r="D74" i="58" s="1"/>
  <c r="D80" i="58" s="1"/>
  <c r="D54" i="58"/>
  <c r="E61" i="58"/>
  <c r="E64" i="58" s="1"/>
  <c r="E79" i="58" s="1"/>
  <c r="E34" i="58"/>
  <c r="E54" i="58"/>
  <c r="E71" i="58"/>
  <c r="E74" i="58" s="1"/>
  <c r="E80" i="58" s="1"/>
  <c r="F54" i="58"/>
  <c r="F71" i="58"/>
  <c r="F74" i="58" s="1"/>
  <c r="F80" i="58" s="1"/>
  <c r="D61" i="58"/>
  <c r="D64" i="58" s="1"/>
  <c r="D79" i="58" s="1"/>
  <c r="D34" i="58"/>
  <c r="Y29" i="50"/>
  <c r="X29" i="50"/>
  <c r="K58" i="48"/>
  <c r="K94" i="48" s="1"/>
  <c r="K82" i="48"/>
  <c r="K106" i="48" s="1"/>
  <c r="L59" i="48"/>
  <c r="L95" i="48" s="1"/>
  <c r="L83" i="48"/>
  <c r="L107" i="48" s="1"/>
  <c r="C77" i="38"/>
  <c r="F87" i="48"/>
  <c r="G87" i="48"/>
  <c r="J85" i="48"/>
  <c r="J109" i="48" s="1"/>
  <c r="J29" i="57"/>
  <c r="I61" i="48"/>
  <c r="I97" i="48" s="1"/>
  <c r="I85" i="48"/>
  <c r="I109" i="48" s="1"/>
  <c r="I29" i="57"/>
  <c r="I31" i="57" s="1"/>
  <c r="H40" i="57"/>
  <c r="H56" i="57"/>
  <c r="H58" i="57" s="1"/>
  <c r="D40" i="57"/>
  <c r="D56" i="57"/>
  <c r="D58" i="57" s="1"/>
  <c r="D64" i="57" s="1"/>
  <c r="G20" i="57"/>
  <c r="G38" i="57"/>
  <c r="G31" i="57"/>
  <c r="F38" i="57"/>
  <c r="F20" i="57"/>
  <c r="F31" i="57"/>
  <c r="E38" i="57"/>
  <c r="E20" i="57"/>
  <c r="E31" i="57"/>
  <c r="E87" i="48"/>
  <c r="K29" i="57"/>
  <c r="K38" i="57" s="1"/>
  <c r="D47" i="57"/>
  <c r="D49" i="57" s="1"/>
  <c r="D63" i="57" s="1"/>
  <c r="D22" i="57"/>
  <c r="H20" i="57"/>
  <c r="H47" i="57" s="1"/>
  <c r="H118" i="55"/>
  <c r="N48" i="50"/>
  <c r="C101" i="51"/>
  <c r="L45" i="50"/>
  <c r="C100" i="51"/>
  <c r="L44" i="50"/>
  <c r="R119" i="55"/>
  <c r="R49" i="50"/>
  <c r="M119" i="55"/>
  <c r="P49" i="50"/>
  <c r="H119" i="55"/>
  <c r="N49" i="50"/>
  <c r="L29" i="50"/>
  <c r="N90" i="61"/>
  <c r="N111" i="61" s="1"/>
  <c r="H80" i="61"/>
  <c r="H56" i="61"/>
  <c r="H92" i="61" s="1"/>
  <c r="J43" i="61"/>
  <c r="I68" i="61"/>
  <c r="O54" i="61"/>
  <c r="O78" i="61"/>
  <c r="O102" i="61" s="1"/>
  <c r="Q21" i="61"/>
  <c r="P66" i="61"/>
  <c r="J53" i="61"/>
  <c r="J89" i="61" s="1"/>
  <c r="J77" i="61"/>
  <c r="J101" i="61" s="1"/>
  <c r="L10" i="61"/>
  <c r="L65" i="61" s="1"/>
  <c r="E111" i="48"/>
  <c r="E117" i="48" s="1"/>
  <c r="M10" i="57"/>
  <c r="L10" i="58"/>
  <c r="M32" i="58"/>
  <c r="M62" i="58" s="1"/>
  <c r="M72" i="58"/>
  <c r="O21" i="58"/>
  <c r="O42" i="58" s="1"/>
  <c r="O52" i="58" s="1"/>
  <c r="I62" i="51"/>
  <c r="F84" i="51"/>
  <c r="F100" i="51" s="1"/>
  <c r="G84" i="51"/>
  <c r="G100" i="51" s="1"/>
  <c r="E84" i="51"/>
  <c r="E100" i="51" s="1"/>
  <c r="D84" i="51"/>
  <c r="D100" i="51" s="1"/>
  <c r="H73" i="51"/>
  <c r="C111" i="48"/>
  <c r="D59" i="43"/>
  <c r="C59" i="43"/>
  <c r="H87" i="48"/>
  <c r="Q118" i="55"/>
  <c r="O118" i="55"/>
  <c r="P118" i="55"/>
  <c r="T118" i="55"/>
  <c r="U118" i="55"/>
  <c r="F118" i="55"/>
  <c r="K118" i="55"/>
  <c r="J118" i="55"/>
  <c r="E79" i="38"/>
  <c r="D79" i="38"/>
  <c r="G111" i="48"/>
  <c r="G117" i="48" s="1"/>
  <c r="J39" i="35"/>
  <c r="I39" i="48"/>
  <c r="G63" i="48"/>
  <c r="C99" i="48"/>
  <c r="L40" i="50" s="1"/>
  <c r="O28" i="35"/>
  <c r="N28" i="48"/>
  <c r="M70" i="48"/>
  <c r="M82" i="48" s="1"/>
  <c r="M71" i="48"/>
  <c r="M83" i="48" s="1"/>
  <c r="F63" i="48"/>
  <c r="I75" i="48"/>
  <c r="F111" i="48"/>
  <c r="F117" i="48" s="1"/>
  <c r="K61" i="48"/>
  <c r="K97" i="48" s="1"/>
  <c r="J61" i="48"/>
  <c r="J97" i="48" s="1"/>
  <c r="M48" i="48"/>
  <c r="L73" i="48"/>
  <c r="L85" i="48" s="1"/>
  <c r="L109" i="48" s="1"/>
  <c r="K17" i="35"/>
  <c r="J17" i="48"/>
  <c r="J72" i="48" s="1"/>
  <c r="J84" i="48" s="1"/>
  <c r="J108" i="48" s="1"/>
  <c r="E99" i="48"/>
  <c r="E116" i="48" s="1"/>
  <c r="H63" i="48"/>
  <c r="S118" i="55"/>
  <c r="W118" i="55"/>
  <c r="V118" i="55"/>
  <c r="N118" i="55"/>
  <c r="I118" i="55"/>
  <c r="L118" i="55"/>
  <c r="G118" i="55"/>
  <c r="E118" i="55"/>
  <c r="I47" i="51"/>
  <c r="P15" i="51"/>
  <c r="K26" i="51"/>
  <c r="H80" i="51"/>
  <c r="G99" i="48"/>
  <c r="G116" i="48" s="1"/>
  <c r="K15" i="48"/>
  <c r="L94" i="48"/>
  <c r="I94" i="48"/>
  <c r="F99" i="48"/>
  <c r="F116" i="48" s="1"/>
  <c r="R26" i="48"/>
  <c r="D99" i="48"/>
  <c r="D116" i="48" s="1"/>
  <c r="I60" i="48"/>
  <c r="K95" i="48"/>
  <c r="I95" i="48"/>
  <c r="H96" i="48"/>
  <c r="H99" i="48" s="1"/>
  <c r="D39" i="43"/>
  <c r="C39" i="43"/>
  <c r="F49" i="43"/>
  <c r="F51" i="43" s="1"/>
  <c r="H49" i="43"/>
  <c r="H51" i="43" s="1"/>
  <c r="I28" i="43"/>
  <c r="E49" i="43"/>
  <c r="G49" i="43"/>
  <c r="G51" i="43" s="1"/>
  <c r="H37" i="38"/>
  <c r="H67" i="38" s="1"/>
  <c r="D49" i="38"/>
  <c r="D36" i="38"/>
  <c r="E36" i="38"/>
  <c r="I37" i="38"/>
  <c r="I67" i="38" s="1"/>
  <c r="D37" i="38"/>
  <c r="D67" i="38" s="1"/>
  <c r="C37" i="38"/>
  <c r="C67" i="38" s="1"/>
  <c r="E37" i="38"/>
  <c r="E67" i="38" s="1"/>
  <c r="C49" i="38"/>
  <c r="C36" i="38"/>
  <c r="G37" i="38"/>
  <c r="G67" i="38" s="1"/>
  <c r="F26" i="38"/>
  <c r="E49" i="38"/>
  <c r="J37" i="38"/>
  <c r="J67" i="38" s="1"/>
  <c r="F37" i="38"/>
  <c r="F67" i="38" s="1"/>
  <c r="H101" i="51" l="1"/>
  <c r="N45" i="50"/>
  <c r="X12" i="50"/>
  <c r="X15" i="50" s="1"/>
  <c r="Y12" i="50"/>
  <c r="Y15" i="50" s="1"/>
  <c r="Y22" i="50" s="1"/>
  <c r="E64" i="50" s="1"/>
  <c r="O22" i="50"/>
  <c r="O34" i="50" s="1"/>
  <c r="N22" i="50"/>
  <c r="M106" i="48"/>
  <c r="Q6" i="50"/>
  <c r="P6" i="50"/>
  <c r="M107" i="48"/>
  <c r="Q7" i="50"/>
  <c r="P7" i="50"/>
  <c r="L15" i="38"/>
  <c r="K46" i="38"/>
  <c r="B15" i="50"/>
  <c r="C15" i="50"/>
  <c r="C31" i="50" s="1"/>
  <c r="H34" i="58"/>
  <c r="V42" i="50"/>
  <c r="H71" i="58"/>
  <c r="H74" i="58" s="1"/>
  <c r="H80" i="58" s="1"/>
  <c r="H54" i="58"/>
  <c r="V31" i="50"/>
  <c r="W31" i="50"/>
  <c r="L31" i="50"/>
  <c r="I31" i="58"/>
  <c r="I61" i="58" s="1"/>
  <c r="I64" i="58" s="1"/>
  <c r="I79" i="58" s="1"/>
  <c r="I81" i="58" s="1"/>
  <c r="I73" i="51"/>
  <c r="I51" i="58"/>
  <c r="I71" i="58" s="1"/>
  <c r="I74" i="58" s="1"/>
  <c r="I80" i="58" s="1"/>
  <c r="I51" i="51"/>
  <c r="K28" i="51"/>
  <c r="L28" i="38"/>
  <c r="L47" i="38" s="1"/>
  <c r="J41" i="58"/>
  <c r="J44" i="58" s="1"/>
  <c r="J48" i="51"/>
  <c r="J81" i="51" s="1"/>
  <c r="J70" i="51"/>
  <c r="J92" i="51" s="1"/>
  <c r="J95" i="51" s="1"/>
  <c r="J101" i="51" s="1"/>
  <c r="K17" i="51"/>
  <c r="K59" i="51" s="1"/>
  <c r="L17" i="38"/>
  <c r="C79" i="58"/>
  <c r="C80" i="58"/>
  <c r="V46" i="50"/>
  <c r="G113" i="61"/>
  <c r="H104" i="61"/>
  <c r="E113" i="61"/>
  <c r="H111" i="61"/>
  <c r="X48" i="50"/>
  <c r="H79" i="58"/>
  <c r="H81" i="58" s="1"/>
  <c r="X44" i="50"/>
  <c r="H64" i="57"/>
  <c r="X41" i="50"/>
  <c r="C61" i="43"/>
  <c r="C79" i="43"/>
  <c r="C81" i="43" s="1"/>
  <c r="B49" i="50" s="1"/>
  <c r="D61" i="43"/>
  <c r="D79" i="43"/>
  <c r="D81" i="43" s="1"/>
  <c r="N50" i="50"/>
  <c r="H22" i="57"/>
  <c r="K40" i="57"/>
  <c r="K56" i="57"/>
  <c r="E56" i="57"/>
  <c r="E58" i="57" s="1"/>
  <c r="E64" i="57" s="1"/>
  <c r="E40" i="57"/>
  <c r="G40" i="57"/>
  <c r="G56" i="57"/>
  <c r="G58" i="57" s="1"/>
  <c r="G64" i="57" s="1"/>
  <c r="L29" i="57"/>
  <c r="L38" i="57" s="1"/>
  <c r="F47" i="57"/>
  <c r="F49" i="57" s="1"/>
  <c r="F63" i="57" s="1"/>
  <c r="F22" i="57"/>
  <c r="G47" i="57"/>
  <c r="G49" i="57" s="1"/>
  <c r="G63" i="57" s="1"/>
  <c r="G22" i="57"/>
  <c r="J38" i="57"/>
  <c r="J20" i="57"/>
  <c r="J47" i="57" s="1"/>
  <c r="K20" i="57"/>
  <c r="K47" i="57" s="1"/>
  <c r="E47" i="57"/>
  <c r="E49" i="57" s="1"/>
  <c r="E63" i="57" s="1"/>
  <c r="E22" i="57"/>
  <c r="F40" i="57"/>
  <c r="F56" i="57"/>
  <c r="F58" i="57" s="1"/>
  <c r="F64" i="57" s="1"/>
  <c r="I38" i="57"/>
  <c r="I20" i="57"/>
  <c r="I47" i="57" s="1"/>
  <c r="M118" i="55"/>
  <c r="M120" i="55" s="1"/>
  <c r="P48" i="50"/>
  <c r="P50" i="50" s="1"/>
  <c r="C116" i="48"/>
  <c r="R118" i="55"/>
  <c r="R120" i="55" s="1"/>
  <c r="R48" i="50"/>
  <c r="R50" i="50" s="1"/>
  <c r="L46" i="50"/>
  <c r="H116" i="48"/>
  <c r="H118" i="48" s="1"/>
  <c r="N40" i="50"/>
  <c r="H117" i="48"/>
  <c r="N41" i="50"/>
  <c r="C117" i="48"/>
  <c r="L41" i="50"/>
  <c r="K43" i="61"/>
  <c r="J68" i="61"/>
  <c r="P78" i="61"/>
  <c r="P102" i="61" s="1"/>
  <c r="P54" i="61"/>
  <c r="O90" i="61"/>
  <c r="O111" i="61" s="1"/>
  <c r="R21" i="61"/>
  <c r="Q66" i="61"/>
  <c r="I80" i="61"/>
  <c r="I56" i="61"/>
  <c r="I92" i="61" s="1"/>
  <c r="K77" i="61"/>
  <c r="K101" i="61" s="1"/>
  <c r="K53" i="61"/>
  <c r="K89" i="61" s="1"/>
  <c r="M10" i="61"/>
  <c r="M65" i="61" s="1"/>
  <c r="D69" i="43"/>
  <c r="D71" i="43" s="1"/>
  <c r="D86" i="43" s="1"/>
  <c r="D41" i="43"/>
  <c r="C69" i="43"/>
  <c r="C71" i="43" s="1"/>
  <c r="B48" i="50" s="1"/>
  <c r="C41" i="43"/>
  <c r="E59" i="43"/>
  <c r="E51" i="43"/>
  <c r="N10" i="57"/>
  <c r="M10" i="58"/>
  <c r="N32" i="58"/>
  <c r="N62" i="58" s="1"/>
  <c r="N72" i="58"/>
  <c r="P21" i="58"/>
  <c r="P42" i="58" s="1"/>
  <c r="P52" i="58" s="1"/>
  <c r="J31" i="57"/>
  <c r="H49" i="57"/>
  <c r="H84" i="51"/>
  <c r="J62" i="51"/>
  <c r="I111" i="48"/>
  <c r="I117" i="48" s="1"/>
  <c r="B21" i="50"/>
  <c r="G59" i="43"/>
  <c r="F59" i="43"/>
  <c r="H59" i="43"/>
  <c r="H79" i="43" s="1"/>
  <c r="H81" i="43" s="1"/>
  <c r="D49" i="50" s="1"/>
  <c r="C79" i="38"/>
  <c r="B45" i="50" s="1"/>
  <c r="C59" i="38"/>
  <c r="I87" i="48"/>
  <c r="O120" i="55"/>
  <c r="E39" i="43"/>
  <c r="D59" i="38"/>
  <c r="E59" i="38"/>
  <c r="J39" i="48"/>
  <c r="K39" i="35"/>
  <c r="M59" i="48"/>
  <c r="P28" i="35"/>
  <c r="O28" i="48"/>
  <c r="M58" i="48"/>
  <c r="M94" i="48" s="1"/>
  <c r="N70" i="48"/>
  <c r="N82" i="48" s="1"/>
  <c r="N106" i="48" s="1"/>
  <c r="N71" i="48"/>
  <c r="N83" i="48" s="1"/>
  <c r="N107" i="48" s="1"/>
  <c r="N48" i="48"/>
  <c r="M73" i="48"/>
  <c r="M85" i="48" s="1"/>
  <c r="M109" i="48" s="1"/>
  <c r="L61" i="48"/>
  <c r="L97" i="48" s="1"/>
  <c r="L17" i="35"/>
  <c r="K17" i="48"/>
  <c r="K72" i="48" s="1"/>
  <c r="K84" i="48" s="1"/>
  <c r="K108" i="48" s="1"/>
  <c r="H120" i="55"/>
  <c r="Q15" i="51"/>
  <c r="L26" i="51"/>
  <c r="K58" i="51"/>
  <c r="K69" i="51" s="1"/>
  <c r="K91" i="51" s="1"/>
  <c r="J47" i="51"/>
  <c r="I80" i="51"/>
  <c r="S26" i="48"/>
  <c r="J87" i="48"/>
  <c r="J60" i="48"/>
  <c r="J75" i="48"/>
  <c r="I96" i="48"/>
  <c r="I99" i="48" s="1"/>
  <c r="I63" i="48"/>
  <c r="L15" i="48"/>
  <c r="G39" i="43"/>
  <c r="F39" i="43"/>
  <c r="H39" i="43"/>
  <c r="D66" i="38"/>
  <c r="J28" i="43"/>
  <c r="I49" i="43"/>
  <c r="D39" i="38"/>
  <c r="C66" i="38"/>
  <c r="C39" i="38"/>
  <c r="G26" i="38"/>
  <c r="E66" i="38"/>
  <c r="X22" i="50" l="1"/>
  <c r="D64" i="50" s="1"/>
  <c r="X31" i="50"/>
  <c r="Y31" i="50"/>
  <c r="L46" i="38"/>
  <c r="M15" i="38"/>
  <c r="C22" i="50"/>
  <c r="C34" i="50" s="1"/>
  <c r="C58" i="50" s="1"/>
  <c r="L20" i="57"/>
  <c r="L47" i="57" s="1"/>
  <c r="I34" i="58"/>
  <c r="X45" i="50"/>
  <c r="X46" i="50" s="1"/>
  <c r="B50" i="50"/>
  <c r="N31" i="50"/>
  <c r="I54" i="58"/>
  <c r="J31" i="58"/>
  <c r="J61" i="58" s="1"/>
  <c r="J64" i="58" s="1"/>
  <c r="J79" i="58" s="1"/>
  <c r="J51" i="51"/>
  <c r="J51" i="58"/>
  <c r="J54" i="58" s="1"/>
  <c r="L28" i="51"/>
  <c r="L58" i="51" s="1"/>
  <c r="L69" i="51" s="1"/>
  <c r="L91" i="51" s="1"/>
  <c r="M28" i="38"/>
  <c r="M47" i="38" s="1"/>
  <c r="J73" i="51"/>
  <c r="K57" i="38"/>
  <c r="K77" i="38" s="1"/>
  <c r="K37" i="38"/>
  <c r="K67" i="38" s="1"/>
  <c r="K48" i="51"/>
  <c r="K81" i="51" s="1"/>
  <c r="K41" i="58"/>
  <c r="K44" i="58" s="1"/>
  <c r="K70" i="51"/>
  <c r="K92" i="51" s="1"/>
  <c r="K95" i="51" s="1"/>
  <c r="K101" i="51" s="1"/>
  <c r="L17" i="51"/>
  <c r="L59" i="51" s="1"/>
  <c r="M17" i="38"/>
  <c r="B31" i="50"/>
  <c r="B33" i="50"/>
  <c r="H112" i="61"/>
  <c r="H113" i="61" s="1"/>
  <c r="X49" i="50"/>
  <c r="X50" i="50" s="1"/>
  <c r="Y33" i="50"/>
  <c r="X33" i="50"/>
  <c r="I104" i="61"/>
  <c r="I112" i="61" s="1"/>
  <c r="I113" i="61" s="1"/>
  <c r="H63" i="57"/>
  <c r="X40" i="50"/>
  <c r="X42" i="50" s="1"/>
  <c r="F61" i="43"/>
  <c r="F79" i="43"/>
  <c r="F81" i="43" s="1"/>
  <c r="G61" i="43"/>
  <c r="G79" i="43"/>
  <c r="G81" i="43" s="1"/>
  <c r="E61" i="43"/>
  <c r="E79" i="43"/>
  <c r="E81" i="43" s="1"/>
  <c r="F56" i="38"/>
  <c r="F76" i="38" s="1"/>
  <c r="F79" i="38" s="1"/>
  <c r="L40" i="57"/>
  <c r="L56" i="57"/>
  <c r="J56" i="57"/>
  <c r="J40" i="57"/>
  <c r="I40" i="57"/>
  <c r="I56" i="57"/>
  <c r="I58" i="57" s="1"/>
  <c r="I64" i="57" s="1"/>
  <c r="M29" i="57"/>
  <c r="M38" i="57" s="1"/>
  <c r="I22" i="57"/>
  <c r="N42" i="50"/>
  <c r="H100" i="51"/>
  <c r="H102" i="51" s="1"/>
  <c r="N44" i="50"/>
  <c r="N46" i="50" s="1"/>
  <c r="L42" i="50"/>
  <c r="Q78" i="61"/>
  <c r="Q102" i="61" s="1"/>
  <c r="Q54" i="61"/>
  <c r="S21" i="61"/>
  <c r="R66" i="61"/>
  <c r="J56" i="61"/>
  <c r="J92" i="61" s="1"/>
  <c r="J80" i="61"/>
  <c r="L43" i="61"/>
  <c r="K68" i="61"/>
  <c r="P90" i="61"/>
  <c r="P111" i="61" s="1"/>
  <c r="L77" i="61"/>
  <c r="L101" i="61" s="1"/>
  <c r="L53" i="61"/>
  <c r="L89" i="61" s="1"/>
  <c r="N10" i="61"/>
  <c r="N65" i="61" s="1"/>
  <c r="H69" i="43"/>
  <c r="H71" i="43" s="1"/>
  <c r="D48" i="50" s="1"/>
  <c r="D50" i="50" s="1"/>
  <c r="H41" i="43"/>
  <c r="E69" i="43"/>
  <c r="E71" i="43" s="1"/>
  <c r="E86" i="43" s="1"/>
  <c r="E41" i="43"/>
  <c r="I59" i="43"/>
  <c r="I51" i="43"/>
  <c r="G69" i="43"/>
  <c r="G71" i="43" s="1"/>
  <c r="G41" i="43"/>
  <c r="D33" i="50"/>
  <c r="H61" i="43"/>
  <c r="F69" i="43"/>
  <c r="F71" i="43" s="1"/>
  <c r="F86" i="43" s="1"/>
  <c r="F41" i="43"/>
  <c r="O10" i="57"/>
  <c r="N10" i="58"/>
  <c r="Q21" i="58"/>
  <c r="Q42" i="58" s="1"/>
  <c r="Q52" i="58" s="1"/>
  <c r="O32" i="58"/>
  <c r="O62" i="58" s="1"/>
  <c r="O72" i="58"/>
  <c r="K31" i="57"/>
  <c r="J22" i="57"/>
  <c r="I49" i="57"/>
  <c r="I63" i="57" s="1"/>
  <c r="K62" i="51"/>
  <c r="I84" i="51"/>
  <c r="I100" i="51" s="1"/>
  <c r="I102" i="51" s="1"/>
  <c r="F120" i="55"/>
  <c r="Q120" i="55"/>
  <c r="K120" i="55"/>
  <c r="S120" i="55"/>
  <c r="T120" i="55"/>
  <c r="P120" i="55"/>
  <c r="U120" i="55"/>
  <c r="J120" i="55"/>
  <c r="V120" i="55"/>
  <c r="I39" i="43"/>
  <c r="L39" i="35"/>
  <c r="K39" i="48"/>
  <c r="N58" i="48"/>
  <c r="N94" i="48" s="1"/>
  <c r="O70" i="48"/>
  <c r="O82" i="48" s="1"/>
  <c r="O106" i="48" s="1"/>
  <c r="O71" i="48"/>
  <c r="O83" i="48" s="1"/>
  <c r="O107" i="48" s="1"/>
  <c r="M95" i="48"/>
  <c r="Q28" i="35"/>
  <c r="P28" i="48"/>
  <c r="N59" i="48"/>
  <c r="M61" i="48"/>
  <c r="M97" i="48" s="1"/>
  <c r="O48" i="48"/>
  <c r="N73" i="48"/>
  <c r="N85" i="48" s="1"/>
  <c r="N109" i="48" s="1"/>
  <c r="M17" i="35"/>
  <c r="L17" i="48"/>
  <c r="L72" i="48" s="1"/>
  <c r="L84" i="48" s="1"/>
  <c r="L108" i="48" s="1"/>
  <c r="I120" i="55"/>
  <c r="W120" i="55"/>
  <c r="L120" i="55"/>
  <c r="G120" i="55"/>
  <c r="N120" i="55"/>
  <c r="E120" i="55"/>
  <c r="R15" i="51"/>
  <c r="J80" i="51"/>
  <c r="M26" i="51"/>
  <c r="K47" i="51"/>
  <c r="K51" i="51" s="1"/>
  <c r="I116" i="48"/>
  <c r="I118" i="48" s="1"/>
  <c r="K87" i="48"/>
  <c r="K60" i="48"/>
  <c r="K75" i="48"/>
  <c r="J96" i="48"/>
  <c r="J99" i="48" s="1"/>
  <c r="J116" i="48" s="1"/>
  <c r="J118" i="48" s="1"/>
  <c r="J111" i="48"/>
  <c r="J117" i="48" s="1"/>
  <c r="J63" i="48"/>
  <c r="M15" i="48"/>
  <c r="T26" i="48"/>
  <c r="C69" i="38"/>
  <c r="B44" i="50" s="1"/>
  <c r="B46" i="50" s="1"/>
  <c r="D69" i="38"/>
  <c r="D84" i="38" s="1"/>
  <c r="E69" i="38"/>
  <c r="E84" i="38" s="1"/>
  <c r="D87" i="43"/>
  <c r="C86" i="43"/>
  <c r="C87" i="43"/>
  <c r="K28" i="43"/>
  <c r="J49" i="43"/>
  <c r="E39" i="38"/>
  <c r="F49" i="38"/>
  <c r="F36" i="38"/>
  <c r="H26" i="38"/>
  <c r="N15" i="38" l="1"/>
  <c r="M46" i="38"/>
  <c r="C57" i="50"/>
  <c r="N34" i="50"/>
  <c r="J71" i="58"/>
  <c r="J74" i="58" s="1"/>
  <c r="J80" i="58" s="1"/>
  <c r="J81" i="58" s="1"/>
  <c r="X34" i="50"/>
  <c r="D65" i="50" s="1"/>
  <c r="Y34" i="50"/>
  <c r="E65" i="50" s="1"/>
  <c r="J34" i="58"/>
  <c r="K73" i="51"/>
  <c r="K31" i="58"/>
  <c r="K61" i="58" s="1"/>
  <c r="K64" i="58" s="1"/>
  <c r="K79" i="58" s="1"/>
  <c r="K51" i="58"/>
  <c r="K71" i="58" s="1"/>
  <c r="K74" i="58" s="1"/>
  <c r="K80" i="58" s="1"/>
  <c r="N28" i="38"/>
  <c r="N47" i="38" s="1"/>
  <c r="M28" i="51"/>
  <c r="M58" i="51" s="1"/>
  <c r="M69" i="51" s="1"/>
  <c r="M17" i="51"/>
  <c r="M59" i="51" s="1"/>
  <c r="N17" i="38"/>
  <c r="L41" i="58"/>
  <c r="L44" i="58" s="1"/>
  <c r="L70" i="51"/>
  <c r="L92" i="51" s="1"/>
  <c r="L95" i="51" s="1"/>
  <c r="L101" i="51" s="1"/>
  <c r="L48" i="51"/>
  <c r="L81" i="51" s="1"/>
  <c r="L57" i="38"/>
  <c r="L77" i="38" s="1"/>
  <c r="L37" i="38"/>
  <c r="L67" i="38" s="1"/>
  <c r="J104" i="61"/>
  <c r="J112" i="61" s="1"/>
  <c r="J113" i="61" s="1"/>
  <c r="X51" i="50"/>
  <c r="D66" i="50" s="1"/>
  <c r="M20" i="57"/>
  <c r="M47" i="57" s="1"/>
  <c r="AA29" i="50"/>
  <c r="Z29" i="50"/>
  <c r="I61" i="43"/>
  <c r="I79" i="43"/>
  <c r="I81" i="43" s="1"/>
  <c r="G56" i="38"/>
  <c r="G76" i="38" s="1"/>
  <c r="G79" i="38" s="1"/>
  <c r="F59" i="38"/>
  <c r="M56" i="57"/>
  <c r="M40" i="57"/>
  <c r="N29" i="57"/>
  <c r="N38" i="57" s="1"/>
  <c r="N51" i="50"/>
  <c r="T21" i="61"/>
  <c r="S66" i="61"/>
  <c r="M43" i="61"/>
  <c r="L68" i="61"/>
  <c r="Q90" i="61"/>
  <c r="Q111" i="61" s="1"/>
  <c r="R54" i="61"/>
  <c r="R78" i="61"/>
  <c r="K56" i="61"/>
  <c r="K92" i="61" s="1"/>
  <c r="K80" i="61"/>
  <c r="M77" i="61"/>
  <c r="M53" i="61"/>
  <c r="M89" i="61" s="1"/>
  <c r="O10" i="61"/>
  <c r="O65" i="61" s="1"/>
  <c r="J59" i="43"/>
  <c r="J51" i="43"/>
  <c r="I69" i="43"/>
  <c r="I71" i="43" s="1"/>
  <c r="I41" i="43"/>
  <c r="P10" i="57"/>
  <c r="J49" i="57"/>
  <c r="J63" i="57" s="1"/>
  <c r="J58" i="57"/>
  <c r="J64" i="57" s="1"/>
  <c r="O10" i="58"/>
  <c r="P72" i="58"/>
  <c r="P32" i="58"/>
  <c r="P62" i="58" s="1"/>
  <c r="R21" i="58"/>
  <c r="R42" i="58" s="1"/>
  <c r="R52" i="58" s="1"/>
  <c r="K22" i="57"/>
  <c r="L31" i="57"/>
  <c r="J84" i="51"/>
  <c r="J100" i="51" s="1"/>
  <c r="J102" i="51" s="1"/>
  <c r="L62" i="51"/>
  <c r="C85" i="38"/>
  <c r="J39" i="43"/>
  <c r="M39" i="35"/>
  <c r="L39" i="48"/>
  <c r="O58" i="48"/>
  <c r="O94" i="48" s="1"/>
  <c r="P70" i="48"/>
  <c r="P82" i="48" s="1"/>
  <c r="P106" i="48" s="1"/>
  <c r="P71" i="48"/>
  <c r="P83" i="48" s="1"/>
  <c r="P107" i="48" s="1"/>
  <c r="O59" i="48"/>
  <c r="N95" i="48"/>
  <c r="R28" i="35"/>
  <c r="Q28" i="48"/>
  <c r="P48" i="48"/>
  <c r="O73" i="48"/>
  <c r="O85" i="48" s="1"/>
  <c r="O109" i="48" s="1"/>
  <c r="N61" i="48"/>
  <c r="N97" i="48" s="1"/>
  <c r="N17" i="35"/>
  <c r="M17" i="48"/>
  <c r="M72" i="48" s="1"/>
  <c r="M84" i="48" s="1"/>
  <c r="K80" i="51"/>
  <c r="L47" i="51"/>
  <c r="S15" i="51"/>
  <c r="N26" i="51"/>
  <c r="U26" i="48"/>
  <c r="L87" i="48"/>
  <c r="L60" i="48"/>
  <c r="L75" i="48"/>
  <c r="N15" i="48"/>
  <c r="K96" i="48"/>
  <c r="K99" i="48" s="1"/>
  <c r="K116" i="48" s="1"/>
  <c r="K63" i="48"/>
  <c r="K111" i="48"/>
  <c r="K117" i="48" s="1"/>
  <c r="C84" i="38"/>
  <c r="D85" i="38"/>
  <c r="G86" i="43"/>
  <c r="F87" i="43"/>
  <c r="E87" i="43"/>
  <c r="L28" i="43"/>
  <c r="K49" i="43"/>
  <c r="E85" i="38"/>
  <c r="F39" i="38"/>
  <c r="F66" i="38"/>
  <c r="G49" i="38"/>
  <c r="G36" i="38"/>
  <c r="I26" i="38"/>
  <c r="K81" i="58" l="1"/>
  <c r="M108" i="48"/>
  <c r="Q8" i="50"/>
  <c r="Q10" i="50" s="1"/>
  <c r="Q29" i="50" s="1"/>
  <c r="P8" i="50"/>
  <c r="P10" i="50" s="1"/>
  <c r="P29" i="50" s="1"/>
  <c r="K118" i="48"/>
  <c r="O15" i="38"/>
  <c r="N46" i="38"/>
  <c r="M91" i="51"/>
  <c r="Q12" i="50"/>
  <c r="P12" i="50"/>
  <c r="L73" i="51"/>
  <c r="K34" i="58"/>
  <c r="K54" i="58"/>
  <c r="L51" i="51"/>
  <c r="L51" i="58"/>
  <c r="L71" i="58" s="1"/>
  <c r="L74" i="58" s="1"/>
  <c r="L80" i="58" s="1"/>
  <c r="L31" i="58"/>
  <c r="L61" i="58" s="1"/>
  <c r="L64" i="58" s="1"/>
  <c r="L79" i="58" s="1"/>
  <c r="L81" i="58" s="1"/>
  <c r="O28" i="38"/>
  <c r="O47" i="38" s="1"/>
  <c r="N28" i="51"/>
  <c r="N58" i="51" s="1"/>
  <c r="N69" i="51" s="1"/>
  <c r="N91" i="51" s="1"/>
  <c r="M57" i="38"/>
  <c r="M37" i="38"/>
  <c r="M67" i="38" s="1"/>
  <c r="O17" i="38"/>
  <c r="N17" i="51"/>
  <c r="N59" i="51" s="1"/>
  <c r="M70" i="51"/>
  <c r="M41" i="58"/>
  <c r="M31" i="58" s="1"/>
  <c r="M61" i="58" s="1"/>
  <c r="M48" i="51"/>
  <c r="M81" i="51" s="1"/>
  <c r="G59" i="38"/>
  <c r="K104" i="61"/>
  <c r="K112" i="61" s="1"/>
  <c r="K113" i="61" s="1"/>
  <c r="R102" i="61"/>
  <c r="M101" i="61"/>
  <c r="J61" i="43"/>
  <c r="J79" i="43"/>
  <c r="J81" i="43" s="1"/>
  <c r="H56" i="38"/>
  <c r="N20" i="57"/>
  <c r="N47" i="57" s="1"/>
  <c r="N40" i="57"/>
  <c r="N56" i="57"/>
  <c r="O29" i="57"/>
  <c r="O38" i="57" s="1"/>
  <c r="M68" i="61"/>
  <c r="N43" i="61"/>
  <c r="S78" i="61"/>
  <c r="S102" i="61" s="1"/>
  <c r="S54" i="61"/>
  <c r="R90" i="61"/>
  <c r="U21" i="61"/>
  <c r="T66" i="61"/>
  <c r="L56" i="61"/>
  <c r="L92" i="61" s="1"/>
  <c r="L80" i="61"/>
  <c r="P10" i="61"/>
  <c r="P65" i="61" s="1"/>
  <c r="N53" i="61"/>
  <c r="N89" i="61" s="1"/>
  <c r="N77" i="61"/>
  <c r="N101" i="61" s="1"/>
  <c r="J69" i="43"/>
  <c r="J71" i="43" s="1"/>
  <c r="J41" i="43"/>
  <c r="K59" i="43"/>
  <c r="K51" i="43"/>
  <c r="Q10" i="57"/>
  <c r="K58" i="57"/>
  <c r="K64" i="57" s="1"/>
  <c r="P10" i="58"/>
  <c r="Q32" i="58"/>
  <c r="Q62" i="58" s="1"/>
  <c r="Q72" i="58"/>
  <c r="S21" i="58"/>
  <c r="S42" i="58" s="1"/>
  <c r="S52" i="58" s="1"/>
  <c r="K49" i="57"/>
  <c r="K63" i="57" s="1"/>
  <c r="L22" i="57"/>
  <c r="M31" i="57"/>
  <c r="M62" i="51"/>
  <c r="K84" i="51"/>
  <c r="K100" i="51" s="1"/>
  <c r="K102" i="51" s="1"/>
  <c r="H86" i="43"/>
  <c r="K39" i="43"/>
  <c r="N39" i="35"/>
  <c r="M39" i="48"/>
  <c r="P59" i="48"/>
  <c r="Q70" i="48"/>
  <c r="Q82" i="48" s="1"/>
  <c r="Q106" i="48" s="1"/>
  <c r="Q71" i="48"/>
  <c r="Q83" i="48" s="1"/>
  <c r="Q107" i="48" s="1"/>
  <c r="P58" i="48"/>
  <c r="P94" i="48" s="1"/>
  <c r="S28" i="35"/>
  <c r="R28" i="48"/>
  <c r="O95" i="48"/>
  <c r="O61" i="48"/>
  <c r="O97" i="48" s="1"/>
  <c r="P73" i="48"/>
  <c r="P85" i="48" s="1"/>
  <c r="P109" i="48" s="1"/>
  <c r="Q48" i="48"/>
  <c r="O17" i="35"/>
  <c r="N17" i="48"/>
  <c r="N72" i="48" s="1"/>
  <c r="N84" i="48" s="1"/>
  <c r="N108" i="48" s="1"/>
  <c r="O26" i="51"/>
  <c r="L80" i="51"/>
  <c r="M47" i="51"/>
  <c r="T15" i="51"/>
  <c r="M60" i="48"/>
  <c r="M75" i="48"/>
  <c r="O15" i="48"/>
  <c r="L96" i="48"/>
  <c r="L99" i="48" s="1"/>
  <c r="L116" i="48" s="1"/>
  <c r="L63" i="48"/>
  <c r="L111" i="48"/>
  <c r="L117" i="48" s="1"/>
  <c r="V26" i="48"/>
  <c r="F69" i="38"/>
  <c r="F84" i="38" s="1"/>
  <c r="G87" i="43"/>
  <c r="M28" i="43"/>
  <c r="L49" i="43"/>
  <c r="J26" i="38"/>
  <c r="G66" i="38"/>
  <c r="G39" i="38"/>
  <c r="H49" i="38"/>
  <c r="H36" i="38"/>
  <c r="C48" i="35"/>
  <c r="D48" i="35" s="1"/>
  <c r="E48" i="35" s="1"/>
  <c r="F48" i="35" s="1"/>
  <c r="G48" i="35" s="1"/>
  <c r="H48" i="35" s="1"/>
  <c r="I48" i="35" s="1"/>
  <c r="J48" i="35" s="1"/>
  <c r="K48" i="35" s="1"/>
  <c r="L48" i="35" s="1"/>
  <c r="M48" i="35" s="1"/>
  <c r="N48" i="35" s="1"/>
  <c r="O48" i="35" s="1"/>
  <c r="P48" i="35" s="1"/>
  <c r="Q48" i="35" s="1"/>
  <c r="R48" i="35" s="1"/>
  <c r="S48" i="35" s="1"/>
  <c r="T48" i="35" s="1"/>
  <c r="U48" i="35" s="1"/>
  <c r="V48" i="35" s="1"/>
  <c r="W48" i="35" s="1"/>
  <c r="C26" i="35"/>
  <c r="D26" i="35" s="1"/>
  <c r="E26" i="35" s="1"/>
  <c r="F26" i="35" s="1"/>
  <c r="G26" i="35" s="1"/>
  <c r="H26" i="35" s="1"/>
  <c r="I26" i="35" s="1"/>
  <c r="J26" i="35" s="1"/>
  <c r="K26" i="35" s="1"/>
  <c r="L26" i="35" s="1"/>
  <c r="M26" i="35" s="1"/>
  <c r="N26" i="35" s="1"/>
  <c r="O26" i="35" s="1"/>
  <c r="P26" i="35" s="1"/>
  <c r="Q26" i="35" s="1"/>
  <c r="R26" i="35" s="1"/>
  <c r="S26" i="35" s="1"/>
  <c r="T26" i="35" s="1"/>
  <c r="U26" i="35" s="1"/>
  <c r="V26" i="35" s="1"/>
  <c r="W26" i="35" s="1"/>
  <c r="C15" i="35"/>
  <c r="W6" i="35"/>
  <c r="D6" i="35"/>
  <c r="D71" i="35" s="1"/>
  <c r="D83" i="35" s="1"/>
  <c r="D107" i="35" s="1"/>
  <c r="E6" i="35"/>
  <c r="E71" i="35" s="1"/>
  <c r="E83" i="35" s="1"/>
  <c r="E107" i="35" s="1"/>
  <c r="F6" i="35"/>
  <c r="F71" i="35" s="1"/>
  <c r="F83" i="35" s="1"/>
  <c r="F107" i="35" s="1"/>
  <c r="G6" i="35"/>
  <c r="G71" i="35" s="1"/>
  <c r="G83" i="35" s="1"/>
  <c r="G107" i="35" s="1"/>
  <c r="H6" i="35"/>
  <c r="I6" i="35"/>
  <c r="I71" i="35" s="1"/>
  <c r="I83" i="35" s="1"/>
  <c r="I107" i="35" s="1"/>
  <c r="J6" i="35"/>
  <c r="J71" i="35" s="1"/>
  <c r="J83" i="35" s="1"/>
  <c r="J107" i="35" s="1"/>
  <c r="K6" i="35"/>
  <c r="K71" i="35" s="1"/>
  <c r="K83" i="35" s="1"/>
  <c r="K107" i="35" s="1"/>
  <c r="L6" i="35"/>
  <c r="M6" i="35"/>
  <c r="M71" i="35" s="1"/>
  <c r="M83" i="35" s="1"/>
  <c r="N6" i="35"/>
  <c r="O6" i="35"/>
  <c r="P6" i="35"/>
  <c r="Q6" i="35"/>
  <c r="R6" i="35"/>
  <c r="S6" i="35"/>
  <c r="T6" i="35"/>
  <c r="U6" i="35"/>
  <c r="V6" i="35"/>
  <c r="C6" i="35"/>
  <c r="A97" i="35"/>
  <c r="A95" i="35"/>
  <c r="A94" i="35"/>
  <c r="A85" i="35"/>
  <c r="A84" i="35"/>
  <c r="A83" i="35"/>
  <c r="A82" i="35"/>
  <c r="A73" i="35"/>
  <c r="A72" i="35"/>
  <c r="A71" i="35"/>
  <c r="A70" i="35"/>
  <c r="M107" i="35" l="1"/>
  <c r="F7" i="50"/>
  <c r="G7" i="50"/>
  <c r="P13" i="50"/>
  <c r="P15" i="50" s="1"/>
  <c r="P22" i="50" s="1"/>
  <c r="Q13" i="50"/>
  <c r="Q15" i="50" s="1"/>
  <c r="L118" i="48"/>
  <c r="P15" i="38"/>
  <c r="O46" i="38"/>
  <c r="G13" i="50"/>
  <c r="F13" i="50"/>
  <c r="H76" i="38"/>
  <c r="H79" i="38" s="1"/>
  <c r="D45" i="50" s="1"/>
  <c r="E12" i="50"/>
  <c r="E15" i="50" s="1"/>
  <c r="D12" i="50"/>
  <c r="D15" i="50" s="1"/>
  <c r="L54" i="58"/>
  <c r="L34" i="58"/>
  <c r="M51" i="51"/>
  <c r="O28" i="51"/>
  <c r="O58" i="51" s="1"/>
  <c r="O69" i="51" s="1"/>
  <c r="O91" i="51" s="1"/>
  <c r="P28" i="38"/>
  <c r="P47" i="38" s="1"/>
  <c r="M44" i="58"/>
  <c r="P17" i="38"/>
  <c r="O17" i="51"/>
  <c r="O59" i="51" s="1"/>
  <c r="M92" i="51"/>
  <c r="M95" i="51" s="1"/>
  <c r="P45" i="50" s="1"/>
  <c r="M51" i="58"/>
  <c r="N57" i="38"/>
  <c r="N77" i="38" s="1"/>
  <c r="N37" i="38"/>
  <c r="N67" i="38" s="1"/>
  <c r="M77" i="38"/>
  <c r="N70" i="51"/>
  <c r="N92" i="51" s="1"/>
  <c r="N95" i="51" s="1"/>
  <c r="N101" i="51" s="1"/>
  <c r="N48" i="51"/>
  <c r="N81" i="51" s="1"/>
  <c r="N41" i="58"/>
  <c r="N44" i="58" s="1"/>
  <c r="L104" i="61"/>
  <c r="L112" i="61" s="1"/>
  <c r="L113" i="61" s="1"/>
  <c r="R111" i="61"/>
  <c r="AB48" i="50"/>
  <c r="K61" i="43"/>
  <c r="K79" i="43"/>
  <c r="K81" i="43" s="1"/>
  <c r="I56" i="38"/>
  <c r="I76" i="38" s="1"/>
  <c r="I79" i="38" s="1"/>
  <c r="O20" i="57"/>
  <c r="O47" i="57" s="1"/>
  <c r="O40" i="57"/>
  <c r="O56" i="57"/>
  <c r="P29" i="57"/>
  <c r="P38" i="57" s="1"/>
  <c r="T54" i="61"/>
  <c r="T78" i="61"/>
  <c r="T102" i="61" s="1"/>
  <c r="V21" i="61"/>
  <c r="U66" i="61"/>
  <c r="O43" i="61"/>
  <c r="N68" i="61"/>
  <c r="S90" i="61"/>
  <c r="S111" i="61" s="1"/>
  <c r="M80" i="61"/>
  <c r="M56" i="61"/>
  <c r="M92" i="61" s="1"/>
  <c r="O53" i="61"/>
  <c r="O89" i="61" s="1"/>
  <c r="O77" i="61"/>
  <c r="O101" i="61" s="1"/>
  <c r="Q10" i="61"/>
  <c r="Q65" i="61" s="1"/>
  <c r="K69" i="43"/>
  <c r="K71" i="43" s="1"/>
  <c r="K41" i="43"/>
  <c r="L59" i="43"/>
  <c r="L51" i="43"/>
  <c r="R10" i="57"/>
  <c r="M34" i="58"/>
  <c r="Q10" i="58"/>
  <c r="M64" i="58"/>
  <c r="T21" i="58"/>
  <c r="T42" i="58" s="1"/>
  <c r="T52" i="58" s="1"/>
  <c r="R32" i="58"/>
  <c r="R62" i="58" s="1"/>
  <c r="R72" i="58"/>
  <c r="L49" i="57"/>
  <c r="L63" i="57" s="1"/>
  <c r="N31" i="57"/>
  <c r="M22" i="57"/>
  <c r="L58" i="57"/>
  <c r="L64" i="57" s="1"/>
  <c r="N62" i="51"/>
  <c r="L84" i="51"/>
  <c r="L100" i="51" s="1"/>
  <c r="L102" i="51" s="1"/>
  <c r="M73" i="51"/>
  <c r="H59" i="38"/>
  <c r="M87" i="48"/>
  <c r="N71" i="35"/>
  <c r="N83" i="35" s="1"/>
  <c r="N107" i="35" s="1"/>
  <c r="L39" i="43"/>
  <c r="P73" i="35"/>
  <c r="P85" i="35" s="1"/>
  <c r="P109" i="35" s="1"/>
  <c r="L73" i="35"/>
  <c r="L85" i="35" s="1"/>
  <c r="L109" i="35" s="1"/>
  <c r="L71" i="35"/>
  <c r="L83" i="35" s="1"/>
  <c r="L107" i="35" s="1"/>
  <c r="H73" i="35"/>
  <c r="H85" i="35" s="1"/>
  <c r="H109" i="35" s="1"/>
  <c r="H71" i="35"/>
  <c r="H83" i="35" s="1"/>
  <c r="D73" i="35"/>
  <c r="D85" i="35" s="1"/>
  <c r="D109" i="35" s="1"/>
  <c r="O39" i="35"/>
  <c r="O71" i="35" s="1"/>
  <c r="O83" i="35" s="1"/>
  <c r="O107" i="35" s="1"/>
  <c r="N39" i="48"/>
  <c r="R70" i="48"/>
  <c r="R82" i="48" s="1"/>
  <c r="R71" i="48"/>
  <c r="R83" i="48" s="1"/>
  <c r="P95" i="48"/>
  <c r="T28" i="35"/>
  <c r="T70" i="35" s="1"/>
  <c r="T82" i="35" s="1"/>
  <c r="T106" i="35" s="1"/>
  <c r="S28" i="48"/>
  <c r="Q59" i="48"/>
  <c r="Q58" i="48"/>
  <c r="Q94" i="48" s="1"/>
  <c r="P61" i="48"/>
  <c r="P97" i="48" s="1"/>
  <c r="Q73" i="48"/>
  <c r="Q85" i="48" s="1"/>
  <c r="Q109" i="48" s="1"/>
  <c r="R48" i="48"/>
  <c r="C71" i="35"/>
  <c r="C83" i="35" s="1"/>
  <c r="C107" i="35" s="1"/>
  <c r="C70" i="35"/>
  <c r="C82" i="35" s="1"/>
  <c r="C106" i="35" s="1"/>
  <c r="P17" i="35"/>
  <c r="O17" i="48"/>
  <c r="O72" i="48" s="1"/>
  <c r="O84" i="48" s="1"/>
  <c r="O108" i="48" s="1"/>
  <c r="N47" i="51"/>
  <c r="P26" i="51"/>
  <c r="M80" i="51"/>
  <c r="U15" i="51"/>
  <c r="N60" i="48"/>
  <c r="N87" i="48"/>
  <c r="N75" i="48"/>
  <c r="P15" i="48"/>
  <c r="M96" i="48"/>
  <c r="M99" i="48" s="1"/>
  <c r="M111" i="48"/>
  <c r="M63" i="48"/>
  <c r="W26" i="48"/>
  <c r="F85" i="38"/>
  <c r="G69" i="38"/>
  <c r="G84" i="38" s="1"/>
  <c r="H87" i="43"/>
  <c r="I86" i="43"/>
  <c r="N28" i="43"/>
  <c r="M49" i="43"/>
  <c r="W73" i="35"/>
  <c r="W85" i="35" s="1"/>
  <c r="W109" i="35" s="1"/>
  <c r="V73" i="35"/>
  <c r="V85" i="35" s="1"/>
  <c r="V109" i="35" s="1"/>
  <c r="R73" i="35"/>
  <c r="R85" i="35" s="1"/>
  <c r="R109" i="35" s="1"/>
  <c r="N73" i="35"/>
  <c r="N85" i="35" s="1"/>
  <c r="N109" i="35" s="1"/>
  <c r="J73" i="35"/>
  <c r="J85" i="35" s="1"/>
  <c r="J109" i="35" s="1"/>
  <c r="F73" i="35"/>
  <c r="F85" i="35" s="1"/>
  <c r="F109" i="35" s="1"/>
  <c r="T73" i="35"/>
  <c r="T85" i="35" s="1"/>
  <c r="T109" i="35" s="1"/>
  <c r="S70" i="35"/>
  <c r="S82" i="35" s="1"/>
  <c r="S106" i="35" s="1"/>
  <c r="S73" i="35"/>
  <c r="S85" i="35" s="1"/>
  <c r="S109" i="35" s="1"/>
  <c r="O70" i="35"/>
  <c r="O82" i="35" s="1"/>
  <c r="O106" i="35" s="1"/>
  <c r="O73" i="35"/>
  <c r="O85" i="35" s="1"/>
  <c r="O109" i="35" s="1"/>
  <c r="K70" i="35"/>
  <c r="K82" i="35" s="1"/>
  <c r="K106" i="35" s="1"/>
  <c r="K73" i="35"/>
  <c r="K85" i="35" s="1"/>
  <c r="K109" i="35" s="1"/>
  <c r="G70" i="35"/>
  <c r="G82" i="35" s="1"/>
  <c r="G106" i="35" s="1"/>
  <c r="G73" i="35"/>
  <c r="G85" i="35" s="1"/>
  <c r="G109" i="35" s="1"/>
  <c r="U73" i="35"/>
  <c r="U85" i="35" s="1"/>
  <c r="U109" i="35" s="1"/>
  <c r="Q73" i="35"/>
  <c r="Q85" i="35" s="1"/>
  <c r="Q109" i="35" s="1"/>
  <c r="M73" i="35"/>
  <c r="M85" i="35" s="1"/>
  <c r="M109" i="35" s="1"/>
  <c r="I73" i="35"/>
  <c r="I85" i="35" s="1"/>
  <c r="I109" i="35" s="1"/>
  <c r="E73" i="35"/>
  <c r="E85" i="35" s="1"/>
  <c r="E109" i="35" s="1"/>
  <c r="I49" i="38"/>
  <c r="I36" i="38"/>
  <c r="H66" i="38"/>
  <c r="H39" i="38"/>
  <c r="K26" i="38"/>
  <c r="C73" i="35"/>
  <c r="C85" i="35" s="1"/>
  <c r="C109" i="35" s="1"/>
  <c r="C72" i="35"/>
  <c r="C84" i="35" s="1"/>
  <c r="C108" i="35" s="1"/>
  <c r="R70" i="35"/>
  <c r="R82" i="35" s="1"/>
  <c r="N70" i="35"/>
  <c r="N82" i="35" s="1"/>
  <c r="N106" i="35" s="1"/>
  <c r="J70" i="35"/>
  <c r="J82" i="35" s="1"/>
  <c r="J106" i="35" s="1"/>
  <c r="F70" i="35"/>
  <c r="F82" i="35" s="1"/>
  <c r="F106" i="35" s="1"/>
  <c r="Q70" i="35"/>
  <c r="Q82" i="35" s="1"/>
  <c r="Q106" i="35" s="1"/>
  <c r="M70" i="35"/>
  <c r="M82" i="35" s="1"/>
  <c r="I70" i="35"/>
  <c r="I82" i="35" s="1"/>
  <c r="I106" i="35" s="1"/>
  <c r="E70" i="35"/>
  <c r="E82" i="35" s="1"/>
  <c r="E106" i="35" s="1"/>
  <c r="P70" i="35"/>
  <c r="P82" i="35" s="1"/>
  <c r="P106" i="35" s="1"/>
  <c r="L70" i="35"/>
  <c r="L82" i="35" s="1"/>
  <c r="L106" i="35" s="1"/>
  <c r="H70" i="35"/>
  <c r="H82" i="35" s="1"/>
  <c r="D70" i="35"/>
  <c r="D82" i="35" s="1"/>
  <c r="D106" i="35" s="1"/>
  <c r="D15" i="35"/>
  <c r="D72" i="35" s="1"/>
  <c r="D84" i="35" s="1"/>
  <c r="D108" i="35" s="1"/>
  <c r="Q22" i="50" l="1"/>
  <c r="Q34" i="50" s="1"/>
  <c r="Q31" i="50"/>
  <c r="H107" i="35"/>
  <c r="D7" i="50"/>
  <c r="E7" i="50"/>
  <c r="AA12" i="50"/>
  <c r="AA15" i="50" s="1"/>
  <c r="AA22" i="50" s="1"/>
  <c r="G64" i="50" s="1"/>
  <c r="Z12" i="50"/>
  <c r="Z15" i="50" s="1"/>
  <c r="Z31" i="50" s="1"/>
  <c r="R106" i="48"/>
  <c r="S6" i="50"/>
  <c r="R6" i="50"/>
  <c r="R106" i="35"/>
  <c r="H6" i="50"/>
  <c r="I6" i="50"/>
  <c r="H106" i="35"/>
  <c r="E6" i="50"/>
  <c r="D6" i="50"/>
  <c r="R107" i="48"/>
  <c r="R7" i="50"/>
  <c r="S7" i="50"/>
  <c r="M106" i="35"/>
  <c r="G6" i="50"/>
  <c r="F6" i="50"/>
  <c r="P46" i="38"/>
  <c r="Q15" i="38"/>
  <c r="E31" i="50"/>
  <c r="N51" i="51"/>
  <c r="N51" i="58"/>
  <c r="N54" i="58" s="1"/>
  <c r="M54" i="58"/>
  <c r="M71" i="58"/>
  <c r="M74" i="58" s="1"/>
  <c r="Z45" i="50" s="1"/>
  <c r="N31" i="58"/>
  <c r="N61" i="58" s="1"/>
  <c r="N64" i="58" s="1"/>
  <c r="N79" i="58" s="1"/>
  <c r="M101" i="51"/>
  <c r="P28" i="51"/>
  <c r="P58" i="51" s="1"/>
  <c r="P69" i="51" s="1"/>
  <c r="P91" i="51" s="1"/>
  <c r="Q28" i="38"/>
  <c r="Q47" i="38" s="1"/>
  <c r="O57" i="38"/>
  <c r="O77" i="38" s="1"/>
  <c r="O37" i="38"/>
  <c r="O67" i="38" s="1"/>
  <c r="Q17" i="38"/>
  <c r="P17" i="51"/>
  <c r="P59" i="51" s="1"/>
  <c r="O41" i="58"/>
  <c r="O44" i="58" s="1"/>
  <c r="O70" i="51"/>
  <c r="O92" i="51" s="1"/>
  <c r="O95" i="51" s="1"/>
  <c r="O101" i="51" s="1"/>
  <c r="O48" i="51"/>
  <c r="O81" i="51" s="1"/>
  <c r="N73" i="51"/>
  <c r="M104" i="61"/>
  <c r="Z49" i="50" s="1"/>
  <c r="Z50" i="50" s="1"/>
  <c r="M79" i="58"/>
  <c r="Z44" i="50"/>
  <c r="L61" i="43"/>
  <c r="L79" i="43"/>
  <c r="L81" i="43" s="1"/>
  <c r="J56" i="38"/>
  <c r="J76" i="38" s="1"/>
  <c r="J79" i="38" s="1"/>
  <c r="I59" i="38"/>
  <c r="P20" i="57"/>
  <c r="P47" i="57" s="1"/>
  <c r="Q29" i="57"/>
  <c r="Q38" i="57" s="1"/>
  <c r="Q40" i="57" s="1"/>
  <c r="P40" i="57"/>
  <c r="P56" i="57"/>
  <c r="M117" i="48"/>
  <c r="P41" i="50"/>
  <c r="M116" i="48"/>
  <c r="P40" i="50"/>
  <c r="U78" i="61"/>
  <c r="U102" i="61" s="1"/>
  <c r="U54" i="61"/>
  <c r="T90" i="61"/>
  <c r="T111" i="61" s="1"/>
  <c r="N80" i="61"/>
  <c r="N56" i="61"/>
  <c r="N92" i="61" s="1"/>
  <c r="P43" i="61"/>
  <c r="O68" i="61"/>
  <c r="W21" i="61"/>
  <c r="W66" i="61" s="1"/>
  <c r="V66" i="61"/>
  <c r="R10" i="61"/>
  <c r="R65" i="61" s="1"/>
  <c r="P77" i="61"/>
  <c r="P101" i="61" s="1"/>
  <c r="P53" i="61"/>
  <c r="P89" i="61" s="1"/>
  <c r="L69" i="43"/>
  <c r="L71" i="43" s="1"/>
  <c r="L41" i="43"/>
  <c r="M59" i="43"/>
  <c r="M51" i="43"/>
  <c r="M58" i="57"/>
  <c r="S10" i="57"/>
  <c r="R10" i="58"/>
  <c r="U21" i="58"/>
  <c r="U42" i="58" s="1"/>
  <c r="U52" i="58" s="1"/>
  <c r="S32" i="58"/>
  <c r="S62" i="58" s="1"/>
  <c r="S72" i="58"/>
  <c r="M49" i="57"/>
  <c r="O31" i="57"/>
  <c r="N22" i="57"/>
  <c r="D31" i="50"/>
  <c r="O62" i="51"/>
  <c r="M84" i="51"/>
  <c r="C87" i="35"/>
  <c r="M39" i="43"/>
  <c r="P39" i="35"/>
  <c r="P71" i="35" s="1"/>
  <c r="P83" i="35" s="1"/>
  <c r="P107" i="35" s="1"/>
  <c r="O39" i="48"/>
  <c r="S70" i="48"/>
  <c r="S82" i="48" s="1"/>
  <c r="S106" i="48" s="1"/>
  <c r="S71" i="48"/>
  <c r="S83" i="48" s="1"/>
  <c r="S107" i="48" s="1"/>
  <c r="R59" i="48"/>
  <c r="U28" i="35"/>
  <c r="T28" i="48"/>
  <c r="R58" i="48"/>
  <c r="R94" i="48" s="1"/>
  <c r="Q95" i="48"/>
  <c r="Q61" i="48"/>
  <c r="Q97" i="48" s="1"/>
  <c r="R73" i="48"/>
  <c r="R85" i="48" s="1"/>
  <c r="R109" i="48" s="1"/>
  <c r="S48" i="48"/>
  <c r="C60" i="35"/>
  <c r="C96" i="35" s="1"/>
  <c r="C58" i="35"/>
  <c r="C94" i="35" s="1"/>
  <c r="Q17" i="35"/>
  <c r="P17" i="48"/>
  <c r="P72" i="48" s="1"/>
  <c r="P84" i="48" s="1"/>
  <c r="P108" i="48" s="1"/>
  <c r="O47" i="51"/>
  <c r="N80" i="51"/>
  <c r="V15" i="51"/>
  <c r="Q26" i="51"/>
  <c r="O87" i="48"/>
  <c r="O60" i="48"/>
  <c r="O75" i="48"/>
  <c r="Q15" i="48"/>
  <c r="N96" i="48"/>
  <c r="N99" i="48" s="1"/>
  <c r="N116" i="48" s="1"/>
  <c r="N111" i="48"/>
  <c r="N117" i="48" s="1"/>
  <c r="N63" i="48"/>
  <c r="G85" i="38"/>
  <c r="H69" i="38"/>
  <c r="J86" i="43"/>
  <c r="I87" i="43"/>
  <c r="N49" i="43"/>
  <c r="O28" i="43"/>
  <c r="L26" i="38"/>
  <c r="J36" i="38"/>
  <c r="J49" i="38"/>
  <c r="I66" i="38"/>
  <c r="I69" i="38" s="1"/>
  <c r="I84" i="38" s="1"/>
  <c r="I39" i="38"/>
  <c r="E15" i="35"/>
  <c r="E72" i="35" s="1"/>
  <c r="E84" i="35" s="1"/>
  <c r="E108" i="35" s="1"/>
  <c r="B23" i="26"/>
  <c r="B16" i="26"/>
  <c r="B22" i="26"/>
  <c r="B15" i="26"/>
  <c r="B21" i="26"/>
  <c r="B14" i="26"/>
  <c r="B20" i="26"/>
  <c r="B13" i="26"/>
  <c r="B19" i="26"/>
  <c r="B12" i="26"/>
  <c r="B18" i="26"/>
  <c r="B11" i="26"/>
  <c r="B17" i="26"/>
  <c r="B10" i="26"/>
  <c r="B4" i="26"/>
  <c r="B5" i="26"/>
  <c r="B6" i="26"/>
  <c r="B7" i="26"/>
  <c r="B8" i="26"/>
  <c r="B9" i="26"/>
  <c r="B3" i="26"/>
  <c r="C2" i="26"/>
  <c r="C3" i="26" s="1"/>
  <c r="AA31" i="50" l="1"/>
  <c r="Z22" i="50"/>
  <c r="F64" i="50" s="1"/>
  <c r="N81" i="58"/>
  <c r="N118" i="48"/>
  <c r="M118" i="48"/>
  <c r="Q46" i="38"/>
  <c r="R15" i="38"/>
  <c r="N71" i="58"/>
  <c r="N74" i="58" s="1"/>
  <c r="N80" i="58" s="1"/>
  <c r="M80" i="58"/>
  <c r="M81" i="58" s="1"/>
  <c r="O51" i="58"/>
  <c r="O54" i="58" s="1"/>
  <c r="Q20" i="57"/>
  <c r="Q47" i="57" s="1"/>
  <c r="O31" i="58"/>
  <c r="O61" i="58" s="1"/>
  <c r="O64" i="58" s="1"/>
  <c r="O79" i="58" s="1"/>
  <c r="N34" i="58"/>
  <c r="P31" i="50"/>
  <c r="R28" i="38"/>
  <c r="R47" i="38" s="1"/>
  <c r="Q28" i="51"/>
  <c r="Q58" i="51" s="1"/>
  <c r="Q69" i="51" s="1"/>
  <c r="Q91" i="51" s="1"/>
  <c r="J59" i="38"/>
  <c r="P48" i="51"/>
  <c r="P81" i="51" s="1"/>
  <c r="P41" i="58"/>
  <c r="P44" i="58" s="1"/>
  <c r="P70" i="51"/>
  <c r="P92" i="51" s="1"/>
  <c r="P95" i="51" s="1"/>
  <c r="P101" i="51" s="1"/>
  <c r="O51" i="51"/>
  <c r="Q17" i="51"/>
  <c r="Q59" i="51" s="1"/>
  <c r="R17" i="38"/>
  <c r="O73" i="51"/>
  <c r="P57" i="38"/>
  <c r="P77" i="38" s="1"/>
  <c r="P37" i="38"/>
  <c r="P67" i="38" s="1"/>
  <c r="Z46" i="50"/>
  <c r="N104" i="61"/>
  <c r="N112" i="61" s="1"/>
  <c r="N113" i="61" s="1"/>
  <c r="M112" i="61"/>
  <c r="M113" i="61" s="1"/>
  <c r="AA33" i="50"/>
  <c r="Z33" i="50"/>
  <c r="Q56" i="57"/>
  <c r="M64" i="57"/>
  <c r="Z41" i="50"/>
  <c r="M63" i="57"/>
  <c r="Z40" i="50"/>
  <c r="M61" i="43"/>
  <c r="M79" i="43"/>
  <c r="M81" i="43" s="1"/>
  <c r="F49" i="50" s="1"/>
  <c r="K56" i="38"/>
  <c r="K76" i="38" s="1"/>
  <c r="K79" i="38" s="1"/>
  <c r="O34" i="58"/>
  <c r="R29" i="57"/>
  <c r="R38" i="57" s="1"/>
  <c r="F33" i="50"/>
  <c r="P42" i="50"/>
  <c r="M100" i="51"/>
  <c r="M102" i="51" s="1"/>
  <c r="P44" i="50"/>
  <c r="P46" i="50" s="1"/>
  <c r="H84" i="38"/>
  <c r="D44" i="50"/>
  <c r="D46" i="50" s="1"/>
  <c r="O56" i="61"/>
  <c r="O92" i="61" s="1"/>
  <c r="O80" i="61"/>
  <c r="Q43" i="61"/>
  <c r="P68" i="61"/>
  <c r="W78" i="61"/>
  <c r="W102" i="61" s="1"/>
  <c r="W54" i="61"/>
  <c r="U90" i="61"/>
  <c r="U111" i="61" s="1"/>
  <c r="V54" i="61"/>
  <c r="V78" i="61"/>
  <c r="V102" i="61" s="1"/>
  <c r="Q77" i="61"/>
  <c r="Q101" i="61" s="1"/>
  <c r="Q53" i="61"/>
  <c r="Q89" i="61" s="1"/>
  <c r="S10" i="61"/>
  <c r="S65" i="61" s="1"/>
  <c r="M69" i="43"/>
  <c r="M71" i="43" s="1"/>
  <c r="F48" i="50" s="1"/>
  <c r="M41" i="43"/>
  <c r="N59" i="43"/>
  <c r="N51" i="43"/>
  <c r="T10" i="57"/>
  <c r="S10" i="58"/>
  <c r="T72" i="58"/>
  <c r="T32" i="58"/>
  <c r="T62" i="58" s="1"/>
  <c r="V21" i="58"/>
  <c r="V42" i="58" s="1"/>
  <c r="V52" i="58" s="1"/>
  <c r="N58" i="57"/>
  <c r="N64" i="57" s="1"/>
  <c r="P31" i="57"/>
  <c r="N49" i="57"/>
  <c r="N63" i="57" s="1"/>
  <c r="O22" i="57"/>
  <c r="N84" i="51"/>
  <c r="N100" i="51" s="1"/>
  <c r="N102" i="51" s="1"/>
  <c r="P62" i="51"/>
  <c r="B10" i="50"/>
  <c r="N39" i="43"/>
  <c r="D87" i="35"/>
  <c r="Q39" i="35"/>
  <c r="Q71" i="35" s="1"/>
  <c r="Q83" i="35" s="1"/>
  <c r="Q107" i="35" s="1"/>
  <c r="P39" i="48"/>
  <c r="T71" i="48"/>
  <c r="T83" i="48" s="1"/>
  <c r="T107" i="48" s="1"/>
  <c r="T70" i="48"/>
  <c r="T82" i="48" s="1"/>
  <c r="T106" i="48" s="1"/>
  <c r="R95" i="48"/>
  <c r="D111" i="35"/>
  <c r="D117" i="35" s="1"/>
  <c r="V28" i="35"/>
  <c r="U28" i="48"/>
  <c r="U70" i="35"/>
  <c r="U82" i="35" s="1"/>
  <c r="U106" i="35" s="1"/>
  <c r="S59" i="48"/>
  <c r="S58" i="48"/>
  <c r="S94" i="48" s="1"/>
  <c r="R61" i="48"/>
  <c r="R97" i="48" s="1"/>
  <c r="S73" i="48"/>
  <c r="S85" i="48" s="1"/>
  <c r="S109" i="48" s="1"/>
  <c r="T48" i="48"/>
  <c r="C111" i="35"/>
  <c r="R17" i="35"/>
  <c r="Q17" i="48"/>
  <c r="Q72" i="48" s="1"/>
  <c r="Q84" i="48" s="1"/>
  <c r="Q108" i="48" s="1"/>
  <c r="W15" i="51"/>
  <c r="P47" i="51"/>
  <c r="O80" i="51"/>
  <c r="R26" i="51"/>
  <c r="P87" i="48"/>
  <c r="P60" i="48"/>
  <c r="P75" i="48"/>
  <c r="O96" i="48"/>
  <c r="O99" i="48" s="1"/>
  <c r="O116" i="48" s="1"/>
  <c r="O111" i="48"/>
  <c r="O117" i="48" s="1"/>
  <c r="O63" i="48"/>
  <c r="R15" i="48"/>
  <c r="H85" i="38"/>
  <c r="K86" i="43"/>
  <c r="J87" i="43"/>
  <c r="P28" i="43"/>
  <c r="O49" i="43"/>
  <c r="I85" i="38"/>
  <c r="I86" i="38" s="1"/>
  <c r="K49" i="38"/>
  <c r="K36" i="38"/>
  <c r="M26" i="38"/>
  <c r="J39" i="38"/>
  <c r="J66" i="38"/>
  <c r="F15" i="35"/>
  <c r="F72" i="35" s="1"/>
  <c r="F84" i="35" s="1"/>
  <c r="F108" i="35" s="1"/>
  <c r="E61" i="35"/>
  <c r="E97" i="35" s="1"/>
  <c r="C61" i="35"/>
  <c r="D61" i="35"/>
  <c r="D97" i="35" s="1"/>
  <c r="D2" i="26"/>
  <c r="C23" i="26"/>
  <c r="C16" i="26"/>
  <c r="C22" i="26"/>
  <c r="C15" i="26"/>
  <c r="C21" i="26"/>
  <c r="C14" i="26"/>
  <c r="C20" i="26"/>
  <c r="C12" i="26"/>
  <c r="C18" i="26"/>
  <c r="C11" i="26"/>
  <c r="C17" i="26"/>
  <c r="C10" i="26"/>
  <c r="C19" i="26"/>
  <c r="C4" i="26"/>
  <c r="C5" i="26"/>
  <c r="C6" i="26"/>
  <c r="C7" i="26"/>
  <c r="C8" i="26"/>
  <c r="C9" i="26"/>
  <c r="C13" i="26"/>
  <c r="C2" i="23"/>
  <c r="D2" i="23" s="1"/>
  <c r="E2" i="23" s="1"/>
  <c r="F2" i="23" s="1"/>
  <c r="G2" i="23" s="1"/>
  <c r="H2" i="23" s="1"/>
  <c r="I2" i="23" s="1"/>
  <c r="J2" i="23" s="1"/>
  <c r="K2" i="23" s="1"/>
  <c r="L2" i="23" s="1"/>
  <c r="M2" i="23" s="1"/>
  <c r="N2" i="23" s="1"/>
  <c r="O2" i="23" s="1"/>
  <c r="P2" i="23" s="1"/>
  <c r="Q2" i="23" s="1"/>
  <c r="R2" i="23" s="1"/>
  <c r="S2" i="23" s="1"/>
  <c r="T2" i="23" s="1"/>
  <c r="U2" i="23" s="1"/>
  <c r="V2" i="23" s="1"/>
  <c r="W2" i="23" s="1"/>
  <c r="X2" i="23" s="1"/>
  <c r="Y2" i="23" s="1"/>
  <c r="Z2" i="23" s="1"/>
  <c r="AA2" i="23" s="1"/>
  <c r="AB2" i="23" s="1"/>
  <c r="AC2" i="23" s="1"/>
  <c r="AD2" i="23" s="1"/>
  <c r="AE2" i="23" s="1"/>
  <c r="AF2" i="23" s="1"/>
  <c r="AG2" i="23" s="1"/>
  <c r="AH2" i="23" s="1"/>
  <c r="AI2" i="23" s="1"/>
  <c r="AJ2" i="23" s="1"/>
  <c r="AK2" i="23" s="1"/>
  <c r="AL2" i="23" s="1"/>
  <c r="AM2" i="23" s="1"/>
  <c r="AN2" i="23" s="1"/>
  <c r="AO2" i="23" s="1"/>
  <c r="H86" i="38" l="1"/>
  <c r="O118" i="48"/>
  <c r="R46" i="38"/>
  <c r="S15" i="38"/>
  <c r="P51" i="51"/>
  <c r="P34" i="50"/>
  <c r="Z34" i="50"/>
  <c r="F65" i="50" s="1"/>
  <c r="AA34" i="50"/>
  <c r="G65" i="50" s="1"/>
  <c r="O71" i="58"/>
  <c r="O74" i="58" s="1"/>
  <c r="O80" i="58" s="1"/>
  <c r="O81" i="58" s="1"/>
  <c r="P31" i="58"/>
  <c r="P61" i="58" s="1"/>
  <c r="P64" i="58" s="1"/>
  <c r="P79" i="58" s="1"/>
  <c r="P81" i="58" s="1"/>
  <c r="S29" i="57"/>
  <c r="S38" i="57" s="1"/>
  <c r="S56" i="57" s="1"/>
  <c r="P73" i="51"/>
  <c r="P51" i="58"/>
  <c r="P71" i="58" s="1"/>
  <c r="P74" i="58" s="1"/>
  <c r="P80" i="58" s="1"/>
  <c r="S28" i="38"/>
  <c r="S47" i="38" s="1"/>
  <c r="R28" i="51"/>
  <c r="Q57" i="38"/>
  <c r="Q77" i="38" s="1"/>
  <c r="Q37" i="38"/>
  <c r="Q67" i="38" s="1"/>
  <c r="S17" i="38"/>
  <c r="R17" i="51"/>
  <c r="R59" i="51" s="1"/>
  <c r="Q41" i="58"/>
  <c r="Q51" i="58" s="1"/>
  <c r="Q48" i="51"/>
  <c r="Q81" i="51" s="1"/>
  <c r="Q70" i="51"/>
  <c r="Q92" i="51" s="1"/>
  <c r="Q95" i="51" s="1"/>
  <c r="Q101" i="51" s="1"/>
  <c r="B22" i="50"/>
  <c r="B34" i="50" s="1"/>
  <c r="B29" i="50"/>
  <c r="F50" i="50"/>
  <c r="Z42" i="50"/>
  <c r="Z51" i="50" s="1"/>
  <c r="F66" i="50" s="1"/>
  <c r="O104" i="61"/>
  <c r="O112" i="61" s="1"/>
  <c r="O113" i="61" s="1"/>
  <c r="AC29" i="50"/>
  <c r="AB29" i="50"/>
  <c r="R20" i="57"/>
  <c r="R47" i="57" s="1"/>
  <c r="N61" i="43"/>
  <c r="N79" i="43"/>
  <c r="N81" i="43" s="1"/>
  <c r="L56" i="38"/>
  <c r="L76" i="38" s="1"/>
  <c r="L79" i="38" s="1"/>
  <c r="K59" i="38"/>
  <c r="P34" i="58"/>
  <c r="R56" i="57"/>
  <c r="R40" i="57"/>
  <c r="P51" i="50"/>
  <c r="C117" i="35"/>
  <c r="B41" i="50"/>
  <c r="V90" i="61"/>
  <c r="V111" i="61" s="1"/>
  <c r="W90" i="61"/>
  <c r="W111" i="61" s="1"/>
  <c r="P56" i="61"/>
  <c r="P92" i="61" s="1"/>
  <c r="P80" i="61"/>
  <c r="Q68" i="61"/>
  <c r="R43" i="61"/>
  <c r="R53" i="61"/>
  <c r="R89" i="61" s="1"/>
  <c r="R77" i="61"/>
  <c r="T10" i="61"/>
  <c r="T65" i="61" s="1"/>
  <c r="N69" i="43"/>
  <c r="N71" i="43" s="1"/>
  <c r="N41" i="43"/>
  <c r="O59" i="43"/>
  <c r="O51" i="43"/>
  <c r="U10" i="57"/>
  <c r="O49" i="57"/>
  <c r="O63" i="57" s="1"/>
  <c r="T10" i="58"/>
  <c r="U32" i="58"/>
  <c r="U62" i="58" s="1"/>
  <c r="U72" i="58"/>
  <c r="W21" i="58"/>
  <c r="W42" i="58" s="1"/>
  <c r="W52" i="58" s="1"/>
  <c r="Q31" i="57"/>
  <c r="P22" i="57"/>
  <c r="O58" i="57"/>
  <c r="O64" i="57" s="1"/>
  <c r="Q62" i="51"/>
  <c r="O84" i="51"/>
  <c r="O100" i="51" s="1"/>
  <c r="O102" i="51" s="1"/>
  <c r="E87" i="35"/>
  <c r="E111" i="35"/>
  <c r="E117" i="35" s="1"/>
  <c r="O39" i="43"/>
  <c r="R39" i="35"/>
  <c r="R71" i="35" s="1"/>
  <c r="R83" i="35" s="1"/>
  <c r="Q39" i="48"/>
  <c r="S95" i="48"/>
  <c r="U70" i="48"/>
  <c r="U82" i="48" s="1"/>
  <c r="U106" i="48" s="1"/>
  <c r="U71" i="48"/>
  <c r="U83" i="48" s="1"/>
  <c r="U107" i="48" s="1"/>
  <c r="W28" i="35"/>
  <c r="V28" i="48"/>
  <c r="V70" i="35"/>
  <c r="V82" i="35" s="1"/>
  <c r="V106" i="35" s="1"/>
  <c r="T58" i="48"/>
  <c r="T94" i="48" s="1"/>
  <c r="T59" i="48"/>
  <c r="S61" i="48"/>
  <c r="S97" i="48" s="1"/>
  <c r="T73" i="48"/>
  <c r="T85" i="48" s="1"/>
  <c r="T109" i="48" s="1"/>
  <c r="U48" i="48"/>
  <c r="F111" i="35"/>
  <c r="F117" i="35" s="1"/>
  <c r="S17" i="35"/>
  <c r="R17" i="48"/>
  <c r="R72" i="48" s="1"/>
  <c r="R84" i="48" s="1"/>
  <c r="Q47" i="51"/>
  <c r="P80" i="51"/>
  <c r="S26" i="51"/>
  <c r="R58" i="51"/>
  <c r="R69" i="51" s="1"/>
  <c r="Q60" i="48"/>
  <c r="Q87" i="48"/>
  <c r="Q75" i="48"/>
  <c r="S15" i="48"/>
  <c r="P96" i="48"/>
  <c r="P99" i="48" s="1"/>
  <c r="P116" i="48" s="1"/>
  <c r="P111" i="48"/>
  <c r="P117" i="48" s="1"/>
  <c r="P63" i="48"/>
  <c r="C97" i="35"/>
  <c r="J69" i="38"/>
  <c r="J84" i="38" s="1"/>
  <c r="K87" i="43"/>
  <c r="L86" i="43"/>
  <c r="P49" i="43"/>
  <c r="Q28" i="43"/>
  <c r="L36" i="38"/>
  <c r="L49" i="38"/>
  <c r="N26" i="38"/>
  <c r="K39" i="38"/>
  <c r="K66" i="38"/>
  <c r="G15" i="35"/>
  <c r="G72" i="35" s="1"/>
  <c r="G84" i="35" s="1"/>
  <c r="G108" i="35" s="1"/>
  <c r="C59" i="35"/>
  <c r="C75" i="35"/>
  <c r="I61" i="35"/>
  <c r="I97" i="35" s="1"/>
  <c r="D60" i="35"/>
  <c r="D96" i="35" s="1"/>
  <c r="E60" i="35"/>
  <c r="E96" i="35" s="1"/>
  <c r="F61" i="35"/>
  <c r="F97" i="35" s="1"/>
  <c r="E2" i="26"/>
  <c r="D23" i="26"/>
  <c r="D16" i="26"/>
  <c r="D22" i="26"/>
  <c r="D15" i="26"/>
  <c r="D21" i="26"/>
  <c r="D14" i="26"/>
  <c r="D20" i="26"/>
  <c r="D13" i="26"/>
  <c r="D19" i="26"/>
  <c r="D12" i="26"/>
  <c r="D18" i="26"/>
  <c r="D11" i="26"/>
  <c r="D17" i="26"/>
  <c r="D10" i="26"/>
  <c r="D4" i="26"/>
  <c r="D5" i="26"/>
  <c r="D6" i="26"/>
  <c r="D7" i="26"/>
  <c r="D8" i="26"/>
  <c r="D9" i="26"/>
  <c r="D3" i="26"/>
  <c r="R107" i="35" l="1"/>
  <c r="I7" i="50"/>
  <c r="H7" i="50"/>
  <c r="R108" i="48"/>
  <c r="S8" i="50"/>
  <c r="S10" i="50" s="1"/>
  <c r="S29" i="50" s="1"/>
  <c r="R8" i="50"/>
  <c r="R10" i="50" s="1"/>
  <c r="R29" i="50" s="1"/>
  <c r="P118" i="48"/>
  <c r="S46" i="38"/>
  <c r="T15" i="38"/>
  <c r="R91" i="51"/>
  <c r="R12" i="50"/>
  <c r="S12" i="50"/>
  <c r="L59" i="38"/>
  <c r="Q73" i="51"/>
  <c r="S40" i="57"/>
  <c r="S20" i="57"/>
  <c r="S47" i="57" s="1"/>
  <c r="Q31" i="58"/>
  <c r="Q61" i="58" s="1"/>
  <c r="Q64" i="58" s="1"/>
  <c r="Q79" i="58" s="1"/>
  <c r="Q81" i="58" s="1"/>
  <c r="P54" i="58"/>
  <c r="Q44" i="58"/>
  <c r="S28" i="51"/>
  <c r="T28" i="38"/>
  <c r="T47" i="38" s="1"/>
  <c r="R41" i="58"/>
  <c r="R44" i="58" s="1"/>
  <c r="R70" i="51"/>
  <c r="R48" i="51"/>
  <c r="R81" i="51" s="1"/>
  <c r="S17" i="51"/>
  <c r="S59" i="51" s="1"/>
  <c r="T17" i="38"/>
  <c r="Q51" i="51"/>
  <c r="R57" i="38"/>
  <c r="R37" i="38"/>
  <c r="R67" i="38" s="1"/>
  <c r="P104" i="61"/>
  <c r="P112" i="61" s="1"/>
  <c r="P113" i="61" s="1"/>
  <c r="R101" i="61"/>
  <c r="O61" i="43"/>
  <c r="O79" i="43"/>
  <c r="O81" i="43" s="1"/>
  <c r="M56" i="38"/>
  <c r="Q54" i="58"/>
  <c r="Q71" i="58"/>
  <c r="Q74" i="58" s="1"/>
  <c r="Q80" i="58" s="1"/>
  <c r="T29" i="57"/>
  <c r="T38" i="57" s="1"/>
  <c r="Q80" i="61"/>
  <c r="Q56" i="61"/>
  <c r="Q92" i="61" s="1"/>
  <c r="R68" i="61"/>
  <c r="S43" i="61"/>
  <c r="U10" i="61"/>
  <c r="U65" i="61" s="1"/>
  <c r="S77" i="61"/>
  <c r="S101" i="61" s="1"/>
  <c r="S53" i="61"/>
  <c r="S89" i="61" s="1"/>
  <c r="O69" i="43"/>
  <c r="O71" i="43" s="1"/>
  <c r="O41" i="43"/>
  <c r="P59" i="43"/>
  <c r="P51" i="43"/>
  <c r="V10" i="57"/>
  <c r="P58" i="57"/>
  <c r="P64" i="57" s="1"/>
  <c r="U10" i="58"/>
  <c r="V32" i="58"/>
  <c r="V62" i="58" s="1"/>
  <c r="V72" i="58"/>
  <c r="W32" i="58"/>
  <c r="W62" i="58" s="1"/>
  <c r="W72" i="58"/>
  <c r="P49" i="57"/>
  <c r="P63" i="57" s="1"/>
  <c r="R31" i="57"/>
  <c r="Q22" i="57"/>
  <c r="P84" i="51"/>
  <c r="P100" i="51" s="1"/>
  <c r="P102" i="51" s="1"/>
  <c r="R62" i="51"/>
  <c r="F87" i="35"/>
  <c r="P39" i="43"/>
  <c r="S39" i="35"/>
  <c r="S71" i="35" s="1"/>
  <c r="S83" i="35" s="1"/>
  <c r="S107" i="35" s="1"/>
  <c r="R39" i="48"/>
  <c r="T95" i="48"/>
  <c r="V70" i="48"/>
  <c r="V82" i="48" s="1"/>
  <c r="V106" i="48" s="1"/>
  <c r="V71" i="48"/>
  <c r="V83" i="48" s="1"/>
  <c r="V107" i="48" s="1"/>
  <c r="U59" i="48"/>
  <c r="W28" i="48"/>
  <c r="W70" i="35"/>
  <c r="W82" i="35" s="1"/>
  <c r="W106" i="35" s="1"/>
  <c r="U58" i="48"/>
  <c r="U94" i="48" s="1"/>
  <c r="T61" i="48"/>
  <c r="T97" i="48" s="1"/>
  <c r="U73" i="48"/>
  <c r="U85" i="48" s="1"/>
  <c r="U109" i="48" s="1"/>
  <c r="V48" i="48"/>
  <c r="T17" i="35"/>
  <c r="S17" i="48"/>
  <c r="S72" i="48" s="1"/>
  <c r="S84" i="48" s="1"/>
  <c r="S108" i="48" s="1"/>
  <c r="R47" i="51"/>
  <c r="T26" i="51"/>
  <c r="S58" i="51"/>
  <c r="S69" i="51" s="1"/>
  <c r="S91" i="51" s="1"/>
  <c r="Q80" i="51"/>
  <c r="Q96" i="48"/>
  <c r="Q99" i="48" s="1"/>
  <c r="Q116" i="48" s="1"/>
  <c r="Q111" i="48"/>
  <c r="Q117" i="48" s="1"/>
  <c r="Q63" i="48"/>
  <c r="T15" i="48"/>
  <c r="R60" i="48"/>
  <c r="R75" i="48"/>
  <c r="J85" i="38"/>
  <c r="J86" i="38" s="1"/>
  <c r="K69" i="38"/>
  <c r="K84" i="38" s="1"/>
  <c r="L87" i="43"/>
  <c r="M86" i="43"/>
  <c r="R28" i="43"/>
  <c r="Q49" i="43"/>
  <c r="M49" i="38"/>
  <c r="M36" i="38"/>
  <c r="O26" i="38"/>
  <c r="L66" i="38"/>
  <c r="L39" i="38"/>
  <c r="H15" i="35"/>
  <c r="H72" i="35" s="1"/>
  <c r="H84" i="35" s="1"/>
  <c r="D75" i="35"/>
  <c r="D58" i="35"/>
  <c r="G60" i="35"/>
  <c r="G96" i="35" s="1"/>
  <c r="J61" i="35"/>
  <c r="D59" i="35"/>
  <c r="F60" i="35"/>
  <c r="F96" i="35" s="1"/>
  <c r="E58" i="35"/>
  <c r="C95" i="35"/>
  <c r="C99" i="35" s="1"/>
  <c r="B40" i="50" s="1"/>
  <c r="B42" i="50" s="1"/>
  <c r="B51" i="50" s="1"/>
  <c r="C63" i="35"/>
  <c r="F2" i="26"/>
  <c r="E23" i="26"/>
  <c r="E16" i="26"/>
  <c r="E22" i="26"/>
  <c r="E15" i="26"/>
  <c r="E21" i="26"/>
  <c r="E14" i="26"/>
  <c r="E20" i="26"/>
  <c r="E19" i="26"/>
  <c r="E12" i="26"/>
  <c r="E18" i="26"/>
  <c r="E11" i="26"/>
  <c r="E17" i="26"/>
  <c r="E13" i="26"/>
  <c r="E10" i="26"/>
  <c r="E3" i="26"/>
  <c r="E5" i="26"/>
  <c r="E4" i="26"/>
  <c r="E8" i="26"/>
  <c r="E9" i="26"/>
  <c r="E7" i="26"/>
  <c r="E6" i="26"/>
  <c r="R13" i="50" l="1"/>
  <c r="R15" i="50" s="1"/>
  <c r="R22" i="50" s="1"/>
  <c r="S13" i="50"/>
  <c r="S15" i="50" s="1"/>
  <c r="H108" i="35"/>
  <c r="D8" i="50"/>
  <c r="D10" i="50" s="1"/>
  <c r="E8" i="50"/>
  <c r="E10" i="50" s="1"/>
  <c r="Q118" i="48"/>
  <c r="T46" i="38"/>
  <c r="U15" i="38"/>
  <c r="I13" i="50"/>
  <c r="H13" i="50"/>
  <c r="M76" i="38"/>
  <c r="M79" i="38" s="1"/>
  <c r="F45" i="50" s="1"/>
  <c r="G12" i="50"/>
  <c r="G15" i="50" s="1"/>
  <c r="F12" i="50"/>
  <c r="F15" i="50" s="1"/>
  <c r="R31" i="58"/>
  <c r="R61" i="58" s="1"/>
  <c r="R64" i="58" s="1"/>
  <c r="Q34" i="58"/>
  <c r="R51" i="51"/>
  <c r="R51" i="58"/>
  <c r="T28" i="51"/>
  <c r="T58" i="51" s="1"/>
  <c r="T69" i="51" s="1"/>
  <c r="T91" i="51" s="1"/>
  <c r="U28" i="38"/>
  <c r="U47" i="38" s="1"/>
  <c r="S48" i="51"/>
  <c r="S81" i="51" s="1"/>
  <c r="S70" i="51"/>
  <c r="S92" i="51" s="1"/>
  <c r="S95" i="51" s="1"/>
  <c r="S101" i="51" s="1"/>
  <c r="S41" i="58"/>
  <c r="S44" i="58" s="1"/>
  <c r="S57" i="38"/>
  <c r="S77" i="38" s="1"/>
  <c r="S37" i="38"/>
  <c r="S67" i="38" s="1"/>
  <c r="R92" i="51"/>
  <c r="R95" i="51" s="1"/>
  <c r="R45" i="50" s="1"/>
  <c r="R77" i="38"/>
  <c r="T17" i="51"/>
  <c r="T59" i="51" s="1"/>
  <c r="U17" i="38"/>
  <c r="Q104" i="61"/>
  <c r="Q112" i="61" s="1"/>
  <c r="Q113" i="61" s="1"/>
  <c r="T20" i="57"/>
  <c r="T47" i="57" s="1"/>
  <c r="P61" i="43"/>
  <c r="P79" i="43"/>
  <c r="P81" i="43" s="1"/>
  <c r="N56" i="38"/>
  <c r="N76" i="38" s="1"/>
  <c r="N79" i="38" s="1"/>
  <c r="U29" i="57"/>
  <c r="U38" i="57" s="1"/>
  <c r="T40" i="57"/>
  <c r="T56" i="57"/>
  <c r="S68" i="61"/>
  <c r="T43" i="61"/>
  <c r="R56" i="61"/>
  <c r="R92" i="61" s="1"/>
  <c r="R80" i="61"/>
  <c r="T53" i="61"/>
  <c r="T89" i="61" s="1"/>
  <c r="T77" i="61"/>
  <c r="T101" i="61" s="1"/>
  <c r="V10" i="61"/>
  <c r="V65" i="61" s="1"/>
  <c r="P69" i="43"/>
  <c r="P71" i="43" s="1"/>
  <c r="P41" i="43"/>
  <c r="Q59" i="43"/>
  <c r="Q51" i="43"/>
  <c r="W10" i="57"/>
  <c r="V10" i="58"/>
  <c r="Q58" i="57"/>
  <c r="Q64" i="57" s="1"/>
  <c r="Q49" i="57"/>
  <c r="Q63" i="57" s="1"/>
  <c r="R22" i="57"/>
  <c r="S31" i="57"/>
  <c r="Q84" i="51"/>
  <c r="Q100" i="51" s="1"/>
  <c r="Q102" i="51" s="1"/>
  <c r="S62" i="51"/>
  <c r="R73" i="51"/>
  <c r="M59" i="38"/>
  <c r="G111" i="35"/>
  <c r="G117" i="35" s="1"/>
  <c r="R87" i="48"/>
  <c r="Q39" i="43"/>
  <c r="T39" i="35"/>
  <c r="T71" i="35" s="1"/>
  <c r="T83" i="35" s="1"/>
  <c r="T107" i="35" s="1"/>
  <c r="S39" i="48"/>
  <c r="U95" i="48"/>
  <c r="V58" i="48"/>
  <c r="V94" i="48" s="1"/>
  <c r="W71" i="48"/>
  <c r="W83" i="48" s="1"/>
  <c r="W107" i="48" s="1"/>
  <c r="W70" i="48"/>
  <c r="W82" i="48" s="1"/>
  <c r="W106" i="48" s="1"/>
  <c r="V59" i="48"/>
  <c r="U61" i="48"/>
  <c r="U97" i="48" s="1"/>
  <c r="W48" i="48"/>
  <c r="W73" i="48" s="1"/>
  <c r="W85" i="48" s="1"/>
  <c r="W109" i="48" s="1"/>
  <c r="V73" i="48"/>
  <c r="V85" i="48" s="1"/>
  <c r="V109" i="48" s="1"/>
  <c r="U17" i="35"/>
  <c r="T17" i="48"/>
  <c r="T72" i="48" s="1"/>
  <c r="T84" i="48" s="1"/>
  <c r="T108" i="48" s="1"/>
  <c r="S47" i="51"/>
  <c r="U26" i="51"/>
  <c r="R80" i="51"/>
  <c r="S87" i="48"/>
  <c r="S60" i="48"/>
  <c r="S75" i="48"/>
  <c r="R96" i="48"/>
  <c r="R99" i="48" s="1"/>
  <c r="R63" i="48"/>
  <c r="R111" i="48"/>
  <c r="U15" i="48"/>
  <c r="D95" i="35"/>
  <c r="L69" i="38"/>
  <c r="L84" i="38" s="1"/>
  <c r="K85" i="38"/>
  <c r="K86" i="38" s="1"/>
  <c r="M87" i="43"/>
  <c r="N86" i="43"/>
  <c r="S28" i="43"/>
  <c r="R49" i="43"/>
  <c r="P26" i="38"/>
  <c r="M66" i="38"/>
  <c r="M39" i="38"/>
  <c r="N49" i="38"/>
  <c r="N36" i="38"/>
  <c r="G87" i="35"/>
  <c r="H60" i="35"/>
  <c r="I15" i="35"/>
  <c r="I72" i="35" s="1"/>
  <c r="I84" i="35" s="1"/>
  <c r="I108" i="35" s="1"/>
  <c r="F59" i="35"/>
  <c r="E59" i="35"/>
  <c r="C116" i="35"/>
  <c r="G61" i="35"/>
  <c r="G97" i="35" s="1"/>
  <c r="H61" i="35"/>
  <c r="H97" i="35" s="1"/>
  <c r="K61" i="35"/>
  <c r="K97" i="35" s="1"/>
  <c r="E94" i="35"/>
  <c r="E75" i="35"/>
  <c r="J97" i="35"/>
  <c r="D63" i="35"/>
  <c r="D94" i="35"/>
  <c r="L61" i="35"/>
  <c r="L97" i="35" s="1"/>
  <c r="G2" i="26"/>
  <c r="F23" i="26"/>
  <c r="F22" i="26"/>
  <c r="F21" i="26"/>
  <c r="F16" i="26"/>
  <c r="F15" i="26"/>
  <c r="F13" i="26"/>
  <c r="F12" i="26"/>
  <c r="F11" i="26"/>
  <c r="F14" i="26"/>
  <c r="F18" i="26"/>
  <c r="F20" i="26"/>
  <c r="F19" i="26"/>
  <c r="F4" i="26"/>
  <c r="F5" i="26"/>
  <c r="F6" i="26"/>
  <c r="F7" i="26"/>
  <c r="F8" i="26"/>
  <c r="F17" i="26"/>
  <c r="F10" i="26"/>
  <c r="F3" i="26"/>
  <c r="F9" i="26"/>
  <c r="B29" i="20"/>
  <c r="A29" i="20"/>
  <c r="B28" i="20"/>
  <c r="A28" i="20"/>
  <c r="B20" i="20"/>
  <c r="A20" i="20"/>
  <c r="B15" i="20"/>
  <c r="A15" i="20"/>
  <c r="S31" i="50" l="1"/>
  <c r="S22" i="50"/>
  <c r="S34" i="50" s="1"/>
  <c r="AC12" i="50"/>
  <c r="AC15" i="50" s="1"/>
  <c r="AC22" i="50" s="1"/>
  <c r="I64" i="50" s="1"/>
  <c r="AB12" i="50"/>
  <c r="AB15" i="50" s="1"/>
  <c r="AB31" i="50" s="1"/>
  <c r="E29" i="50"/>
  <c r="E22" i="50"/>
  <c r="D29" i="50"/>
  <c r="D22" i="50"/>
  <c r="D57" i="50" s="1"/>
  <c r="U46" i="38"/>
  <c r="V15" i="38"/>
  <c r="G31" i="50"/>
  <c r="S73" i="51"/>
  <c r="R34" i="58"/>
  <c r="R71" i="58"/>
  <c r="R74" i="58" s="1"/>
  <c r="AB45" i="50" s="1"/>
  <c r="R54" i="58"/>
  <c r="S31" i="58"/>
  <c r="S61" i="58" s="1"/>
  <c r="S64" i="58" s="1"/>
  <c r="S79" i="58" s="1"/>
  <c r="S51" i="51"/>
  <c r="V28" i="38"/>
  <c r="V47" i="38" s="1"/>
  <c r="U28" i="51"/>
  <c r="U58" i="51" s="1"/>
  <c r="U69" i="51" s="1"/>
  <c r="U91" i="51" s="1"/>
  <c r="R101" i="51"/>
  <c r="T41" i="58"/>
  <c r="T51" i="58" s="1"/>
  <c r="T48" i="51"/>
  <c r="T81" i="51" s="1"/>
  <c r="T70" i="51"/>
  <c r="T92" i="51" s="1"/>
  <c r="T95" i="51" s="1"/>
  <c r="T101" i="51" s="1"/>
  <c r="S51" i="58"/>
  <c r="S71" i="58" s="1"/>
  <c r="S74" i="58" s="1"/>
  <c r="S80" i="58" s="1"/>
  <c r="T57" i="38"/>
  <c r="T77" i="38" s="1"/>
  <c r="T37" i="38"/>
  <c r="T67" i="38" s="1"/>
  <c r="U17" i="51"/>
  <c r="U59" i="51" s="1"/>
  <c r="V17" i="38"/>
  <c r="N59" i="38"/>
  <c r="U20" i="57"/>
  <c r="U47" i="57" s="1"/>
  <c r="R104" i="61"/>
  <c r="AB49" i="50" s="1"/>
  <c r="AB50" i="50" s="1"/>
  <c r="R79" i="58"/>
  <c r="AB44" i="50"/>
  <c r="R80" i="58"/>
  <c r="W29" i="57"/>
  <c r="W38" i="57" s="1"/>
  <c r="W56" i="57" s="1"/>
  <c r="Q61" i="43"/>
  <c r="Q79" i="43"/>
  <c r="Q81" i="43" s="1"/>
  <c r="O56" i="38"/>
  <c r="O76" i="38" s="1"/>
  <c r="O79" i="38" s="1"/>
  <c r="V29" i="57"/>
  <c r="V38" i="57" s="1"/>
  <c r="U56" i="57"/>
  <c r="U40" i="57"/>
  <c r="R117" i="48"/>
  <c r="R41" i="50"/>
  <c r="R116" i="48"/>
  <c r="R40" i="50"/>
  <c r="T68" i="61"/>
  <c r="U43" i="61"/>
  <c r="S56" i="61"/>
  <c r="S92" i="61" s="1"/>
  <c r="S80" i="61"/>
  <c r="W10" i="61"/>
  <c r="W65" i="61" s="1"/>
  <c r="U77" i="61"/>
  <c r="U101" i="61" s="1"/>
  <c r="U53" i="61"/>
  <c r="U89" i="61" s="1"/>
  <c r="R59" i="43"/>
  <c r="R51" i="43"/>
  <c r="Q69" i="43"/>
  <c r="Q71" i="43" s="1"/>
  <c r="Q41" i="43"/>
  <c r="T31" i="58"/>
  <c r="T61" i="58" s="1"/>
  <c r="W10" i="58"/>
  <c r="S22" i="57"/>
  <c r="R58" i="57"/>
  <c r="T31" i="57"/>
  <c r="R49" i="57"/>
  <c r="F31" i="50"/>
  <c r="R84" i="51"/>
  <c r="T62" i="51"/>
  <c r="C118" i="35"/>
  <c r="H87" i="35"/>
  <c r="H111" i="35"/>
  <c r="R39" i="43"/>
  <c r="U39" i="35"/>
  <c r="U71" i="35" s="1"/>
  <c r="U83" i="35" s="1"/>
  <c r="U107" i="35" s="1"/>
  <c r="T39" i="48"/>
  <c r="V95" i="48"/>
  <c r="W58" i="48"/>
  <c r="W94" i="48" s="1"/>
  <c r="W59" i="48"/>
  <c r="W61" i="48"/>
  <c r="W97" i="48" s="1"/>
  <c r="V61" i="48"/>
  <c r="V97" i="48" s="1"/>
  <c r="D99" i="35"/>
  <c r="V17" i="35"/>
  <c r="U17" i="48"/>
  <c r="U72" i="48" s="1"/>
  <c r="U84" i="48" s="1"/>
  <c r="U108" i="48" s="1"/>
  <c r="T47" i="51"/>
  <c r="S80" i="51"/>
  <c r="V26" i="51"/>
  <c r="S96" i="48"/>
  <c r="S99" i="48" s="1"/>
  <c r="S116" i="48" s="1"/>
  <c r="S63" i="48"/>
  <c r="S111" i="48"/>
  <c r="S117" i="48" s="1"/>
  <c r="T87" i="48"/>
  <c r="T60" i="48"/>
  <c r="T75" i="48"/>
  <c r="V15" i="48"/>
  <c r="L85" i="38"/>
  <c r="L86" i="38" s="1"/>
  <c r="E95" i="35"/>
  <c r="E99" i="35" s="1"/>
  <c r="F95" i="35"/>
  <c r="M69" i="38"/>
  <c r="H96" i="35"/>
  <c r="N87" i="43"/>
  <c r="O86" i="43"/>
  <c r="S49" i="43"/>
  <c r="T28" i="43"/>
  <c r="Q26" i="38"/>
  <c r="N66" i="38"/>
  <c r="N69" i="38" s="1"/>
  <c r="N84" i="38" s="1"/>
  <c r="N39" i="38"/>
  <c r="O49" i="38"/>
  <c r="O36" i="38"/>
  <c r="I60" i="35"/>
  <c r="I96" i="35" s="1"/>
  <c r="J15" i="35"/>
  <c r="J72" i="35" s="1"/>
  <c r="J84" i="35" s="1"/>
  <c r="J108" i="35" s="1"/>
  <c r="E63" i="35"/>
  <c r="G59" i="35"/>
  <c r="M61" i="35"/>
  <c r="M97" i="35" s="1"/>
  <c r="F58" i="35"/>
  <c r="F75" i="35"/>
  <c r="N61" i="35"/>
  <c r="N97" i="35" s="1"/>
  <c r="G75" i="35"/>
  <c r="G58" i="35"/>
  <c r="H2" i="26"/>
  <c r="G23" i="26"/>
  <c r="G16" i="26"/>
  <c r="G22" i="26"/>
  <c r="G15" i="26"/>
  <c r="G21" i="26"/>
  <c r="G14" i="26"/>
  <c r="G20" i="26"/>
  <c r="G13" i="26"/>
  <c r="G19" i="26"/>
  <c r="G12" i="26"/>
  <c r="G18" i="26"/>
  <c r="G11" i="26"/>
  <c r="G17" i="26"/>
  <c r="G10" i="26"/>
  <c r="G4" i="26"/>
  <c r="G5" i="26"/>
  <c r="G6" i="26"/>
  <c r="G7" i="26"/>
  <c r="G8" i="26"/>
  <c r="G9" i="26"/>
  <c r="G3" i="26"/>
  <c r="B10" i="20"/>
  <c r="A10" i="20"/>
  <c r="AB22" i="50" l="1"/>
  <c r="H64" i="50" s="1"/>
  <c r="AC31" i="50"/>
  <c r="R81" i="58"/>
  <c r="S81" i="58"/>
  <c r="S118" i="48"/>
  <c r="E57" i="50"/>
  <c r="E34" i="50"/>
  <c r="E58" i="50" s="1"/>
  <c r="R118" i="48"/>
  <c r="V46" i="38"/>
  <c r="W15" i="38"/>
  <c r="D34" i="50"/>
  <c r="D58" i="50" s="1"/>
  <c r="O59" i="38"/>
  <c r="S54" i="58"/>
  <c r="S34" i="58"/>
  <c r="T44" i="58"/>
  <c r="T73" i="51"/>
  <c r="W40" i="57"/>
  <c r="W28" i="38"/>
  <c r="V28" i="51"/>
  <c r="V58" i="51" s="1"/>
  <c r="V69" i="51" s="1"/>
  <c r="V91" i="51" s="1"/>
  <c r="U48" i="51"/>
  <c r="U81" i="51" s="1"/>
  <c r="U41" i="58"/>
  <c r="U44" i="58" s="1"/>
  <c r="U70" i="51"/>
  <c r="U92" i="51" s="1"/>
  <c r="U95" i="51" s="1"/>
  <c r="U101" i="51" s="1"/>
  <c r="R31" i="50"/>
  <c r="U57" i="38"/>
  <c r="U77" i="38" s="1"/>
  <c r="U37" i="38"/>
  <c r="U67" i="38" s="1"/>
  <c r="T51" i="51"/>
  <c r="W17" i="38"/>
  <c r="V17" i="51"/>
  <c r="V59" i="51" s="1"/>
  <c r="R112" i="61"/>
  <c r="R113" i="61" s="1"/>
  <c r="W20" i="57"/>
  <c r="W47" i="57" s="1"/>
  <c r="S104" i="61"/>
  <c r="S112" i="61" s="1"/>
  <c r="S113" i="61" s="1"/>
  <c r="AB33" i="50"/>
  <c r="AC33" i="50"/>
  <c r="AB46" i="50"/>
  <c r="R63" i="57"/>
  <c r="AB40" i="50"/>
  <c r="R64" i="57"/>
  <c r="AB41" i="50"/>
  <c r="R61" i="43"/>
  <c r="R79" i="43"/>
  <c r="R81" i="43" s="1"/>
  <c r="H49" i="50" s="1"/>
  <c r="P56" i="38"/>
  <c r="P76" i="38" s="1"/>
  <c r="P79" i="38" s="1"/>
  <c r="T54" i="58"/>
  <c r="T71" i="58"/>
  <c r="T74" i="58" s="1"/>
  <c r="T80" i="58" s="1"/>
  <c r="V40" i="57"/>
  <c r="V56" i="57"/>
  <c r="V20" i="57"/>
  <c r="V47" i="57" s="1"/>
  <c r="R42" i="50"/>
  <c r="R100" i="51"/>
  <c r="R102" i="51" s="1"/>
  <c r="R44" i="50"/>
  <c r="R46" i="50" s="1"/>
  <c r="M84" i="38"/>
  <c r="F44" i="50"/>
  <c r="F46" i="50" s="1"/>
  <c r="H117" i="35"/>
  <c r="D41" i="50"/>
  <c r="U68" i="61"/>
  <c r="V43" i="61"/>
  <c r="T80" i="61"/>
  <c r="T56" i="61"/>
  <c r="T92" i="61" s="1"/>
  <c r="V53" i="61"/>
  <c r="V89" i="61" s="1"/>
  <c r="V77" i="61"/>
  <c r="V101" i="61" s="1"/>
  <c r="W77" i="61"/>
  <c r="W101" i="61" s="1"/>
  <c r="W53" i="61"/>
  <c r="W89" i="61" s="1"/>
  <c r="H33" i="50"/>
  <c r="R69" i="43"/>
  <c r="R71" i="43" s="1"/>
  <c r="H48" i="50" s="1"/>
  <c r="R41" i="43"/>
  <c r="S59" i="43"/>
  <c r="S51" i="43"/>
  <c r="S58" i="57"/>
  <c r="S64" i="57" s="1"/>
  <c r="T64" i="58"/>
  <c r="T79" i="58" s="1"/>
  <c r="T34" i="58"/>
  <c r="S49" i="57"/>
  <c r="S63" i="57" s="1"/>
  <c r="U31" i="57"/>
  <c r="T22" i="57"/>
  <c r="U62" i="51"/>
  <c r="S84" i="51"/>
  <c r="S100" i="51" s="1"/>
  <c r="S102" i="51" s="1"/>
  <c r="I87" i="35"/>
  <c r="I111" i="35"/>
  <c r="I117" i="35" s="1"/>
  <c r="S39" i="43"/>
  <c r="V39" i="35"/>
  <c r="V71" i="35" s="1"/>
  <c r="V83" i="35" s="1"/>
  <c r="V107" i="35" s="1"/>
  <c r="U39" i="48"/>
  <c r="W95" i="48"/>
  <c r="D116" i="35"/>
  <c r="W17" i="35"/>
  <c r="W17" i="48" s="1"/>
  <c r="V17" i="48"/>
  <c r="V72" i="48" s="1"/>
  <c r="V84" i="48" s="1"/>
  <c r="V108" i="48" s="1"/>
  <c r="W26" i="51"/>
  <c r="T80" i="51"/>
  <c r="U47" i="51"/>
  <c r="W15" i="48"/>
  <c r="T96" i="48"/>
  <c r="T99" i="48" s="1"/>
  <c r="T116" i="48" s="1"/>
  <c r="T63" i="48"/>
  <c r="T111" i="48"/>
  <c r="T117" i="48" s="1"/>
  <c r="U60" i="48"/>
  <c r="U87" i="48"/>
  <c r="U75" i="48"/>
  <c r="G95" i="35"/>
  <c r="M85" i="38"/>
  <c r="O87" i="43"/>
  <c r="P86" i="43"/>
  <c r="T49" i="43"/>
  <c r="U28" i="43"/>
  <c r="R26" i="38"/>
  <c r="P36" i="38"/>
  <c r="P49" i="38"/>
  <c r="N85" i="38"/>
  <c r="N86" i="38" s="1"/>
  <c r="O39" i="38"/>
  <c r="O66" i="38"/>
  <c r="O69" i="38" s="1"/>
  <c r="O84" i="38" s="1"/>
  <c r="J60" i="35"/>
  <c r="J96" i="35" s="1"/>
  <c r="K15" i="35"/>
  <c r="K72" i="35" s="1"/>
  <c r="K84" i="35" s="1"/>
  <c r="K108" i="35" s="1"/>
  <c r="H59" i="35"/>
  <c r="H95" i="35" s="1"/>
  <c r="E116" i="35"/>
  <c r="F94" i="35"/>
  <c r="F99" i="35" s="1"/>
  <c r="F63" i="35"/>
  <c r="G94" i="35"/>
  <c r="G63" i="35"/>
  <c r="H58" i="35"/>
  <c r="H94" i="35" s="1"/>
  <c r="H75" i="35"/>
  <c r="O61" i="35"/>
  <c r="O97" i="35" s="1"/>
  <c r="I2" i="26"/>
  <c r="H23" i="26"/>
  <c r="H16" i="26"/>
  <c r="H22" i="26"/>
  <c r="H15" i="26"/>
  <c r="H21" i="26"/>
  <c r="H14" i="26"/>
  <c r="H20" i="26"/>
  <c r="H13" i="26"/>
  <c r="H19" i="26"/>
  <c r="H12" i="26"/>
  <c r="H18" i="26"/>
  <c r="H11" i="26"/>
  <c r="H17" i="26"/>
  <c r="H4" i="26"/>
  <c r="H5" i="26"/>
  <c r="H6" i="26"/>
  <c r="H7" i="26"/>
  <c r="H8" i="26"/>
  <c r="H9" i="26"/>
  <c r="H10" i="26"/>
  <c r="H3" i="26"/>
  <c r="M86" i="38" l="1"/>
  <c r="W46" i="38"/>
  <c r="T81" i="58"/>
  <c r="T118" i="48"/>
  <c r="W28" i="51"/>
  <c r="W58" i="51" s="1"/>
  <c r="W69" i="51" s="1"/>
  <c r="W91" i="51" s="1"/>
  <c r="W47" i="38"/>
  <c r="U51" i="51"/>
  <c r="R34" i="50"/>
  <c r="AB34" i="50"/>
  <c r="H65" i="50" s="1"/>
  <c r="AC34" i="50"/>
  <c r="I65" i="50" s="1"/>
  <c r="U51" i="58"/>
  <c r="U54" i="58" s="1"/>
  <c r="U31" i="58"/>
  <c r="U61" i="58" s="1"/>
  <c r="U64" i="58" s="1"/>
  <c r="U79" i="58" s="1"/>
  <c r="U73" i="51"/>
  <c r="V57" i="38"/>
  <c r="V77" i="38" s="1"/>
  <c r="V37" i="38"/>
  <c r="V67" i="38" s="1"/>
  <c r="W17" i="51"/>
  <c r="W59" i="51" s="1"/>
  <c r="V48" i="51"/>
  <c r="V81" i="51" s="1"/>
  <c r="V41" i="58"/>
  <c r="V44" i="58" s="1"/>
  <c r="V70" i="51"/>
  <c r="V92" i="51" s="1"/>
  <c r="V95" i="51" s="1"/>
  <c r="V101" i="51" s="1"/>
  <c r="H50" i="50"/>
  <c r="T104" i="61"/>
  <c r="T112" i="61" s="1"/>
  <c r="T113" i="61" s="1"/>
  <c r="AB42" i="50"/>
  <c r="AB51" i="50" s="1"/>
  <c r="H66" i="50" s="1"/>
  <c r="S61" i="43"/>
  <c r="S79" i="43"/>
  <c r="S81" i="43" s="1"/>
  <c r="P59" i="38"/>
  <c r="Q56" i="38"/>
  <c r="Q76" i="38" s="1"/>
  <c r="Q79" i="38" s="1"/>
  <c r="R51" i="50"/>
  <c r="V68" i="61"/>
  <c r="W43" i="61"/>
  <c r="W68" i="61" s="1"/>
  <c r="U56" i="61"/>
  <c r="U92" i="61" s="1"/>
  <c r="U80" i="61"/>
  <c r="T59" i="43"/>
  <c r="T51" i="43"/>
  <c r="S69" i="43"/>
  <c r="S71" i="43" s="1"/>
  <c r="S41" i="43"/>
  <c r="T58" i="57"/>
  <c r="T64" i="57" s="1"/>
  <c r="T49" i="57"/>
  <c r="T63" i="57" s="1"/>
  <c r="V31" i="57"/>
  <c r="U22" i="57"/>
  <c r="U49" i="57"/>
  <c r="U63" i="57" s="1"/>
  <c r="T84" i="51"/>
  <c r="T100" i="51" s="1"/>
  <c r="T102" i="51" s="1"/>
  <c r="V62" i="51"/>
  <c r="E118" i="35"/>
  <c r="D118" i="35"/>
  <c r="J87" i="35"/>
  <c r="J111" i="35"/>
  <c r="J117" i="35" s="1"/>
  <c r="T39" i="43"/>
  <c r="W39" i="35"/>
  <c r="V39" i="48"/>
  <c r="W72" i="48"/>
  <c r="G99" i="35"/>
  <c r="G116" i="35" s="1"/>
  <c r="V47" i="51"/>
  <c r="U80" i="51"/>
  <c r="V87" i="48"/>
  <c r="V60" i="48"/>
  <c r="V75" i="48"/>
  <c r="U96" i="48"/>
  <c r="U99" i="48" s="1"/>
  <c r="U116" i="48" s="1"/>
  <c r="U111" i="48"/>
  <c r="U117" i="48" s="1"/>
  <c r="U63" i="48"/>
  <c r="P87" i="43"/>
  <c r="Q86" i="43"/>
  <c r="V28" i="43"/>
  <c r="U49" i="43"/>
  <c r="Q49" i="38"/>
  <c r="Q36" i="38"/>
  <c r="P66" i="38"/>
  <c r="P69" i="38" s="1"/>
  <c r="P84" i="38" s="1"/>
  <c r="P39" i="38"/>
  <c r="O85" i="38"/>
  <c r="O86" i="38" s="1"/>
  <c r="S26" i="38"/>
  <c r="K60" i="35"/>
  <c r="K96" i="35" s="1"/>
  <c r="L15" i="35"/>
  <c r="L72" i="35" s="1"/>
  <c r="L84" i="35" s="1"/>
  <c r="L108" i="35" s="1"/>
  <c r="I59" i="35"/>
  <c r="I58" i="35"/>
  <c r="I75" i="35"/>
  <c r="P61" i="35"/>
  <c r="P97" i="35" s="1"/>
  <c r="H63" i="35"/>
  <c r="F116" i="35"/>
  <c r="J2" i="26"/>
  <c r="I23" i="26"/>
  <c r="I16" i="26"/>
  <c r="I22" i="26"/>
  <c r="I15" i="26"/>
  <c r="I21" i="26"/>
  <c r="I12" i="26"/>
  <c r="I18" i="26"/>
  <c r="I11" i="26"/>
  <c r="I17" i="26"/>
  <c r="I14" i="26"/>
  <c r="I20" i="26"/>
  <c r="I19" i="26"/>
  <c r="I10" i="26"/>
  <c r="I3" i="26"/>
  <c r="I13" i="26"/>
  <c r="I6" i="26"/>
  <c r="I5" i="26"/>
  <c r="I9" i="26"/>
  <c r="I4" i="26"/>
  <c r="I8" i="26"/>
  <c r="I7" i="26"/>
  <c r="W62" i="51" l="1"/>
  <c r="U118" i="48"/>
  <c r="W47" i="51"/>
  <c r="W80" i="51" s="1"/>
  <c r="V51" i="51"/>
  <c r="V73" i="51"/>
  <c r="U34" i="58"/>
  <c r="U71" i="58"/>
  <c r="U74" i="58" s="1"/>
  <c r="U80" i="58" s="1"/>
  <c r="U81" i="58" s="1"/>
  <c r="V31" i="58"/>
  <c r="V61" i="58" s="1"/>
  <c r="V64" i="58" s="1"/>
  <c r="V79" i="58" s="1"/>
  <c r="V51" i="58"/>
  <c r="V54" i="58" s="1"/>
  <c r="W57" i="38"/>
  <c r="W77" i="38" s="1"/>
  <c r="W37" i="38"/>
  <c r="W67" i="38" s="1"/>
  <c r="W41" i="58"/>
  <c r="W70" i="51"/>
  <c r="W48" i="51"/>
  <c r="W81" i="51" s="1"/>
  <c r="U104" i="61"/>
  <c r="U112" i="61" s="1"/>
  <c r="U113" i="61" s="1"/>
  <c r="W60" i="48"/>
  <c r="W63" i="48" s="1"/>
  <c r="W84" i="48"/>
  <c r="W108" i="48" s="1"/>
  <c r="W111" i="48" s="1"/>
  <c r="W117" i="48" s="1"/>
  <c r="T61" i="43"/>
  <c r="T79" i="43"/>
  <c r="T81" i="43" s="1"/>
  <c r="R56" i="38"/>
  <c r="Q59" i="38"/>
  <c r="W56" i="61"/>
  <c r="W92" i="61" s="1"/>
  <c r="W80" i="61"/>
  <c r="V80" i="61"/>
  <c r="V56" i="61"/>
  <c r="V92" i="61" s="1"/>
  <c r="U59" i="43"/>
  <c r="U51" i="43"/>
  <c r="T69" i="43"/>
  <c r="T71" i="43" s="1"/>
  <c r="T41" i="43"/>
  <c r="U58" i="57"/>
  <c r="U64" i="57" s="1"/>
  <c r="W31" i="57"/>
  <c r="V22" i="57"/>
  <c r="U84" i="51"/>
  <c r="U100" i="51" s="1"/>
  <c r="U102" i="51" s="1"/>
  <c r="G118" i="35"/>
  <c r="F118" i="35"/>
  <c r="K87" i="35"/>
  <c r="K111" i="35"/>
  <c r="K117" i="35" s="1"/>
  <c r="U39" i="43"/>
  <c r="W39" i="48"/>
  <c r="W71" i="35"/>
  <c r="W83" i="35" s="1"/>
  <c r="W107" i="35" s="1"/>
  <c r="W75" i="48"/>
  <c r="H99" i="35"/>
  <c r="D40" i="50" s="1"/>
  <c r="D42" i="50" s="1"/>
  <c r="D51" i="50" s="1"/>
  <c r="D59" i="50" s="1"/>
  <c r="V80" i="51"/>
  <c r="V96" i="48"/>
  <c r="V99" i="48" s="1"/>
  <c r="V116" i="48" s="1"/>
  <c r="V63" i="48"/>
  <c r="V111" i="48"/>
  <c r="V117" i="48" s="1"/>
  <c r="I95" i="35"/>
  <c r="R86" i="43"/>
  <c r="Q87" i="43"/>
  <c r="W28" i="43"/>
  <c r="W49" i="43" s="1"/>
  <c r="W51" i="43" s="1"/>
  <c r="V49" i="43"/>
  <c r="T26" i="38"/>
  <c r="P85" i="38"/>
  <c r="P86" i="38" s="1"/>
  <c r="R49" i="38"/>
  <c r="R36" i="38"/>
  <c r="Q39" i="38"/>
  <c r="Q66" i="38"/>
  <c r="L60" i="35"/>
  <c r="L96" i="35" s="1"/>
  <c r="M15" i="35"/>
  <c r="M72" i="35" s="1"/>
  <c r="M84" i="35" s="1"/>
  <c r="J59" i="35"/>
  <c r="I94" i="35"/>
  <c r="I63" i="35"/>
  <c r="J58" i="35"/>
  <c r="J75" i="35"/>
  <c r="Q61" i="35"/>
  <c r="Q97" i="35" s="1"/>
  <c r="K2" i="26"/>
  <c r="J19" i="26"/>
  <c r="J13" i="26"/>
  <c r="J16" i="26"/>
  <c r="J15" i="26"/>
  <c r="J14" i="26"/>
  <c r="J20" i="26"/>
  <c r="J23" i="26"/>
  <c r="J21" i="26"/>
  <c r="J12" i="26"/>
  <c r="J11" i="26"/>
  <c r="J10" i="26"/>
  <c r="J22" i="26"/>
  <c r="J18" i="26"/>
  <c r="J17" i="26"/>
  <c r="J4" i="26"/>
  <c r="J5" i="26"/>
  <c r="J6" i="26"/>
  <c r="J7" i="26"/>
  <c r="J8" i="26"/>
  <c r="J3" i="26"/>
  <c r="J9" i="26"/>
  <c r="M108" i="35" l="1"/>
  <c r="G8" i="50"/>
  <c r="G10" i="50" s="1"/>
  <c r="F8" i="50"/>
  <c r="F10" i="50" s="1"/>
  <c r="V118" i="48"/>
  <c r="R76" i="38"/>
  <c r="R79" i="38" s="1"/>
  <c r="H45" i="50" s="1"/>
  <c r="H12" i="50"/>
  <c r="H15" i="50" s="1"/>
  <c r="I12" i="50"/>
  <c r="I15" i="50" s="1"/>
  <c r="V71" i="58"/>
  <c r="V74" i="58" s="1"/>
  <c r="V80" i="58" s="1"/>
  <c r="V81" i="58" s="1"/>
  <c r="V34" i="58"/>
  <c r="W96" i="48"/>
  <c r="W99" i="48" s="1"/>
  <c r="W116" i="48" s="1"/>
  <c r="W118" i="48" s="1"/>
  <c r="W92" i="51"/>
  <c r="W95" i="51" s="1"/>
  <c r="W101" i="51" s="1"/>
  <c r="W73" i="51"/>
  <c r="W44" i="58"/>
  <c r="W31" i="58"/>
  <c r="W51" i="58"/>
  <c r="W51" i="51"/>
  <c r="W104" i="61"/>
  <c r="W112" i="61" s="1"/>
  <c r="W113" i="61" s="1"/>
  <c r="V104" i="61"/>
  <c r="V112" i="61" s="1"/>
  <c r="V113" i="61" s="1"/>
  <c r="U61" i="43"/>
  <c r="U79" i="43"/>
  <c r="U81" i="43" s="1"/>
  <c r="S56" i="38"/>
  <c r="S76" i="38" s="1"/>
  <c r="S79" i="38" s="1"/>
  <c r="V59" i="43"/>
  <c r="V51" i="43"/>
  <c r="U69" i="43"/>
  <c r="U71" i="43" s="1"/>
  <c r="U41" i="43"/>
  <c r="V58" i="57"/>
  <c r="V64" i="57" s="1"/>
  <c r="V49" i="57"/>
  <c r="V63" i="57" s="1"/>
  <c r="W22" i="57"/>
  <c r="V84" i="51"/>
  <c r="V100" i="51" s="1"/>
  <c r="V102" i="51" s="1"/>
  <c r="W84" i="51"/>
  <c r="W100" i="51" s="1"/>
  <c r="W59" i="43"/>
  <c r="R59" i="38"/>
  <c r="L87" i="35"/>
  <c r="L111" i="35"/>
  <c r="L117" i="35" s="1"/>
  <c r="V39" i="43"/>
  <c r="W87" i="48"/>
  <c r="H116" i="35"/>
  <c r="I99" i="35"/>
  <c r="I116" i="35" s="1"/>
  <c r="J95" i="35"/>
  <c r="W39" i="43"/>
  <c r="Q69" i="38"/>
  <c r="Q84" i="38" s="1"/>
  <c r="R87" i="43"/>
  <c r="S86" i="43"/>
  <c r="R66" i="38"/>
  <c r="R39" i="38"/>
  <c r="S49" i="38"/>
  <c r="S36" i="38"/>
  <c r="U26" i="38"/>
  <c r="M60" i="35"/>
  <c r="M96" i="35" s="1"/>
  <c r="N15" i="35"/>
  <c r="N72" i="35" s="1"/>
  <c r="N84" i="35" s="1"/>
  <c r="N108" i="35" s="1"/>
  <c r="K75" i="35"/>
  <c r="K58" i="35"/>
  <c r="J94" i="35"/>
  <c r="J63" i="35"/>
  <c r="R61" i="35"/>
  <c r="K59" i="35"/>
  <c r="L2" i="26"/>
  <c r="K23" i="26"/>
  <c r="K16" i="26"/>
  <c r="K22" i="26"/>
  <c r="K15" i="26"/>
  <c r="K21" i="26"/>
  <c r="K14" i="26"/>
  <c r="K20" i="26"/>
  <c r="K12" i="26"/>
  <c r="K18" i="26"/>
  <c r="K11" i="26"/>
  <c r="K17" i="26"/>
  <c r="K10" i="26"/>
  <c r="K13" i="26"/>
  <c r="K19" i="26"/>
  <c r="K4" i="26"/>
  <c r="K5" i="26"/>
  <c r="K6" i="26"/>
  <c r="K7" i="26"/>
  <c r="K8" i="26"/>
  <c r="K9" i="26"/>
  <c r="K3" i="26"/>
  <c r="W102" i="51" l="1"/>
  <c r="F29" i="50"/>
  <c r="F22" i="50"/>
  <c r="F57" i="50" s="1"/>
  <c r="G29" i="50"/>
  <c r="G22" i="50"/>
  <c r="I31" i="50"/>
  <c r="W54" i="58"/>
  <c r="W71" i="58"/>
  <c r="W74" i="58" s="1"/>
  <c r="W80" i="58" s="1"/>
  <c r="W61" i="58"/>
  <c r="W64" i="58" s="1"/>
  <c r="W79" i="58" s="1"/>
  <c r="W81" i="58" s="1"/>
  <c r="W34" i="58"/>
  <c r="V61" i="43"/>
  <c r="V79" i="43"/>
  <c r="V81" i="43" s="1"/>
  <c r="W61" i="43"/>
  <c r="W79" i="43"/>
  <c r="W81" i="43" s="1"/>
  <c r="S59" i="38"/>
  <c r="T56" i="38"/>
  <c r="T76" i="38" s="1"/>
  <c r="T79" i="38" s="1"/>
  <c r="V69" i="43"/>
  <c r="V71" i="43" s="1"/>
  <c r="V41" i="43"/>
  <c r="W69" i="43"/>
  <c r="W71" i="43" s="1"/>
  <c r="W41" i="43"/>
  <c r="W49" i="57"/>
  <c r="W63" i="57" s="1"/>
  <c r="W58" i="57"/>
  <c r="W64" i="57" s="1"/>
  <c r="H31" i="50"/>
  <c r="H118" i="35"/>
  <c r="I118" i="35"/>
  <c r="M87" i="35"/>
  <c r="M111" i="35"/>
  <c r="K95" i="35"/>
  <c r="J99" i="35"/>
  <c r="J116" i="35" s="1"/>
  <c r="Q85" i="38"/>
  <c r="Q86" i="38" s="1"/>
  <c r="R69" i="38"/>
  <c r="S87" i="43"/>
  <c r="T86" i="43"/>
  <c r="V26" i="38"/>
  <c r="S66" i="38"/>
  <c r="S39" i="38"/>
  <c r="T59" i="38"/>
  <c r="T36" i="38"/>
  <c r="T49" i="38"/>
  <c r="N60" i="35"/>
  <c r="N96" i="35" s="1"/>
  <c r="O15" i="35"/>
  <c r="O72" i="35" s="1"/>
  <c r="O84" i="35" s="1"/>
  <c r="O108" i="35" s="1"/>
  <c r="K94" i="35"/>
  <c r="K63" i="35"/>
  <c r="L59" i="35"/>
  <c r="L58" i="35"/>
  <c r="L75" i="35"/>
  <c r="R97" i="35"/>
  <c r="S61" i="35"/>
  <c r="S97" i="35" s="1"/>
  <c r="M2" i="26"/>
  <c r="L23" i="26"/>
  <c r="L16" i="26"/>
  <c r="L22" i="26"/>
  <c r="L15" i="26"/>
  <c r="L21" i="26"/>
  <c r="L14" i="26"/>
  <c r="L20" i="26"/>
  <c r="L13" i="26"/>
  <c r="L19" i="26"/>
  <c r="L12" i="26"/>
  <c r="L18" i="26"/>
  <c r="L11" i="26"/>
  <c r="L17" i="26"/>
  <c r="L4" i="26"/>
  <c r="L5" i="26"/>
  <c r="L6" i="26"/>
  <c r="L7" i="26"/>
  <c r="L8" i="26"/>
  <c r="L9" i="26"/>
  <c r="L10" i="26"/>
  <c r="L3" i="26"/>
  <c r="G34" i="50" l="1"/>
  <c r="G58" i="50" s="1"/>
  <c r="G57" i="50"/>
  <c r="F34" i="50"/>
  <c r="F58" i="50" s="1"/>
  <c r="U56" i="38"/>
  <c r="U76" i="38" s="1"/>
  <c r="U79" i="38" s="1"/>
  <c r="R84" i="38"/>
  <c r="H44" i="50"/>
  <c r="H46" i="50" s="1"/>
  <c r="M117" i="35"/>
  <c r="F41" i="50"/>
  <c r="J118" i="35"/>
  <c r="N87" i="35"/>
  <c r="N111" i="35"/>
  <c r="N117" i="35" s="1"/>
  <c r="K99" i="35"/>
  <c r="L95" i="35"/>
  <c r="R85" i="38"/>
  <c r="S69" i="38"/>
  <c r="S84" i="38" s="1"/>
  <c r="U86" i="43"/>
  <c r="T87" i="43"/>
  <c r="U49" i="38"/>
  <c r="U36" i="38"/>
  <c r="T66" i="38"/>
  <c r="T39" i="38"/>
  <c r="W26" i="38"/>
  <c r="O60" i="35"/>
  <c r="O96" i="35" s="1"/>
  <c r="P15" i="35"/>
  <c r="P72" i="35" s="1"/>
  <c r="P84" i="35" s="1"/>
  <c r="P108" i="35" s="1"/>
  <c r="M75" i="35"/>
  <c r="M58" i="35"/>
  <c r="T61" i="35"/>
  <c r="T97" i="35" s="1"/>
  <c r="L63" i="35"/>
  <c r="L94" i="35"/>
  <c r="M59" i="35"/>
  <c r="N2" i="26"/>
  <c r="M23" i="26"/>
  <c r="M16" i="26"/>
  <c r="M22" i="26"/>
  <c r="M15" i="26"/>
  <c r="M21" i="26"/>
  <c r="M14" i="26"/>
  <c r="M20" i="26"/>
  <c r="M13" i="26"/>
  <c r="M12" i="26"/>
  <c r="M18" i="26"/>
  <c r="M11" i="26"/>
  <c r="M17" i="26"/>
  <c r="M19" i="26"/>
  <c r="M3" i="26"/>
  <c r="M10" i="26"/>
  <c r="M7" i="26"/>
  <c r="M6" i="26"/>
  <c r="M8" i="26"/>
  <c r="M5" i="26"/>
  <c r="M4" i="26"/>
  <c r="M9" i="26"/>
  <c r="R86" i="38" l="1"/>
  <c r="U59" i="38"/>
  <c r="V56" i="38"/>
  <c r="V76" i="38" s="1"/>
  <c r="V79" i="38" s="1"/>
  <c r="O87" i="35"/>
  <c r="O111" i="35"/>
  <c r="O117" i="35" s="1"/>
  <c r="K116" i="35"/>
  <c r="L99" i="35"/>
  <c r="L116" i="35" s="1"/>
  <c r="M95" i="35"/>
  <c r="S85" i="38"/>
  <c r="S86" i="38" s="1"/>
  <c r="T69" i="38"/>
  <c r="T84" i="38" s="1"/>
  <c r="U87" i="43"/>
  <c r="V86" i="43"/>
  <c r="U39" i="38"/>
  <c r="U66" i="38"/>
  <c r="V49" i="38"/>
  <c r="V36" i="38"/>
  <c r="P60" i="35"/>
  <c r="P96" i="35" s="1"/>
  <c r="Q15" i="35"/>
  <c r="Q72" i="35" s="1"/>
  <c r="Q84" i="35" s="1"/>
  <c r="Q108" i="35" s="1"/>
  <c r="N58" i="35"/>
  <c r="N75" i="35"/>
  <c r="U61" i="35"/>
  <c r="U97" i="35" s="1"/>
  <c r="M94" i="35"/>
  <c r="M63" i="35"/>
  <c r="N59" i="35"/>
  <c r="O2" i="26"/>
  <c r="N16" i="26"/>
  <c r="N15" i="26"/>
  <c r="N23" i="26"/>
  <c r="N22" i="26"/>
  <c r="N21" i="26"/>
  <c r="N19" i="26"/>
  <c r="N20" i="26"/>
  <c r="N13" i="26"/>
  <c r="N18" i="26"/>
  <c r="N17" i="26"/>
  <c r="N10" i="26"/>
  <c r="N14" i="26"/>
  <c r="N12" i="26"/>
  <c r="N4" i="26"/>
  <c r="N5" i="26"/>
  <c r="N6" i="26"/>
  <c r="N7" i="26"/>
  <c r="N8" i="26"/>
  <c r="N9" i="26"/>
  <c r="N11" i="26"/>
  <c r="N3" i="26"/>
  <c r="V59" i="38" l="1"/>
  <c r="W56" i="38"/>
  <c r="W76" i="38" s="1"/>
  <c r="W79" i="38" s="1"/>
  <c r="K118" i="35"/>
  <c r="L118" i="35"/>
  <c r="P87" i="35"/>
  <c r="P111" i="35"/>
  <c r="P117" i="35" s="1"/>
  <c r="M99" i="35"/>
  <c r="N95" i="35"/>
  <c r="U69" i="38"/>
  <c r="U84" i="38" s="1"/>
  <c r="T85" i="38"/>
  <c r="T86" i="38" s="1"/>
  <c r="V87" i="43"/>
  <c r="W86" i="43"/>
  <c r="W49" i="38"/>
  <c r="W36" i="38"/>
  <c r="V66" i="38"/>
  <c r="V69" i="38" s="1"/>
  <c r="V84" i="38" s="1"/>
  <c r="V39" i="38"/>
  <c r="Q60" i="35"/>
  <c r="Q96" i="35" s="1"/>
  <c r="R15" i="35"/>
  <c r="R72" i="35" s="1"/>
  <c r="R84" i="35" s="1"/>
  <c r="V61" i="35"/>
  <c r="V97" i="35" s="1"/>
  <c r="O59" i="35"/>
  <c r="O58" i="35"/>
  <c r="O75" i="35"/>
  <c r="N63" i="35"/>
  <c r="N94" i="35"/>
  <c r="P2" i="26"/>
  <c r="O23" i="26"/>
  <c r="O16" i="26"/>
  <c r="O22" i="26"/>
  <c r="O15" i="26"/>
  <c r="O21" i="26"/>
  <c r="O14" i="26"/>
  <c r="O20" i="26"/>
  <c r="O19" i="26"/>
  <c r="O13" i="26"/>
  <c r="O12" i="26"/>
  <c r="O18" i="26"/>
  <c r="O11" i="26"/>
  <c r="O17" i="26"/>
  <c r="O10" i="26"/>
  <c r="O4" i="26"/>
  <c r="O5" i="26"/>
  <c r="O6" i="26"/>
  <c r="O7" i="26"/>
  <c r="O8" i="26"/>
  <c r="O9" i="26"/>
  <c r="O3" i="26"/>
  <c r="R108" i="35" l="1"/>
  <c r="H8" i="50"/>
  <c r="H10" i="50" s="1"/>
  <c r="I8" i="50"/>
  <c r="I10" i="50" s="1"/>
  <c r="W59" i="38"/>
  <c r="M116" i="35"/>
  <c r="M118" i="35" s="1"/>
  <c r="F40" i="50"/>
  <c r="F42" i="50" s="1"/>
  <c r="F51" i="50" s="1"/>
  <c r="F59" i="50" s="1"/>
  <c r="Q87" i="35"/>
  <c r="Q111" i="35"/>
  <c r="Q117" i="35" s="1"/>
  <c r="N99" i="35"/>
  <c r="O95" i="35"/>
  <c r="U85" i="38"/>
  <c r="U86" i="38" s="1"/>
  <c r="W87" i="43"/>
  <c r="V85" i="38"/>
  <c r="V86" i="38" s="1"/>
  <c r="W66" i="38"/>
  <c r="W39" i="38"/>
  <c r="R60" i="35"/>
  <c r="R96" i="35" s="1"/>
  <c r="S15" i="35"/>
  <c r="S72" i="35" s="1"/>
  <c r="S84" i="35" s="1"/>
  <c r="S108" i="35" s="1"/>
  <c r="P59" i="35"/>
  <c r="O63" i="35"/>
  <c r="O94" i="35"/>
  <c r="W61" i="35"/>
  <c r="W97" i="35" s="1"/>
  <c r="P58" i="35"/>
  <c r="P75" i="35"/>
  <c r="Q2" i="26"/>
  <c r="P23" i="26"/>
  <c r="P16" i="26"/>
  <c r="P22" i="26"/>
  <c r="P15" i="26"/>
  <c r="P21" i="26"/>
  <c r="P14" i="26"/>
  <c r="P20" i="26"/>
  <c r="P13" i="26"/>
  <c r="P19" i="26"/>
  <c r="P12" i="26"/>
  <c r="P18" i="26"/>
  <c r="P11" i="26"/>
  <c r="P17" i="26"/>
  <c r="P10" i="26"/>
  <c r="P4" i="26"/>
  <c r="P5" i="26"/>
  <c r="P6" i="26"/>
  <c r="P7" i="26"/>
  <c r="P8" i="26"/>
  <c r="P9" i="26"/>
  <c r="P3" i="26"/>
  <c r="I29" i="50" l="1"/>
  <c r="I22" i="50"/>
  <c r="H29" i="50"/>
  <c r="H22" i="50"/>
  <c r="H57" i="50" s="1"/>
  <c r="R87" i="35"/>
  <c r="R111" i="35"/>
  <c r="O99" i="35"/>
  <c r="O116" i="35" s="1"/>
  <c r="N116" i="35"/>
  <c r="P95" i="35"/>
  <c r="W69" i="38"/>
  <c r="S60" i="35"/>
  <c r="S96" i="35" s="1"/>
  <c r="T15" i="35"/>
  <c r="T72" i="35" s="1"/>
  <c r="T84" i="35" s="1"/>
  <c r="T108" i="35" s="1"/>
  <c r="Q75" i="35"/>
  <c r="Q58" i="35"/>
  <c r="P63" i="35"/>
  <c r="P94" i="35"/>
  <c r="Q59" i="35"/>
  <c r="R2" i="26"/>
  <c r="Q23" i="26"/>
  <c r="Q16" i="26"/>
  <c r="Q22" i="26"/>
  <c r="Q15" i="26"/>
  <c r="Q21" i="26"/>
  <c r="Q12" i="26"/>
  <c r="Q18" i="26"/>
  <c r="Q11" i="26"/>
  <c r="Q17" i="26"/>
  <c r="Q14" i="26"/>
  <c r="Q20" i="26"/>
  <c r="Q13" i="26"/>
  <c r="Q19" i="26"/>
  <c r="Q3" i="26"/>
  <c r="Q10" i="26"/>
  <c r="Q7" i="26"/>
  <c r="Q9" i="26"/>
  <c r="Q4" i="26"/>
  <c r="Q8" i="26"/>
  <c r="Q6" i="26"/>
  <c r="Q5" i="26"/>
  <c r="I34" i="50" l="1"/>
  <c r="I58" i="50" s="1"/>
  <c r="I57" i="50"/>
  <c r="H34" i="50"/>
  <c r="H58" i="50" s="1"/>
  <c r="R117" i="35"/>
  <c r="H41" i="50"/>
  <c r="W84" i="38"/>
  <c r="W86" i="38" s="1"/>
  <c r="O118" i="35"/>
  <c r="N118" i="35"/>
  <c r="S87" i="35"/>
  <c r="S111" i="35"/>
  <c r="S117" i="35" s="1"/>
  <c r="P99" i="35"/>
  <c r="P116" i="35" s="1"/>
  <c r="Q95" i="35"/>
  <c r="W85" i="38"/>
  <c r="T60" i="35"/>
  <c r="T96" i="35" s="1"/>
  <c r="U15" i="35"/>
  <c r="U72" i="35" s="1"/>
  <c r="U84" i="35" s="1"/>
  <c r="U108" i="35" s="1"/>
  <c r="R59" i="35"/>
  <c r="Q94" i="35"/>
  <c r="Q63" i="35"/>
  <c r="R58" i="35"/>
  <c r="R75" i="35"/>
  <c r="S2" i="26"/>
  <c r="R13" i="26"/>
  <c r="R19" i="26"/>
  <c r="R23" i="26"/>
  <c r="R22" i="26"/>
  <c r="R21" i="26"/>
  <c r="R14" i="26"/>
  <c r="R20" i="26"/>
  <c r="R15" i="26"/>
  <c r="R18" i="26"/>
  <c r="R16" i="26"/>
  <c r="R12" i="26"/>
  <c r="R11" i="26"/>
  <c r="R10" i="26"/>
  <c r="R4" i="26"/>
  <c r="R5" i="26"/>
  <c r="R6" i="26"/>
  <c r="R7" i="26"/>
  <c r="R8" i="26"/>
  <c r="R3" i="26"/>
  <c r="R17" i="26"/>
  <c r="R9" i="26"/>
  <c r="P118" i="35" l="1"/>
  <c r="T87" i="35"/>
  <c r="T111" i="35"/>
  <c r="T117" i="35" s="1"/>
  <c r="Q99" i="35"/>
  <c r="R95" i="35"/>
  <c r="U60" i="35"/>
  <c r="U96" i="35" s="1"/>
  <c r="V15" i="35"/>
  <c r="V72" i="35" s="1"/>
  <c r="V84" i="35" s="1"/>
  <c r="V108" i="35" s="1"/>
  <c r="S59" i="35"/>
  <c r="R94" i="35"/>
  <c r="R63" i="35"/>
  <c r="S75" i="35"/>
  <c r="S58" i="35"/>
  <c r="T2" i="26"/>
  <c r="S23" i="26"/>
  <c r="S16" i="26"/>
  <c r="S22" i="26"/>
  <c r="S15" i="26"/>
  <c r="S21" i="26"/>
  <c r="S14" i="26"/>
  <c r="S20" i="26"/>
  <c r="S12" i="26"/>
  <c r="S18" i="26"/>
  <c r="S11" i="26"/>
  <c r="S17" i="26"/>
  <c r="S10" i="26"/>
  <c r="S19" i="26"/>
  <c r="S4" i="26"/>
  <c r="S5" i="26"/>
  <c r="S6" i="26"/>
  <c r="S7" i="26"/>
  <c r="S8" i="26"/>
  <c r="S13" i="26"/>
  <c r="S9" i="26"/>
  <c r="S3" i="26"/>
  <c r="U87" i="35" l="1"/>
  <c r="U111" i="35"/>
  <c r="U117" i="35" s="1"/>
  <c r="R99" i="35"/>
  <c r="H40" i="50" s="1"/>
  <c r="H42" i="50" s="1"/>
  <c r="H51" i="50" s="1"/>
  <c r="H59" i="50" s="1"/>
  <c r="Q116" i="35"/>
  <c r="S95" i="35"/>
  <c r="V60" i="35"/>
  <c r="V96" i="35" s="1"/>
  <c r="W15" i="35"/>
  <c r="W72" i="35" s="1"/>
  <c r="W84" i="35" s="1"/>
  <c r="W108" i="35" s="1"/>
  <c r="U58" i="35"/>
  <c r="T59" i="35"/>
  <c r="T75" i="35"/>
  <c r="T58" i="35"/>
  <c r="S94" i="35"/>
  <c r="S63" i="35"/>
  <c r="U2" i="26"/>
  <c r="T23" i="26"/>
  <c r="T16" i="26"/>
  <c r="T22" i="26"/>
  <c r="T15" i="26"/>
  <c r="T21" i="26"/>
  <c r="T14" i="26"/>
  <c r="T20" i="26"/>
  <c r="T13" i="26"/>
  <c r="T19" i="26"/>
  <c r="T12" i="26"/>
  <c r="T18" i="26"/>
  <c r="T11" i="26"/>
  <c r="T10" i="26"/>
  <c r="T4" i="26"/>
  <c r="T5" i="26"/>
  <c r="T6" i="26"/>
  <c r="T7" i="26"/>
  <c r="T8" i="26"/>
  <c r="T9" i="26"/>
  <c r="T17" i="26"/>
  <c r="T3" i="26"/>
  <c r="Q118" i="35" l="1"/>
  <c r="V87" i="35"/>
  <c r="V111" i="35"/>
  <c r="V117" i="35" s="1"/>
  <c r="R116" i="35"/>
  <c r="S99" i="35"/>
  <c r="S116" i="35" s="1"/>
  <c r="T95" i="35"/>
  <c r="W60" i="35"/>
  <c r="W96" i="35" s="1"/>
  <c r="U94" i="35"/>
  <c r="U59" i="35"/>
  <c r="T94" i="35"/>
  <c r="T63" i="35"/>
  <c r="U75" i="35"/>
  <c r="V2" i="26"/>
  <c r="U23" i="26"/>
  <c r="U16" i="26"/>
  <c r="U22" i="26"/>
  <c r="U15" i="26"/>
  <c r="U21" i="26"/>
  <c r="U14" i="26"/>
  <c r="U20" i="26"/>
  <c r="U19" i="26"/>
  <c r="U12" i="26"/>
  <c r="U18" i="26"/>
  <c r="U11" i="26"/>
  <c r="U17" i="26"/>
  <c r="U13" i="26"/>
  <c r="U10" i="26"/>
  <c r="U3" i="26"/>
  <c r="U9" i="26"/>
  <c r="U4" i="26"/>
  <c r="U8" i="26"/>
  <c r="U6" i="26"/>
  <c r="U5" i="26"/>
  <c r="U7" i="26"/>
  <c r="S118" i="35" l="1"/>
  <c r="R118" i="35"/>
  <c r="W87" i="35"/>
  <c r="W111" i="35"/>
  <c r="W117" i="35" s="1"/>
  <c r="T99" i="35"/>
  <c r="T116" i="35" s="1"/>
  <c r="U95" i="35"/>
  <c r="U99" i="35" s="1"/>
  <c r="U116" i="35" s="1"/>
  <c r="V58" i="35"/>
  <c r="V75" i="35"/>
  <c r="V59" i="35"/>
  <c r="U63" i="35"/>
  <c r="W2" i="26"/>
  <c r="V23" i="26"/>
  <c r="V22" i="26"/>
  <c r="V16" i="26"/>
  <c r="V15" i="26"/>
  <c r="V13" i="26"/>
  <c r="V12" i="26"/>
  <c r="V11" i="26"/>
  <c r="V17" i="26"/>
  <c r="V21" i="26"/>
  <c r="V20" i="26"/>
  <c r="V19" i="26"/>
  <c r="V18" i="26"/>
  <c r="V14" i="26"/>
  <c r="V4" i="26"/>
  <c r="V5" i="26"/>
  <c r="V6" i="26"/>
  <c r="V7" i="26"/>
  <c r="V8" i="26"/>
  <c r="V9" i="26"/>
  <c r="V10" i="26"/>
  <c r="V3" i="26"/>
  <c r="T118" i="35" l="1"/>
  <c r="U118" i="35"/>
  <c r="V95" i="35"/>
  <c r="W59" i="35"/>
  <c r="W75" i="35"/>
  <c r="W58" i="35"/>
  <c r="V63" i="35"/>
  <c r="V94" i="35"/>
  <c r="X2" i="26"/>
  <c r="W23" i="26"/>
  <c r="W16" i="26"/>
  <c r="W22" i="26"/>
  <c r="W15" i="26"/>
  <c r="W21" i="26"/>
  <c r="W14" i="26"/>
  <c r="W13" i="26"/>
  <c r="W20" i="26"/>
  <c r="W19" i="26"/>
  <c r="W12" i="26"/>
  <c r="W18" i="26"/>
  <c r="W11" i="26"/>
  <c r="W17" i="26"/>
  <c r="W4" i="26"/>
  <c r="W5" i="26"/>
  <c r="W6" i="26"/>
  <c r="W7" i="26"/>
  <c r="W8" i="26"/>
  <c r="W10" i="26"/>
  <c r="W9" i="26"/>
  <c r="W3" i="26"/>
  <c r="V99" i="35" l="1"/>
  <c r="V116" i="35" s="1"/>
  <c r="W95" i="35"/>
  <c r="W94" i="35"/>
  <c r="W63" i="35"/>
  <c r="Y2" i="26"/>
  <c r="X23" i="26"/>
  <c r="X16" i="26"/>
  <c r="X22" i="26"/>
  <c r="X15" i="26"/>
  <c r="X21" i="26"/>
  <c r="X14" i="26"/>
  <c r="X20" i="26"/>
  <c r="X13" i="26"/>
  <c r="X19" i="26"/>
  <c r="X12" i="26"/>
  <c r="X18" i="26"/>
  <c r="X11" i="26"/>
  <c r="X10" i="26"/>
  <c r="X17" i="26"/>
  <c r="X4" i="26"/>
  <c r="X5" i="26"/>
  <c r="X6" i="26"/>
  <c r="X7" i="26"/>
  <c r="X8" i="26"/>
  <c r="X9" i="26"/>
  <c r="X3" i="26"/>
  <c r="V118" i="35" l="1"/>
  <c r="W99" i="35"/>
  <c r="W116" i="35" s="1"/>
  <c r="Z2" i="26"/>
  <c r="Y23" i="26"/>
  <c r="Y16" i="26"/>
  <c r="Y22" i="26"/>
  <c r="Y15" i="26"/>
  <c r="Y19" i="26"/>
  <c r="Y12" i="26"/>
  <c r="Y18" i="26"/>
  <c r="Y11" i="26"/>
  <c r="Y17" i="26"/>
  <c r="Y21" i="26"/>
  <c r="Y14" i="26"/>
  <c r="Y20" i="26"/>
  <c r="Y10" i="26"/>
  <c r="Y3" i="26"/>
  <c r="Y13" i="26"/>
  <c r="Y9" i="26"/>
  <c r="Y5" i="26"/>
  <c r="Y7" i="26"/>
  <c r="Y6" i="26"/>
  <c r="Y4" i="26"/>
  <c r="Y8" i="26"/>
  <c r="W118" i="35" l="1"/>
  <c r="AA2" i="26"/>
  <c r="Z20" i="26"/>
  <c r="Z13" i="26"/>
  <c r="Z16" i="26"/>
  <c r="Z15" i="26"/>
  <c r="Z21" i="26"/>
  <c r="Z14" i="26"/>
  <c r="Z23" i="26"/>
  <c r="Z12" i="26"/>
  <c r="Z11" i="26"/>
  <c r="Z22" i="26"/>
  <c r="Z19" i="26"/>
  <c r="Z18" i="26"/>
  <c r="Z4" i="26"/>
  <c r="Z5" i="26"/>
  <c r="Z6" i="26"/>
  <c r="Z7" i="26"/>
  <c r="Z8" i="26"/>
  <c r="Z3" i="26"/>
  <c r="Z17" i="26"/>
  <c r="Z10" i="26"/>
  <c r="Z9" i="26"/>
  <c r="AB2" i="26" l="1"/>
  <c r="AA23" i="26"/>
  <c r="AA16" i="26"/>
  <c r="AA22" i="26"/>
  <c r="AA15" i="26"/>
  <c r="AA21" i="26"/>
  <c r="AA14" i="26"/>
  <c r="AA19" i="26"/>
  <c r="AA12" i="26"/>
  <c r="AA18" i="26"/>
  <c r="AA11" i="26"/>
  <c r="AA17" i="26"/>
  <c r="AA13" i="26"/>
  <c r="AA4" i="26"/>
  <c r="AA5" i="26"/>
  <c r="AA6" i="26"/>
  <c r="AA7" i="26"/>
  <c r="AA8" i="26"/>
  <c r="AA20" i="26"/>
  <c r="AA10" i="26"/>
  <c r="AA9" i="26"/>
  <c r="AA3" i="26"/>
  <c r="AC2" i="26" l="1"/>
  <c r="AB23" i="26"/>
  <c r="AB16" i="26"/>
  <c r="AB22" i="26"/>
  <c r="AB15" i="26"/>
  <c r="AB21" i="26"/>
  <c r="AB14" i="26"/>
  <c r="AB20" i="26"/>
  <c r="AB13" i="26"/>
  <c r="AB19" i="26"/>
  <c r="AB12" i="26"/>
  <c r="AB18" i="26"/>
  <c r="AB11" i="26"/>
  <c r="AB10" i="26"/>
  <c r="AB4" i="26"/>
  <c r="AB5" i="26"/>
  <c r="AB6" i="26"/>
  <c r="AB7" i="26"/>
  <c r="AB8" i="26"/>
  <c r="AB9" i="26"/>
  <c r="AB17" i="26"/>
  <c r="AB3" i="26"/>
  <c r="AD2" i="26" l="1"/>
  <c r="AC23" i="26"/>
  <c r="AC16" i="26"/>
  <c r="AC22" i="26"/>
  <c r="AC15" i="26"/>
  <c r="AC21" i="26"/>
  <c r="AC14" i="26"/>
  <c r="AC13" i="26"/>
  <c r="AC19" i="26"/>
  <c r="AC12" i="26"/>
  <c r="AC18" i="26"/>
  <c r="AC11" i="26"/>
  <c r="AC17" i="26"/>
  <c r="AC20" i="26"/>
  <c r="AC10" i="26"/>
  <c r="AC3" i="26"/>
  <c r="AC4" i="26"/>
  <c r="AC8" i="26"/>
  <c r="AC6" i="26"/>
  <c r="AC7" i="26"/>
  <c r="AC5" i="26"/>
  <c r="AC9" i="26"/>
  <c r="AE2" i="26" l="1"/>
  <c r="AD16" i="26"/>
  <c r="AD15" i="26"/>
  <c r="AD23" i="26"/>
  <c r="AD22" i="26"/>
  <c r="AD20" i="26"/>
  <c r="AD14" i="26"/>
  <c r="AD19" i="26"/>
  <c r="AD18" i="26"/>
  <c r="AD17" i="26"/>
  <c r="AD21" i="26"/>
  <c r="AD12" i="26"/>
  <c r="AD13" i="26"/>
  <c r="AD4" i="26"/>
  <c r="AD5" i="26"/>
  <c r="AD6" i="26"/>
  <c r="AD7" i="26"/>
  <c r="AD11" i="26"/>
  <c r="AD10" i="26"/>
  <c r="AD8" i="26"/>
  <c r="AD3" i="26"/>
  <c r="AD9" i="26"/>
  <c r="AF2" i="26" l="1"/>
  <c r="AE23" i="26"/>
  <c r="AE16" i="26"/>
  <c r="AE22" i="26"/>
  <c r="AE15" i="26"/>
  <c r="AE21" i="26"/>
  <c r="AE14" i="26"/>
  <c r="AE20" i="26"/>
  <c r="AE13" i="26"/>
  <c r="AE19" i="26"/>
  <c r="AE12" i="26"/>
  <c r="AE18" i="26"/>
  <c r="AE11" i="26"/>
  <c r="AE17" i="26"/>
  <c r="AE4" i="26"/>
  <c r="AE5" i="26"/>
  <c r="AE6" i="26"/>
  <c r="AE7" i="26"/>
  <c r="AE8" i="26"/>
  <c r="AE10" i="26"/>
  <c r="AE3" i="26"/>
  <c r="AE9" i="26"/>
  <c r="AG2" i="26" l="1"/>
  <c r="AF23" i="26"/>
  <c r="AF16" i="26"/>
  <c r="AF22" i="26"/>
  <c r="AF15" i="26"/>
  <c r="AF21" i="26"/>
  <c r="AF14" i="26"/>
  <c r="AF20" i="26"/>
  <c r="AF13" i="26"/>
  <c r="AF19" i="26"/>
  <c r="AF12" i="26"/>
  <c r="AF18" i="26"/>
  <c r="AF11" i="26"/>
  <c r="AF10" i="26"/>
  <c r="AF17" i="26"/>
  <c r="AF4" i="26"/>
  <c r="AF5" i="26"/>
  <c r="AF6" i="26"/>
  <c r="AF7" i="26"/>
  <c r="AF8" i="26"/>
  <c r="AF9" i="26"/>
  <c r="AF3" i="26"/>
  <c r="AH2" i="26" l="1"/>
  <c r="AG23" i="26"/>
  <c r="AG16" i="26"/>
  <c r="AG22" i="26"/>
  <c r="AG15" i="26"/>
  <c r="AG19" i="26"/>
  <c r="AG12" i="26"/>
  <c r="AG18" i="26"/>
  <c r="AG11" i="26"/>
  <c r="AG17" i="26"/>
  <c r="AG21" i="26"/>
  <c r="AG14" i="26"/>
  <c r="AG13" i="26"/>
  <c r="AG10" i="26"/>
  <c r="AG3" i="26"/>
  <c r="AG20" i="26"/>
  <c r="AG7" i="26"/>
  <c r="AG8" i="26"/>
  <c r="AG9" i="26"/>
  <c r="AG6" i="26"/>
  <c r="AG5" i="26"/>
  <c r="AG4" i="26"/>
  <c r="AI2" i="26" l="1"/>
  <c r="AH13" i="26"/>
  <c r="AH20" i="26"/>
  <c r="AH23" i="26"/>
  <c r="AH22" i="26"/>
  <c r="AH21" i="26"/>
  <c r="AH14" i="26"/>
  <c r="AH16" i="26"/>
  <c r="AH19" i="26"/>
  <c r="AH18" i="26"/>
  <c r="AH15" i="26"/>
  <c r="AH12" i="26"/>
  <c r="AH11" i="26"/>
  <c r="AH4" i="26"/>
  <c r="AH5" i="26"/>
  <c r="AH6" i="26"/>
  <c r="AH7" i="26"/>
  <c r="AH3" i="26"/>
  <c r="AH10" i="26"/>
  <c r="AH8" i="26"/>
  <c r="AH9" i="26"/>
  <c r="AH17" i="26"/>
  <c r="AJ2" i="26" l="1"/>
  <c r="AI23" i="26"/>
  <c r="AI16" i="26"/>
  <c r="AI22" i="26"/>
  <c r="AI15" i="26"/>
  <c r="AI21" i="26"/>
  <c r="AI14" i="26"/>
  <c r="AI19" i="26"/>
  <c r="AI12" i="26"/>
  <c r="AI18" i="26"/>
  <c r="AI11" i="26"/>
  <c r="AI17" i="26"/>
  <c r="AI20" i="26"/>
  <c r="AI13" i="26"/>
  <c r="AI4" i="26"/>
  <c r="AI5" i="26"/>
  <c r="AI6" i="26"/>
  <c r="AI7" i="26"/>
  <c r="AI8" i="26"/>
  <c r="AI10" i="26"/>
  <c r="AI9" i="26"/>
  <c r="AI3" i="26"/>
  <c r="AK2" i="26" l="1"/>
  <c r="AJ23" i="26"/>
  <c r="AJ16" i="26"/>
  <c r="AJ22" i="26"/>
  <c r="AJ15" i="26"/>
  <c r="AJ21" i="26"/>
  <c r="AJ14" i="26"/>
  <c r="AJ20" i="26"/>
  <c r="AJ13" i="26"/>
  <c r="AJ19" i="26"/>
  <c r="AJ12" i="26"/>
  <c r="AJ18" i="26"/>
  <c r="AJ11" i="26"/>
  <c r="AJ10" i="26"/>
  <c r="AJ4" i="26"/>
  <c r="AJ5" i="26"/>
  <c r="AJ6" i="26"/>
  <c r="AJ7" i="26"/>
  <c r="AJ8" i="26"/>
  <c r="AJ9" i="26"/>
  <c r="AJ17" i="26"/>
  <c r="AJ3" i="26"/>
  <c r="AL2" i="26" l="1"/>
  <c r="AK23" i="26"/>
  <c r="AK16" i="26"/>
  <c r="AK22" i="26"/>
  <c r="AK15" i="26"/>
  <c r="AK21" i="26"/>
  <c r="AK14" i="26"/>
  <c r="AK20" i="26"/>
  <c r="AK19" i="26"/>
  <c r="AK12" i="26"/>
  <c r="AK18" i="26"/>
  <c r="AK11" i="26"/>
  <c r="AK17" i="26"/>
  <c r="AK13" i="26"/>
  <c r="AK10" i="26"/>
  <c r="AK3" i="26"/>
  <c r="AK6" i="26"/>
  <c r="AK9" i="26"/>
  <c r="AK4" i="26"/>
  <c r="AK7" i="26"/>
  <c r="AK8" i="26"/>
  <c r="AK5" i="26"/>
  <c r="AM2" i="26" l="1"/>
  <c r="AL23" i="26"/>
  <c r="AL22" i="26"/>
  <c r="AL16" i="26"/>
  <c r="AL15" i="26"/>
  <c r="AL13" i="26"/>
  <c r="AL20" i="26"/>
  <c r="AL12" i="26"/>
  <c r="AL11" i="26"/>
  <c r="AL17" i="26"/>
  <c r="AL14" i="26"/>
  <c r="AL19" i="26"/>
  <c r="AL18" i="26"/>
  <c r="AL21" i="26"/>
  <c r="AL4" i="26"/>
  <c r="AL5" i="26"/>
  <c r="AL6" i="26"/>
  <c r="AL7" i="26"/>
  <c r="AL8" i="26"/>
  <c r="AL9" i="26"/>
  <c r="AL10" i="26"/>
  <c r="AL3" i="26"/>
  <c r="AN2" i="26" l="1"/>
  <c r="AM23" i="26"/>
  <c r="AM16" i="26"/>
  <c r="AM22" i="26"/>
  <c r="AM15" i="26"/>
  <c r="AM21" i="26"/>
  <c r="AM14" i="26"/>
  <c r="AM13" i="26"/>
  <c r="AM20" i="26"/>
  <c r="AM19" i="26"/>
  <c r="AM12" i="26"/>
  <c r="AM18" i="26"/>
  <c r="AM11" i="26"/>
  <c r="AM17" i="26"/>
  <c r="AM4" i="26"/>
  <c r="AM5" i="26"/>
  <c r="AM6" i="26"/>
  <c r="AM7" i="26"/>
  <c r="AM8" i="26"/>
  <c r="AM10" i="26"/>
  <c r="AM9" i="26"/>
  <c r="AM3" i="26"/>
  <c r="AO2" i="26" l="1"/>
  <c r="AN23" i="26"/>
  <c r="AN16" i="26"/>
  <c r="AN22" i="26"/>
  <c r="AN15" i="26"/>
  <c r="AN21" i="26"/>
  <c r="AN14" i="26"/>
  <c r="AN20" i="26"/>
  <c r="AN13" i="26"/>
  <c r="AN19" i="26"/>
  <c r="AN12" i="26"/>
  <c r="AN18" i="26"/>
  <c r="AN11" i="26"/>
  <c r="AN10" i="26"/>
  <c r="AN17" i="26"/>
  <c r="AN4" i="26"/>
  <c r="AN5" i="26"/>
  <c r="AN6" i="26"/>
  <c r="AN7" i="26"/>
  <c r="AN8" i="26"/>
  <c r="AN9" i="26"/>
  <c r="AN3" i="26"/>
  <c r="AO23" i="26" l="1"/>
  <c r="AO16" i="26"/>
  <c r="AO22" i="26"/>
  <c r="AO15" i="26"/>
  <c r="AO19" i="26"/>
  <c r="AO12" i="26"/>
  <c r="AO18" i="26"/>
  <c r="AO11" i="26"/>
  <c r="AO21" i="26"/>
  <c r="AO14" i="26"/>
  <c r="AO20" i="26"/>
  <c r="AO13" i="26"/>
  <c r="AO10" i="26"/>
  <c r="AO3" i="26"/>
  <c r="AO17" i="26"/>
  <c r="AO5" i="26"/>
  <c r="AO8" i="26"/>
  <c r="AO4" i="26"/>
  <c r="AO7" i="26"/>
  <c r="AO9" i="26"/>
  <c r="AO6" i="26"/>
  <c r="C72" i="55"/>
  <c r="C6" i="55"/>
  <c r="C73" i="55" s="1"/>
  <c r="C66" i="61" s="1"/>
  <c r="C78" i="61" l="1"/>
  <c r="C54" i="61"/>
  <c r="D54" i="61"/>
  <c r="D60" i="55"/>
  <c r="D96" i="55" s="1"/>
  <c r="C65" i="61"/>
  <c r="C77" i="61" s="1"/>
  <c r="C84" i="55"/>
  <c r="D61" i="55"/>
  <c r="C85" i="55"/>
  <c r="C61" i="55"/>
  <c r="C60" i="55"/>
  <c r="C96" i="55" s="1"/>
  <c r="C74" i="55"/>
  <c r="C75" i="55"/>
  <c r="C68" i="61" l="1"/>
  <c r="C87" i="55"/>
  <c r="C67" i="61"/>
  <c r="C86" i="55"/>
  <c r="D90" i="61"/>
  <c r="D111" i="61" s="1"/>
  <c r="D113" i="61" s="1"/>
  <c r="C90" i="61"/>
  <c r="C109" i="55"/>
  <c r="C102" i="61"/>
  <c r="C108" i="55"/>
  <c r="C53" i="61"/>
  <c r="C89" i="61" s="1"/>
  <c r="D53" i="61"/>
  <c r="D89" i="61" s="1"/>
  <c r="D62" i="55"/>
  <c r="D98" i="55" s="1"/>
  <c r="C62" i="55"/>
  <c r="C98" i="55" s="1"/>
  <c r="C97" i="55"/>
  <c r="C63" i="55"/>
  <c r="D63" i="55"/>
  <c r="D97" i="55"/>
  <c r="D118" i="55" s="1"/>
  <c r="D120" i="55" s="1"/>
  <c r="C111" i="55" l="1"/>
  <c r="C80" i="61"/>
  <c r="C56" i="61"/>
  <c r="C92" i="61" s="1"/>
  <c r="D56" i="61"/>
  <c r="D92" i="61" s="1"/>
  <c r="C110" i="55"/>
  <c r="C55" i="61"/>
  <c r="C91" i="61" s="1"/>
  <c r="C79" i="61"/>
  <c r="D55" i="61"/>
  <c r="D91" i="61" s="1"/>
  <c r="C111" i="61"/>
  <c r="V48" i="50"/>
  <c r="C101" i="61"/>
  <c r="C118" i="55"/>
  <c r="L48" i="50"/>
  <c r="L21" i="50" l="1"/>
  <c r="L22" i="50" s="1"/>
  <c r="C119" i="55"/>
  <c r="C120" i="55" s="1"/>
  <c r="C104" i="61"/>
  <c r="C103" i="61"/>
  <c r="B57" i="50" l="1"/>
  <c r="L34" i="50"/>
  <c r="B58" i="50" s="1"/>
  <c r="L33" i="50"/>
  <c r="L49" i="50"/>
  <c r="L50" i="50" s="1"/>
  <c r="L51" i="50" s="1"/>
  <c r="B59" i="50" s="1"/>
  <c r="V49" i="50"/>
  <c r="V50" i="50" s="1"/>
  <c r="V51" i="50" s="1"/>
  <c r="B66" i="50" s="1"/>
  <c r="V21" i="50"/>
  <c r="W33" i="50" l="1"/>
  <c r="V22" i="50"/>
  <c r="B64" i="50" s="1"/>
  <c r="V33" i="50"/>
  <c r="C112" i="61"/>
  <c r="V34" i="50" l="1"/>
  <c r="B65" i="50" s="1"/>
  <c r="W34" i="50"/>
  <c r="C65" i="50" s="1"/>
</calcChain>
</file>

<file path=xl/comments1.xml><?xml version="1.0" encoding="utf-8"?>
<comments xmlns="http://schemas.openxmlformats.org/spreadsheetml/2006/main">
  <authors>
    <author>Michel André Chabaneix</author>
  </authors>
  <commentList>
    <comment ref="S2" authorId="0">
      <text>
        <r>
          <rPr>
            <sz val="9"/>
            <color indexed="81"/>
            <rFont val="Tahoma"/>
            <family val="2"/>
          </rPr>
          <t>25% additional implementation cost from base case to accommodate smart DR for residential.</t>
        </r>
      </text>
    </comment>
    <comment ref="AC2" authorId="0">
      <text>
        <r>
          <rPr>
            <sz val="9"/>
            <color indexed="81"/>
            <rFont val="Tahoma"/>
            <family val="2"/>
          </rPr>
          <t>Assuming add 50% to reflect higher cost than smart incentives and technology enablement costs for the balancing services (DR management systems)</t>
        </r>
      </text>
    </comment>
    <comment ref="P5" authorId="0">
      <text>
        <r>
          <rPr>
            <sz val="9"/>
            <color indexed="81"/>
            <rFont val="Tahoma"/>
            <family val="2"/>
          </rPr>
          <t>Assumes same technology cost as PCT.</t>
        </r>
      </text>
    </comment>
    <comment ref="Q5" authorId="0">
      <text>
        <r>
          <rPr>
            <sz val="9"/>
            <color indexed="81"/>
            <rFont val="Tahoma"/>
            <family val="2"/>
          </rPr>
          <t>Assumes same installation cost as PCT.</t>
        </r>
      </text>
    </comment>
    <comment ref="K6" authorId="0">
      <text>
        <r>
          <rPr>
            <sz val="9"/>
            <color indexed="81"/>
            <rFont val="Tahoma"/>
            <family val="2"/>
          </rPr>
          <t>Based on 2009 FERC study saturation data.</t>
        </r>
      </text>
    </comment>
    <comment ref="K8" authorId="0">
      <text>
        <r>
          <rPr>
            <sz val="9"/>
            <color indexed="81"/>
            <rFont val="Tahoma"/>
            <family val="2"/>
          </rPr>
          <t xml:space="preserve">Assume 58% of cooling saturation, and 60% of commercial customers are in the small category.
</t>
        </r>
      </text>
    </comment>
    <comment ref="M8" authorId="0">
      <text>
        <r>
          <rPr>
            <sz val="9"/>
            <color indexed="81"/>
            <rFont val="Tahoma"/>
            <family val="2"/>
          </rPr>
          <t>Assumption: Assumes commercial AC is still operational in the winter due to internal heat sources (humans).</t>
        </r>
      </text>
    </comment>
    <comment ref="K9" authorId="0">
      <text>
        <r>
          <rPr>
            <sz val="9"/>
            <color indexed="81"/>
            <rFont val="Tahoma"/>
            <family val="2"/>
          </rPr>
          <t>Assume 58% of cooling saturation, and 30% of commercial customers are in the small category</t>
        </r>
      </text>
    </comment>
    <comment ref="U10" authorId="0">
      <text>
        <r>
          <rPr>
            <sz val="9"/>
            <color indexed="81"/>
            <rFont val="Tahoma"/>
            <family val="2"/>
          </rPr>
          <t>Assumes 25% of lighting systems have automation controls</t>
        </r>
      </text>
    </comment>
    <comment ref="M11" authorId="0">
      <text>
        <r>
          <rPr>
            <sz val="9"/>
            <color indexed="81"/>
            <rFont val="Tahoma"/>
            <family val="2"/>
          </rPr>
          <t>Assume there is more irrigation activity in the summer months than in the winter.</t>
        </r>
      </text>
    </comment>
    <comment ref="M12" authorId="0">
      <text>
        <r>
          <rPr>
            <b/>
            <sz val="9"/>
            <color indexed="81"/>
            <rFont val="Tahoma"/>
            <family val="2"/>
          </rPr>
          <t>Michel André Chabaneix:</t>
        </r>
        <r>
          <rPr>
            <sz val="9"/>
            <color indexed="81"/>
            <rFont val="Tahoma"/>
            <family val="2"/>
          </rPr>
          <t xml:space="preserve">
Process related isn't affected by seasonality.</t>
        </r>
      </text>
    </comment>
    <comment ref="P12" authorId="0">
      <text>
        <r>
          <rPr>
            <sz val="9"/>
            <color indexed="81"/>
            <rFont val="Tahoma"/>
            <family val="2"/>
          </rPr>
          <t xml:space="preserve">Average of costs for customers with and without a Building Management System (BMS). $2500 on CII side assumes that roughly 50% of customers have BMS and thus their device costs are around $500; the others need some sort of low-cost BMS or gateway plus points. Does not include labor costs associated with installation and integration.  </t>
        </r>
      </text>
    </comment>
    <comment ref="P13" authorId="0">
      <text>
        <r>
          <rPr>
            <sz val="9"/>
            <color indexed="81"/>
            <rFont val="Tahoma"/>
            <family val="2"/>
          </rPr>
          <t xml:space="preserve">Average of costs for customers with and without a Building Management System (BMS). $2500 on CII side assumes that roughly 50% of customers have BMS and thus their device costs are around $500; the others need some sort of low-cost BMS or gateway plus points. Does not include labor costs associated with installation and integration.  </t>
        </r>
      </text>
    </comment>
    <comment ref="M14" authorId="0">
      <text>
        <r>
          <rPr>
            <sz val="9"/>
            <color indexed="81"/>
            <rFont val="Tahoma"/>
            <family val="2"/>
          </rPr>
          <t>Assumption: External cold would</t>
        </r>
      </text>
    </comment>
  </commentList>
</comments>
</file>

<file path=xl/sharedStrings.xml><?xml version="1.0" encoding="utf-8"?>
<sst xmlns="http://schemas.openxmlformats.org/spreadsheetml/2006/main" count="1424" uniqueCount="381">
  <si>
    <t>TOU</t>
  </si>
  <si>
    <t>Year</t>
  </si>
  <si>
    <t>Industrial</t>
  </si>
  <si>
    <t>Residential</t>
  </si>
  <si>
    <t>Commercial</t>
  </si>
  <si>
    <t>Tier 1 - Highly Relevant</t>
  </si>
  <si>
    <t>Tier 2 - Relevant</t>
  </si>
  <si>
    <t>Tier 3 - Partial Relevance</t>
  </si>
  <si>
    <t>Tier 4 - Not Directly Relevant, but Related</t>
  </si>
  <si>
    <t xml:space="preserve"> </t>
  </si>
  <si>
    <t>Index</t>
  </si>
  <si>
    <t>Study</t>
  </si>
  <si>
    <t>Program Strategies</t>
  </si>
  <si>
    <t>Annual Attrition (%)</t>
  </si>
  <si>
    <t>Per Customer Impacts (kW)</t>
  </si>
  <si>
    <t>Marketing Cost</t>
  </si>
  <si>
    <t>Eligible Load (%)</t>
  </si>
  <si>
    <t>Program Participation (%)</t>
  </si>
  <si>
    <t>Event Participation (%)</t>
  </si>
  <si>
    <t>Single-family and Manufactured 20%; 
Multifamily 0%</t>
  </si>
  <si>
    <t>$280/water heat switch; 
$370/thermostat; 
$275/digital internet gateway</t>
  </si>
  <si>
    <t>Central Heating $32; 
Water Heating $8</t>
  </si>
  <si>
    <t>Central Heating 50%; 
Water Heating 100%</t>
  </si>
  <si>
    <t>1.74 central heat; 
0.58 water heat</t>
  </si>
  <si>
    <r>
      <t>Residential DLC (space and water heat)
[</t>
    </r>
    <r>
      <rPr>
        <i/>
        <sz val="11"/>
        <color theme="1"/>
        <rFont val="Calibri"/>
        <family val="2"/>
        <scheme val="minor"/>
      </rPr>
      <t>Table 35]</t>
    </r>
  </si>
  <si>
    <r>
      <t xml:space="preserve">Residential DLC (room and water heat)
</t>
    </r>
    <r>
      <rPr>
        <i/>
        <sz val="11"/>
        <color theme="1"/>
        <rFont val="Calibri"/>
        <family val="2"/>
        <scheme val="minor"/>
      </rPr>
      <t>[Table 38]</t>
    </r>
  </si>
  <si>
    <t>0.05 room heat;
0.58 water heat</t>
  </si>
  <si>
    <t>$280/water heat switch;
$280/baseboard switch;
$275/digital internet gateway</t>
  </si>
  <si>
    <t>Room Heating $32;
Water Heating $8</t>
  </si>
  <si>
    <t>Room Heating 50%;
Water Heating 100%</t>
  </si>
  <si>
    <t>Single-family and Manufactured 20%;
Multifamily 0% Room Heating, 20% Water Heat</t>
  </si>
  <si>
    <t>Vendor Costs</t>
  </si>
  <si>
    <t>$80/kW</t>
  </si>
  <si>
    <t>N/A</t>
  </si>
  <si>
    <t>Overhead: First Costs</t>
  </si>
  <si>
    <r>
      <t xml:space="preserve">Technology Cost </t>
    </r>
    <r>
      <rPr>
        <sz val="11"/>
        <color theme="1"/>
        <rFont val="Calibri"/>
        <family val="2"/>
        <scheme val="minor"/>
      </rPr>
      <t>(per new participant)</t>
    </r>
  </si>
  <si>
    <r>
      <t xml:space="preserve">Technical Potential 
</t>
    </r>
    <r>
      <rPr>
        <sz val="11"/>
        <color theme="1"/>
        <rFont val="Calibri"/>
        <family val="2"/>
        <scheme val="minor"/>
      </rPr>
      <t>(as a percent of gross)</t>
    </r>
  </si>
  <si>
    <r>
      <t xml:space="preserve">Residential Critical Peak Pricing
</t>
    </r>
    <r>
      <rPr>
        <i/>
        <sz val="11"/>
        <color theme="1"/>
        <rFont val="Calibri"/>
        <family val="2"/>
        <scheme val="minor"/>
      </rPr>
      <t>[Table 44]</t>
    </r>
  </si>
  <si>
    <r>
      <t xml:space="preserve">Annual Administrative Costs 
</t>
    </r>
    <r>
      <rPr>
        <sz val="11"/>
        <color theme="1"/>
        <rFont val="Calibri"/>
        <family val="2"/>
        <scheme val="minor"/>
      </rPr>
      <t>(% of annual costs)</t>
    </r>
  </si>
  <si>
    <r>
      <t xml:space="preserve">Annual Vendor Administrative Costs 
</t>
    </r>
    <r>
      <rPr>
        <sz val="11"/>
        <color theme="1"/>
        <rFont val="Calibri"/>
        <family val="2"/>
        <scheme val="minor"/>
      </rPr>
      <t>(% of annual costs)</t>
    </r>
  </si>
  <si>
    <t>Assumes administrative adder of 15%</t>
  </si>
  <si>
    <t>Smart Thermostat: $200 installation and $315 for the meter, based on $150 for the installed cost of radio frequency devices (CEC 2004 report) plus an additional $150 to upgrade to AMI and $15/customer communication charge.</t>
  </si>
  <si>
    <t>Marketing costs are based on one-half hour of staff time valued
at $50/hour (fully-loaded).</t>
  </si>
  <si>
    <t>This value accounts for annual per-customer communication of a
one-way transmission system.</t>
  </si>
  <si>
    <t>All residential customers are eligible.</t>
  </si>
  <si>
    <t>An average statewide reduction of 27% was found for the
California residential pilot CPP programs implemented in the
summer (Charles River Associates, 2005) with an on-peak rate
approximately 6 times the off-peak rate. PSE’s experience with a
C&amp;I pilot shows that winter events save about 50% less than
summer events; therefore, event participation was reduced to
15%.</t>
  </si>
  <si>
    <t>Gulf Power reported 8,500 participants as of October 2006, out of 350,000 residential customers (2.4%). (Sources: Jim Thompson presentation to PURC Energy Policy Roundtable, October 31, 2006; and FERC Form 861 data, 2005.) Gulf Power expects to reach at least 10% penetration. (Source: Dynamic Pricing, Advanced Metering and Demand Response in Electricity Markets, Severin Borenstein, Michael Jaske, and Arthur Rosenfeld, October 2002.) 2009 FERC study reports a 5% maximum participation rate.</t>
  </si>
  <si>
    <t>Event participation is captured in the average load impact.</t>
  </si>
  <si>
    <t>Based on PSE's estimate.</t>
  </si>
  <si>
    <t>$500 (per new participant)</t>
  </si>
  <si>
    <t>Assumes 10 hours of effort by staff, valued at $50/hour. An additional hour per year is assumed for ongoing marketing and customer support.</t>
  </si>
  <si>
    <r>
      <t xml:space="preserve">Incentive 
</t>
    </r>
    <r>
      <rPr>
        <sz val="11"/>
        <color theme="1"/>
        <rFont val="Calibri"/>
        <family val="2"/>
        <scheme val="minor"/>
      </rPr>
      <t>(annnual costs)</t>
    </r>
  </si>
  <si>
    <t>There are no customer incentives, but customers may have a lower bill than they would have on a standard rate.</t>
  </si>
  <si>
    <t>Standard program development assumption, including necessary internal labor, research, and IT/billing system changes.</t>
  </si>
  <si>
    <t>5% (as a percent of Load Basis)</t>
  </si>
  <si>
    <t>In the 2010 CA Statewide Nonresidential CPP Evaluation, program impacts ranged from 2.8% to 5.26% of load for SCE, SDG&amp;E and PG&amp;E. In 2011, load impacts ranged by utility: PG&amp;E averaged 5.9%, SCE averaged 5.7% and SDG&amp;E averaged 5.8%.</t>
  </si>
  <si>
    <t>Opt-in CPP programs typically exhibit low participation rates. In 2005, California experienced 1.1% participation rate across the state, which accounted for a total of 2.9% of peak load being enrolled. Individual utility participation ranged from 3.5% for PG&amp;E to 0.1% for SCE. PG&amp;E’s onpeak energy rates during High-Price Periods and Moderate-Price Periods are five times and three times higher, respectively, than on-peak energy rates during non-event days. High-Price Periods and Moderate-Price Periods are about 9.3 times and 3.3 times higher, respectively, than on-peak rates during non-event.</t>
  </si>
  <si>
    <t>Studies found 7% (composed of 5% change-of-service and 2% removals) from utilities, including: PacifiCorp, Xcel Energy, Eon US, Sacramento Municipal Utility District, Florida Power and Light (removals range from 1% to 3%). Removals are accounted for in event participation.</t>
  </si>
  <si>
    <t>Based on PSE’s central and water heating pilot. Per switch impacts are weighted by the morning and afternoon impacts.</t>
  </si>
  <si>
    <t>An additional utility administrative cost is added to the vendor program cost.</t>
  </si>
  <si>
    <t>Based on research of vendor bids and informal communications with vendors. Includes maintenance, administrative labor, and dispatch software.</t>
  </si>
  <si>
    <t>Based on PSE's Residential Demand Response Pilot Program. These costs include labor for installation.</t>
  </si>
  <si>
    <t>Assumes 0.5 hour of staff time, valued at $50/hour (fully loaded). Based on research of vendor bids and informal communications with vendors.</t>
  </si>
  <si>
    <t>Incentives range from $30 to $35 for most utilities for one piece of equipment and $8 for additional equipment. PSE’s pilot program offered $50 for both central and water heating.</t>
  </si>
  <si>
    <t>This value accounts for annual per-customer communication of a one-way transmission system.</t>
  </si>
  <si>
    <t>Assumes all electric central heating customers and associated loads qualify for the program.</t>
  </si>
  <si>
    <t>Assumes all central heating units and heat pumps can be retrofit, and the program employs a 50% cycling strategy. Due to the tank, water heaters can be shut off for the entire event (100% reduction).</t>
  </si>
  <si>
    <t>Assumes 20% of single-family and manufactured homes with electric central heating will participate. Minimal data for DLC heating programs exist; therefore, this assumption has been based on the average participation rate for national DLC cooling programs (between 15% and 20% of all residential customers, which translates to 20% to 30% of eligible customers). This is consistent with the 2009 FERC study estimate of 25% program participation for DLC cooling programs.
As customers with electric central heating will include water heating, the
water heating participation rates reflect the portion of electric water heaters
in homes with electric central heating.
Due to difficulties in reaching the multifamily segment, these customers
have been removed from the potential.</t>
  </si>
  <si>
    <t>Based on utility experience with DLC cooling programs, accounting for homeowners removing units and operational breakdowns (from 2.5% to 5.8%).</t>
  </si>
  <si>
    <t>Studies have found 7% (composed of 5 % change-of-service and 2% removals) from utilities, including: PacifiCorp, Xcel Energy, Eon US, Sacramento Municipal Utility District,,
Florida Power and Light (removals range from 1% to 3%). Removals are accounted for in event participation.</t>
  </si>
  <si>
    <t>Marketing costs are based on 0.5 hour of staff time, valued at $50/hour (fully loaded).</t>
  </si>
  <si>
    <t>Assumes all room units can be retrofit and the program employs a 50% cycling strategy. Due to the tank, water heating can be shut off for the entire event (100% reduction).</t>
  </si>
  <si>
    <t>Assumes 20% of customers with electric room heating will participate. Minimal data for DLC heating programs exists; therefore, the assumption is based on the average
participation rate for national programs for DLC AC programs (between 15% and 20% of all residential customers, which translates to 20% to 30% of eligible customers).
Due to the difficulty of reaching the multifamily segment, it is assumed that multifamily customers will only participate in this program’s water heating portion.
All customers with electric room heating will include water heating in the program; so participation rates have been adjusted to account for the percentage of electric heating
customers with electric water heat.</t>
  </si>
  <si>
    <r>
      <t xml:space="preserve">Commercial &amp; Industrial Critical Peak Pricing
</t>
    </r>
    <r>
      <rPr>
        <i/>
        <sz val="11"/>
        <color theme="1"/>
        <rFont val="Calibri"/>
        <family val="2"/>
        <scheme val="minor"/>
      </rPr>
      <t>[Table 46]</t>
    </r>
  </si>
  <si>
    <r>
      <t xml:space="preserve">Commercial &amp; Industrial Curtailment
</t>
    </r>
    <r>
      <rPr>
        <i/>
        <sz val="11"/>
        <color theme="1"/>
        <rFont val="Calibri"/>
        <family val="2"/>
        <scheme val="minor"/>
      </rPr>
      <t>[Table 41]</t>
    </r>
  </si>
  <si>
    <t>Administrative costs are rolled into the $/kW cost.</t>
  </si>
  <si>
    <t>Based on third-party aggregator bid.</t>
  </si>
  <si>
    <t>Included in third-party aggregator bid.</t>
  </si>
  <si>
    <t>Customers shed between 26.9% and 34% of load for day-of and dayahead events, respectively (2010 and 2011 Statewide Aggregator Demand Response Programs: Final Report, Christensen Associates).</t>
  </si>
  <si>
    <t>Programs across the country experience participation rates from 4% (the Mid American Curtailment Program has 4.5%) to 30% (Georgia Power and Indiana Michigan Power Company).</t>
  </si>
  <si>
    <t>Range of PJM and MidAm programs (90%-95%).</t>
  </si>
  <si>
    <t>LADWP DR Strategy_Model Input Assumptions 2013-12-19</t>
  </si>
  <si>
    <t>NCI</t>
  </si>
  <si>
    <t>CPP</t>
  </si>
  <si>
    <t>CII Curtailable Load</t>
  </si>
  <si>
    <t>Direct Load Control</t>
  </si>
  <si>
    <t>XRT</t>
  </si>
  <si>
    <t>AMP</t>
  </si>
  <si>
    <t>1. Assumed that duel-enrollment in DR programs is not allowed with this program. This value represents the maximum participation of eligible customers after adjusting to ensure dual-enrollment is not counted.
Navigant analysis, based on experience with other similar utilities and participation seen in CA IOU BIP programs, Capacity Bidding Programs, and FERC's National Assessment of Demand Resposne Potential. Participation expected to be refined for the X-Large and Large categories (i.e., the Premier Account customers), based on feedback from LADWP's Premier Accounts reps.
"2012 Load Impact Evaluation of California's Statewide Base Interruptible Program", Prepared for: Southern California Edison Co., Pacific Gas &amp; Electric Co., San Diego Gas &amp; Electric by Freeman, Sullivan &amp; Co., April 1, 2013.</t>
  </si>
  <si>
    <t>2. $/kW-yr: Annual estimate of monthly capacity incentive payments, based on incentives provided by Progress Energy Carolinas, KCP&amp;L, HECO, and CA IOUs in Capacity Bidding Programs. Based on $8/kW-month for a four month program season for LADWP.
$/kWh: Based on variable program incentives for KCP&amp;L's MPower C&amp;I curtailment program.</t>
  </si>
  <si>
    <t xml:space="preserve">3. Average of costs for customers with and without a Building Management System (BMS). $2500 on CII side assumes that roughly 50% of customers have BMS and thus their device costs are around $500; the others need some sort of low-cost BMS or gateway plus points. Does not include labor costs associated with installation and integration.     </t>
  </si>
  <si>
    <t>% of Customers w/ Eligible Equipment</t>
  </si>
  <si>
    <t xml:space="preserve">"1. ""Los Angeles Department of Water and Power Energy Efficiency and Demand Response Potential Study, Volume 1: Energy Efficiency Potential"", Global Energy Partners, February, 2011. 
In absence of additional information, small commercial CAC penetration is based on penetration of CAC for all commercial customers."       
</t>
  </si>
  <si>
    <t xml:space="preserve">2. Assumed that duel-enrollment in DR programs is not allowed with this program. This value represents the maximum participation of eligible customers after adjusting to ensure dual-enrollment is not counted.       
"3. For Res - CAC &amp; Small Comm CAC: Esource: Participation is the percent of customers with eligible equipment that participate, so the actual participation is closer to 12% of all customers for residential and less than 1% for small commercial. Source: ""Hot or Not: DLC Program Benchmarks: How Do You Compare?"",  Advanced Load Control Alliance-Spring 2012 
For Res Window AC &amp; Res Pool Pump: Navigant analysis. Information about participation in these program types is less commonly available. Direct load control for window AC is a recent development and customer participation rates are still uncertain."       
</t>
  </si>
  <si>
    <t>Red CAC 50% Cycling (25% max);
Res CAC 75% Cycling (25% max);
Res CAC 100% Cycling (25% max);
Small Comm CAC (1.2% max);
Res Window AC (5% max);
Res Poll Pump (10% max);
*maximum participation (% of customers w/ eligible equipment)</t>
  </si>
  <si>
    <t>Red CAC 50% Cycling (47%);
Res CAC 75% Cycling (47%);
Res CAC 100% Cycling (47%);
Small Comm CAC (58%);
Res Window AC (33%);
Res Poll Pump (9%);</t>
  </si>
  <si>
    <t>Red CAC 50% Cycling ($40/new participant, $40/existing participant, $40/kW (one time));
Res CAC 75% Cycling ($60/new participant, $60/existing participant, $60/kW (one time));
Res CAC 100% Cycling ($75/new participant, $75/existing participant, $75/kW (one time));
Small Comm CAC ($60/new participant, $60/existing participant, $60/kW (one time));
Res Window AC ($40/new participant, $40/existing participant, $40/kW (one time));
Res Poll Pump ($30/new participant, $30/existing participant, $30/kW (one time));</t>
  </si>
  <si>
    <t xml:space="preserve">"4. This incentive is in line with other incentives offered around the country. Source: ""Hot or Not: DLC Program Benchmarks: How Do You Compare?"",  Advanced Load Control Alliance-Spring 2012.
Choice of an annual incentive to both new and existing participants is based on incentives provided by other CA IOUs and PG&amp;E's experience that a higher rate of attrition occurs without an ongoing incentive (Discussion with Andrew Hoffman, PG&amp;E, 10/24/13). ESource says 39% of incentives are yearly and 39% are monthly with many fewer utilities providing non-cash incentives or one-time enrollment incentives.
For comparison, a 2.5 ton A/C signed up on SCE's Summer Discount Plan would be paid $56 and $159 annually for 50% and 100% cycling, respectively. A 2.5 ton A/C signed up on SDG&amp;E's Summer Saver program would be paid $29 and $95 annually for 50% and 100% cycling, respectively. The summer season (when A/C's are available for cycling) is 6 months long for SDG&amp;E and 5 months for SCE. LADWP's summer season is 4 months.
SDG&amp;E source: http://www.sdge.com/summer-saver-program
SCE source: https://www.sce.com/NR/sc3/tm2/pdf/ce177.pdf"       </t>
  </si>
  <si>
    <t>Red CAC 50% Cycling (1.1 devices per customer (load switch), $60/device (load switch));
Res CAC 75% Cycling (1.1 devices per customer (load switch), $60/device (load switch));
Res CAC 100% Cycling (1.1 devices per customer (load switch), $60/device (load switch));
Small Comm CAC (1.9 devices per customer (load switch), $100/device (load switch));
Res Window AC (1.1 devices per customer (load switch), $60/device (load switch));
Res Poll Pump (1.0 devices per customer (load switch), $60/device (load switch));</t>
  </si>
  <si>
    <t xml:space="preserve">4. Assumed in this analysis that LADWP does not offer this expanded TOU rate for mass market customers until AMI metering is in place, since interval metering is required for TOU. The costs presented here for AMI meters are only considered as part of the scenario analysis and are not included in the base case analysis. Meter quantites based on "Meter Prefix by Rate.xlsx" from LADWP.     
"5.  For X-Large, Large &amp; Medium Customers: Cost/device of AMI meter based on average cost of 600 kV and 34.5 kV C&amp;I meter costs in ""Meter and meter build up costs 11-15-13.xlsx"" from Jason Rondou, LADWP, 11/15/13. Also based on installed cost of $750 per C&amp;I TOU meter from ""LADWP DR Data Request Memo_9-26-13 JR update 10-21-13.docx"" from Jason Rondou, LADWP, 10/21/13. Does include labor costs associated with installation and integration or transformer buildup.
For Res &amp; Small Customers: Cost/device of AMI based on ""Meter and meter build up costs 11-15-13.xlsx"" file from LADWP. Does not include labor costs associated with installation and integration or transformer buildup costs."     </t>
  </si>
  <si>
    <r>
      <t xml:space="preserve">Communication Costs </t>
    </r>
    <r>
      <rPr>
        <sz val="11"/>
        <color theme="1"/>
        <rFont val="Calibri"/>
        <family val="2"/>
        <scheme val="minor"/>
      </rPr>
      <t>(per Customer Per Year)</t>
    </r>
  </si>
  <si>
    <t>X-Large (N/A);
Large (N/A);
Medium (N/A);
Small (10% max, 2.7% initial);
Residential (20% max, 0.1% initial)</t>
  </si>
  <si>
    <t>X-Large (40%);
Large (30%);
Medium (8.2%);
Auto DR | Large (10%);
Auto DR | Medium (3%);</t>
  </si>
  <si>
    <t>X-Large ($32 $/kW-yr, $0.35/kWh);
Large ($32/kW-yr, $0.35/kWh);
Medium ($32 $/kW-yr, $0.35/kWh);
Auto DR | Large ($40/kW-yr, $0.35/kWh);
Auto DR | Medium ($40/kW-yr, $0.35/kWh);</t>
  </si>
  <si>
    <t>X-Large (N/A);
Large (N/A);
Medium (N/A);
Auto DR | Large (system, $2,500);
Auto DR | Medium (system, $2,500)</t>
  </si>
  <si>
    <t>X-Large (N/A);
Large (N/A);
Medium (N/A);
Small (1.6 devices per customer (TOU switch), $425 per device (TOU switch));
Residential (1.1 devices per customer (TOU switch), $103 per device (TOU switch))</t>
  </si>
  <si>
    <t>X-Large (11.5 devices per customer (AMI meter), $550 per device (AMI meter));
Large (11.5 devices per customer (AMI meter), $550 per device (AMI meter));
Medium (4.2 devices per customer (AMI meter), $550 per device (AMI meter));
Small (1.6 devices per customer (AMI meter), $425 per device (AMI meter));
Residential (1.1 devices per customer (AMI meter), $103 per device (AMI meter))</t>
  </si>
  <si>
    <t xml:space="preserve">"5. The costs for the AMI meters required for this program are only considered as part of the scenario analysis and are not included in the base case analysis.
Meter quantites procured from ""Meter Prefix by Rate.xlsx"" from LADWP."    
"6.  For X-Large, Large &amp; Medium Customers: Cost/device of AMI meter based on average cost of 600 kV and 34.5 kV C&amp;I meter costs in ""Meter and meter build up costs 11-15-13.xlsx"" from Jason Rondou, LADWP, 11/15/13. Also based on installed cost of $750 per C&amp;I TOU meter from ""LADWP DR Data Request Memo_9-26-13 JR update 10-21-13.docx"" from Jason Rondou, LADWP, 10/21/13. Does include labor costs associated with installation and integration or transformer buildup.
For Res &amp; Small Customers: Cost/device of AMI based on ""Meter and meter build up costs 11-15-13.xlsx"" file from LADWP. Does not include labor costs associated with installation and integration or transformer buildup costs."    </t>
  </si>
  <si>
    <t>X-Large (30%);
Large (30%);
Medium (20%);
Small (3%);
Residential (11%)</t>
  </si>
  <si>
    <t xml:space="preserve">2. For X-Large &amp; Large CPP: The FSC Group, "2012 California Statewide Non-residential Critical Peak Pricing Evaluation," April 1, 2013    
3. For Med CPP &amp; Small CPP: Navigant Analysis. Participation from these customer groups are currently more uncertain within the industry.    
4. For Res CPP: Max participation at full saturation assumed to be 15%, based on SMUD's ability to surpass their 15% goal in the first year of their Res TOU &amp; CPP pilots. http://www.demandresponsetownmeeting.com/wp-content/uploads/2012/03/1A-0830-GEORGE.pdf. Adjusted to 11% to reflect participation levels in 2026, since the program is not expected to reach full saturation by then if not deployed until 2022.     </t>
  </si>
  <si>
    <t xml:space="preserve">1. For X-Large, Large &amp; Med TOU: Not included in the analysis, since these customers are already on default TOU. 
2. For Res TOU: Limited to 20% based on Oklahoma Gas &amp; Electric's experience (Email communications with Brian Eakin, Navigant, 10/25/13) as an "aggressively achievable goal" for LADWP. Small Commercial participation rates are less well known and assumed to participate at half the rate of residential. Assumed that duel-enrollment in DR programs is not allowed with this program. This value represents the maximum participation of eligible customers after adjusting to ensure dual-enrollment is not counted.     
3. LADWP Data Request for current number of customers on R1-B and A1-B TOU rates - "Monthly Rate Class Customers1.mdb"     
</t>
  </si>
  <si>
    <t>% Bill Reduction per Year</t>
  </si>
  <si>
    <t>X-Large (0%);
Large (0%);
Medium (0%);
Small (0%);
Residential (5%)</t>
  </si>
  <si>
    <t xml:space="preserve">7. This input is dependent on the actual CPP rate design and is expected to be refined once that rate is determined through further analysis. Preliminary estimate is based on typical bill savings for other utilities with CPP, such as OG&amp;E, and thought to be conservative.    
7. This input is dependent on the actual CPP rate design and is expected to be refined once that rate is determined through further analysis. Preliminary estimate is based on typical bill savings for other utilities with CPP, such as OG&amp;E, and thought to be conservative.    
7. This input is dependent on the actual CPP rate design and is expected to be refined once that rate is determined through further analysis. Preliminary estimate is based on typical bill savings for other utilities with CPP, such as OG&amp;E, and thought to be conservative.    
</t>
  </si>
  <si>
    <t>EV Service Rider</t>
  </si>
  <si>
    <t>X-Large (11.5 devices per customer (TOU meter), $550 per device (TOU meter));
Large (11.5 devices per customer (TOU meter), $550 per device (TOU meter));
Medium (4.2 devices per customer (TOU meter), $550 per device (TOU meter));
Small (1.6 devices per customer (TOU meter), $425 per device (TOU meter));
Residential (1.1 devices per customer (TOU meter), $103 per device (TOU meter))</t>
  </si>
  <si>
    <t xml:space="preserve">6. Meter quantites procured from "Meter Prefix by Rate.xlsx" from LADWP.      
7. Cost/device of TOU meter for X-Large/Large/Medium based on average cost of 600 kV and 34.5 kV C&amp;I meter costs in "Meter and meter build up costs 11-15-13.xlsx" from Jason Rondou, LADWP, 11/15/13. Also based on installed cost of $750 per C&amp;I TOU meter from "LADWP DR Data Request Memo_9-26-13 JR update 10-21-13.docx" from Jason Rondou, LADWP, 10/21/13. Cost/device of TOU meter with remote disconnect for Res/Small based on "Meter and meter build up costs 11-15-13.xlsx" file from LADWP. Does not include labor costs associated with installation and integration or transformer buildup costs.
8. NOTE: Level 2 EV chargers will be installed for these customers but we are assuming that these costs are not incurred for the purpose of DR and therefore not included in this analysis.       
</t>
  </si>
  <si>
    <t>2013 Total Qty of EV's in LADWP Territory = 4,052
2026 Total Qty of EV's in LADWP Territory = 230,000
2013 EV Service Rider Participants = 737
2026 EV Service Rider Participarion (% of Evs) = 18%
2026 EV Service Rider Participants = 39,846</t>
  </si>
  <si>
    <t xml:space="preserve">1. "According to the Center for Sustainable Energy (State Rebates) there are 4052 plug-in vehicles in LA." From "LADWP DR Data Request Memo_9-26-13 JR update 10-21-13.docx" provided by Jason Rondou, LADWP, 10/21/13.       
2. Jeffrey Dubin, et al., “Realizing the Potential of the Los Angeles Electric Vehicle Market,” Luskin Center for Innovation, UCLA Anderson School of Management, May 2011. Assumes constant growth of 3,161 EVs per year.       
3. "Partial Answers to Rates Questions Submitted via Email on August 15, 2013" in "Rates Follow Up Questions 8-15-13.docx" sent by LADWP on 9/4/13.       
4. Based on percentage of 2013 Total Qty of EV's in LADWP Territoy that are 2013 EV Service Rider Participants. Current participation assumed constant throughout analysis time period.       
5. Based on percentage of EV chargers by customer segment (e.g., Residential vs. Workplace/Public/Private). Navigant Research, "Electric Vehicle Charging Equipment ", Published 3Q 2013, "EVCE-13 Navigant Research.xlsx"       
</t>
  </si>
  <si>
    <t>CII Customers Maximum Participation (Qty of Customers) = 0
CII Customers Initial Participation (Qty of Customers) = 9</t>
  </si>
  <si>
    <t>CII Customers (3%)</t>
  </si>
  <si>
    <t xml:space="preserve">1. LADWP Data Request for current number of customers on XRT rates - "Monthly Rate Class Customers1.mdb"   
3. The analysis assumes that XRT is phased out over time.    </t>
  </si>
  <si>
    <t xml:space="preserve">2. Initial assumption; further analysis recommended   
</t>
  </si>
  <si>
    <t>CII Customers Maximum Participation (Qty of Customers) = 18
CII Customers Initial Participation (Qty of Customers) = 6</t>
  </si>
  <si>
    <t>CII Customers (5%)</t>
  </si>
  <si>
    <t xml:space="preserve">1. LADWP Data Requests and discussion with LADWP that the current number of berths participating in AMP has the potential to triple.   
</t>
  </si>
  <si>
    <t>Direct Load Control (DLC)</t>
  </si>
  <si>
    <t>Curtailable tariffs</t>
  </si>
  <si>
    <t>Time-of-use (TOU) rates</t>
  </si>
  <si>
    <t>Critical peak pricing (CPP) rates</t>
  </si>
  <si>
    <t>Peak time rebates (PTR)</t>
  </si>
  <si>
    <t>End uses are remotely cycled or shut down and customers are given a incentive payment for participating</t>
  </si>
  <si>
    <t>Eligible customers agree to reduce demand to pre-specified levels and receive an incentive payment that varies with the load curtailment level</t>
  </si>
  <si>
    <t>Divides every day into time periods and provides a schedule of rates for each period; the assumed price differential between the peak and off-peak periods is 2-to-1</t>
  </si>
  <si>
    <t>Customers pay a higher price during peak hours on a limited number of days of the year, and receive a discount during all other hours; the assumed price differential is 4.4-to-1 (based on PGE’s ongoing pilot)</t>
  </si>
  <si>
    <t>Customers are paid for peak period load reductions during a limited number of hours of the year</t>
  </si>
  <si>
    <t>Benefit-Cost Ratio</t>
  </si>
  <si>
    <t>Residential (1.54);
Small C&amp;I (1.69);
Medium C&amp;I (2.27);
Large C&amp;I (3.62)</t>
  </si>
  <si>
    <t>Large C&amp;I (2.97)</t>
  </si>
  <si>
    <t>Residential (1.18);
Small C&amp;I (0.33)</t>
  </si>
  <si>
    <t>Residential (1.85);
Small C&amp;I (1.48);
Medium C&amp;I (1.6);
Large C&amp;I (6.31)</t>
  </si>
  <si>
    <t>Residential (0.93);
Small C&amp;I (0.02)</t>
  </si>
  <si>
    <t>?</t>
  </si>
  <si>
    <t>*available within model</t>
  </si>
  <si>
    <t>Avoided peaking generation capacity ($95/kW-year);
Avoided wheeling charges ($18/kW-year);
Better pricing signals, more equitable cost allocation;
Possible environmental benefits;
Improved customer satisfaction;
Improved post-outage power restoration;
Improved distribution-level reliability;
Suppoer for more reliable integration of renewables</t>
  </si>
  <si>
    <t>Curtailment Tariff</t>
  </si>
  <si>
    <t>Automated Demand Response</t>
  </si>
  <si>
    <t>Water Heater Direct Load Control Pilot - Salem Smart Grid Project</t>
  </si>
  <si>
    <t>Smart Water Heater Direct Load Control Pilot</t>
  </si>
  <si>
    <t>PGE currently has 16 MW participating and available for curtailment in its Schedule 77, Firm Load Reduction Program. As reported previously, the tariff is callable up to 48 hours per year and PGE is on track to achieve the targeted 20 MW by 2015 as listed in Table 4-2. This past August, PGE transitioned Schedule 77 from a pilot to a program.</t>
  </si>
  <si>
    <t>As of November 14, PGE has enrolled nine customers. It is projected these customers may achieve roughly 3 MW of demand reduction, subject to validation this winter after equipment installation. We project that ADR will ramp up to 25 MW over the course of the pilot and be available for curtailment during both summer and winter seasons.</t>
  </si>
  <si>
    <t>As reported in PGE’s November 2011 IRP update, we have an operating Water Heater Direct Load Control (DLC) Pilot that is part of the Salem Smart Grid Project. This pilot is unique in that it tests responses to a mock regional pricing signal. It is, however, limited to less than 100 participants; it is not associated with “smart” appliances (i.e., the water heaters were retro-fitted with communication devices); and it is not scalable beyond the Salem demonstration project. The pilot is projected to run through 2014.</t>
  </si>
  <si>
    <t>PGE’s 2011 IRP update also described a very small pilot that would test a plug-in communication device in five “smart” electric water heaters with which PGE would test DLC. PGE is currently refining the communication interface’s technologies to achieve consistent and reliable signals to the water heater.
PGE is also exploring ways to support the Northwest Energy Efficiency Alliance and the Northwest Power and Conservation Council in order to encourage manufacturers to incorporate the sockets into their products for regional distribution.</t>
  </si>
  <si>
    <t>Critical Peak Pricing (CPP) Pilot</t>
  </si>
  <si>
    <t>The pilot experienced attrition its first year of operation, with the number of participants dropping from approximately 1,000 customers to approximately 610. The primary reasons that customers dropped out of the pilot were:
- The failure to save money;
- Difficulty in being able to shift / reduce load; and
- Discomfort and inconvenience.</t>
  </si>
  <si>
    <t>39% (first year)</t>
  </si>
  <si>
    <t>PGE concluded its CPP pilot for residential customers, Schedule 12, in October 2013, as authorized by the OPUC.
Recommendation to achieve the maximum benefit from a potential second CPP pilot:
• Pursue customer education as part of our strategic pricing roadmap to see what impact it plays on enrollment, retention and performance in our next pilot.
• Identify CPP and time-of-use requirements for new systems and programs.
• Continue to monitor DR programs and results from other utilities.
• Develop an education program to better inform customers regarding the purpose of, and how to effectively participate in, dynamic pricing options and DR programs.
• Evaluate and propose additional pilot alternatives that could help PGE develop a CPP program.
• Continue to implement PGE’s Customer Engagement Transformation program in which we will replace the current CIS and MDC. This will create the platforms on which a more cost-effective, fully scalable CPP program can be developed along with the other benefits discussed in PGE Exhibit 900 in Docket No. UE 262.</t>
  </si>
  <si>
    <t>Time-of-Day Pricing</t>
  </si>
  <si>
    <t>Time-of-Day (ToD) pricing currently applies to PGE’s Schedule 89 and Schedule 85 customers. This means that ToD pricing is available for all non-residential customers with monthly demand greater than 201 kW. As of January 2014, with Commission approval of UE 262 pricing, ToD pricing will also extend to Schedule 83 customers (i.e., non-residential customers with demand greater than 31 kW per month).</t>
  </si>
  <si>
    <t>Energy Tracker</t>
  </si>
  <si>
    <t>PGE released its Energy TrackerSM program in December 2011. This is an energy information tool that utilizes the interval data from PGE’s Advanced Metering Infrastructure system. It provides customers with energy use information that can help identify reduction and peak shifting strategies that customers may find useful to implement.
More recently, PGE is preparing a Phase 2 release of the Energy TrackerSM program, targeted for 2014. Along with a more customer-friendly look and feel, Phase 2 will provide more valuable information to customers in the form of optional alerts related to energy usage and projected billing amounts. With Phase 2 information, customers will be able to see their bill-to-date information along with a projected bill based on their current usage. Additionally, customers will be able to sign up for alerts that will notify them via email and / or text of: 1) current bill information; and 2) if they are projected to exceed preset thresholds. Because these are the two most commonly requested alerts by customers, we expect them to be used extensively.</t>
  </si>
  <si>
    <t>Future DR Actions</t>
  </si>
  <si>
    <t>Over the next three years (to 2016), PGE intends to take the following actions to further develop DR:
• Continue to implement the curtailment tariff to achieve the target 20 MW of capacity by 2015.
• Continue to develop and ramp up the ADR pilot to achieve 25 MW by 2017, and complete interim program evaluations in 2015 and 2016.
• Develop an education program and new dynamic pricing pilot (for instance the potential CPP pilot discussed above) in advance of the deployment of new CIS and MDC systems.
• Refine the smart water heater direct load control pilot. This will allow PGE to better position ourselves for the eventual introduction of scalable technologies.
• Continue to evaluate demand and energy savings associated with the two substation CVR pilot and then perform cost / benefit analysis.</t>
  </si>
  <si>
    <t>Cool Keeper Program (residential and small commercial DLC Air Conditioning program)</t>
  </si>
  <si>
    <t>Irrigation Load Control Program</t>
  </si>
  <si>
    <t>Inverted block structures for residential customers (inverted rate pricing, mandatory)</t>
  </si>
  <si>
    <t>TOU structures for residential and C&amp;I customers (optional)</t>
  </si>
  <si>
    <t>Participating Customers</t>
  </si>
  <si>
    <t>Utah (335 participating customers, 262 MWh enrolled loads);
Oregon (1,281 participating customers, 3,898 MWh enrolled loads);
Idaho (14,290 participating customers, 130,294 MWh enrolled);</t>
  </si>
  <si>
    <t>Participating customers as of December 31, 2011;
Residual on-peak portions of TOU loads and actual Inverted Rate Pricing loads after impacts of respective pricing structures, calendar year 2011.</t>
  </si>
  <si>
    <t>Impacts</t>
  </si>
  <si>
    <t>Utah (12-14 MWh shifted or saved due to rate, 3 kW coincident peak impact);
Oregon (311-355 MWh shifted or saved due to rate, 58-66 kW coincident peak impact);
Idaho (16,849-19,195 MWh shifted or saved due to rate, 1,896-2,160 kW coincident peak impact);</t>
  </si>
  <si>
    <t>Percent of Estimated Baseline Consumption Shifted or Saved</t>
  </si>
  <si>
    <t>Utah (4.5%-5.1%);
Oregon (7.4%-8.3%);
Idaho (11.5%-12.8%);</t>
  </si>
  <si>
    <t>Utah (706,948 participating customers, 7,314,347 MWh enrolled loads);
Wyoming (110,089 participating customers, 1,181,202 MWh enrolled loads);
Oregon (474,810 participating customers, 6,025,556 MWh enrolled loads);
Washington (104,404 participating customers, 1,789,050 MWh enrolled loads);
California (35,681 participating customers, 440,299 MWh enrolled loads);
Idaho (43,198 participating customers, 487,948 MWh enrolled loads);</t>
  </si>
  <si>
    <t>Utah (61,289-128,992 MWh shifted or saved due to rate, 12,940-27,235 kW coincident peak impact);
Wyoming (114,093-240,127 MWh shifted or saved due to rate, 17,054-35,893 kW coincident peak impact);
Oregon (474,810-6,025,556 MWh shifted or saved due to rate, 3,420-13,780 kW coincident peak impact);
Washington (57,658-232,347 MWh shifted or saved due to rate, 10,647-43,905 kW coincident peak impact);
California (2,243-9,037 MWh shifted or saved due to rate, 252-1,015 kW coincident peak impact);
Idaho (9,755-20,532 MWh shifted or saved due to rate, 1,098-2,311 kW coincident peak impact);</t>
  </si>
  <si>
    <t>Utah (0.8%-1.7%);
Wyoming (8.8%-16.9%);
Oregon (0.3%-1.2%);
Washington (3.1%-11.5%);
California (0.5%-2.0%);
Idaho (2.0%-4.0%);</t>
  </si>
  <si>
    <t>MW</t>
  </si>
  <si>
    <t>Winter</t>
  </si>
  <si>
    <t>Summer</t>
  </si>
  <si>
    <t>High Forecast</t>
  </si>
  <si>
    <t>Medium Forecast</t>
  </si>
  <si>
    <t>MWh/yr</t>
  </si>
  <si>
    <t>Industrial/Other</t>
  </si>
  <si>
    <t>Low Forecast</t>
  </si>
  <si>
    <t>Maximum Consumption (MWh/yr)</t>
  </si>
  <si>
    <t>Air Conditioning/Space Cooling - Residential</t>
  </si>
  <si>
    <t>Air Conditioning/Space Cooling - Commercial</t>
  </si>
  <si>
    <t>Air Conditioning/Space Cooling - Industrial</t>
  </si>
  <si>
    <t>Appliances &amp; Plug Loads - Residential</t>
  </si>
  <si>
    <t>Appliances &amp; Plug Loads - Commercial</t>
  </si>
  <si>
    <t>Appliances &amp; Plug Loads - Industrial</t>
  </si>
  <si>
    <t>Lighting - Residential</t>
  </si>
  <si>
    <t>Lighting - Commercial</t>
  </si>
  <si>
    <t>Lighting - Industrial</t>
  </si>
  <si>
    <t>Refrigeration, Motors &amp; Process Equipment - Residential</t>
  </si>
  <si>
    <t>Refrigeration, Motors &amp; Process Equipment - Commercial</t>
  </si>
  <si>
    <t>Refrigeration, Motors &amp; Process Equipment - Industrial</t>
  </si>
  <si>
    <t>Space Heating - Residential</t>
  </si>
  <si>
    <t>Space Heating - Commercial</t>
  </si>
  <si>
    <t>Space Heating - Industrial</t>
  </si>
  <si>
    <t>Water Heating - Residential</t>
  </si>
  <si>
    <t>Water Heating - Commercial</t>
  </si>
  <si>
    <t>Water Heating - Industrial</t>
  </si>
  <si>
    <t>Other - Residential</t>
  </si>
  <si>
    <t>Other - Commercial</t>
  </si>
  <si>
    <t>Refrigerated Warehouses</t>
  </si>
  <si>
    <t>Participation Rate</t>
  </si>
  <si>
    <t>Number of Res Customers</t>
  </si>
  <si>
    <t>Number of Comm Customers</t>
  </si>
  <si>
    <t>Number of Industrial Customers</t>
  </si>
  <si>
    <t>Portion of End Use from:</t>
  </si>
  <si>
    <t>NUMBER OF NEW PARTICIPANTS / INSTALLATIONS</t>
  </si>
  <si>
    <t>Number of New Participants / Installations</t>
  </si>
  <si>
    <t>Component</t>
  </si>
  <si>
    <t>d. Water Heating - Switch</t>
  </si>
  <si>
    <t>TOTAL -- NEW PART. /  INSTALL.</t>
  </si>
  <si>
    <t>NUMBER OF TOTAL PARTICIPANTS / INSTALLATIONS IN EACH YEAR</t>
  </si>
  <si>
    <t>Number of Total Participants / Installations</t>
  </si>
  <si>
    <t>TOTAL -- ANNUAL PART. / INSTALL.</t>
  </si>
  <si>
    <t>CUMULATIVE PEAK DEMAND SAVINGS (GROSS CUSTOMER LEVEL MW)</t>
  </si>
  <si>
    <t>Cumulative Peak Demand Reductions MW (Gross Customer Level)</t>
  </si>
  <si>
    <t xml:space="preserve">Total Equipment Budget </t>
  </si>
  <si>
    <t>Total Implementation Budget</t>
  </si>
  <si>
    <t>TOTAL IMPLEMENTATION COST</t>
  </si>
  <si>
    <t>TOTAL EQUIPMENT COST</t>
  </si>
  <si>
    <t>TOTAL PROGRAM COST</t>
  </si>
  <si>
    <t>DR Type</t>
  </si>
  <si>
    <t>Residential DR</t>
  </si>
  <si>
    <t>Commercial DR</t>
  </si>
  <si>
    <t>Customers</t>
  </si>
  <si>
    <t>Ramp Rate</t>
  </si>
  <si>
    <t>Turnover Rate</t>
  </si>
  <si>
    <t>Customer Information</t>
  </si>
  <si>
    <t>Eligible Residential Customers</t>
  </si>
  <si>
    <t>INPUTS</t>
  </si>
  <si>
    <t>% Residential w/ Switch</t>
  </si>
  <si>
    <t>Effective Participation</t>
  </si>
  <si>
    <t>% Residential w/ PCT</t>
  </si>
  <si>
    <t>c. Space Heating - Switch</t>
  </si>
  <si>
    <t>CALCULATIONS</t>
  </si>
  <si>
    <t>Saturation (availability)</t>
  </si>
  <si>
    <r>
      <t xml:space="preserve">Load Impact </t>
    </r>
    <r>
      <rPr>
        <sz val="10"/>
        <rFont val="Arial"/>
        <family val="2"/>
      </rPr>
      <t>(kW/customer)</t>
    </r>
  </si>
  <si>
    <t>% Commercial w/ Switch</t>
  </si>
  <si>
    <t>Eligible Commercial Customers</t>
  </si>
  <si>
    <t>Residential Space Heating - Direct Load Control</t>
  </si>
  <si>
    <t>Residential Water Heating - Direct Load Control</t>
  </si>
  <si>
    <t>% Industrial w/ Switch</t>
  </si>
  <si>
    <t>Curtailable/Interruptible Tariffs</t>
  </si>
  <si>
    <t>Load Aggregator</t>
  </si>
  <si>
    <t>Technology Cost</t>
  </si>
  <si>
    <t>Switch</t>
  </si>
  <si>
    <t>PCT</t>
  </si>
  <si>
    <t>DR Technology</t>
  </si>
  <si>
    <t>DR Component</t>
  </si>
  <si>
    <t>1A</t>
  </si>
  <si>
    <t>1B</t>
  </si>
  <si>
    <t>1C</t>
  </si>
  <si>
    <t>1D</t>
  </si>
  <si>
    <t>2A</t>
  </si>
  <si>
    <t>2B</t>
  </si>
  <si>
    <t>2C</t>
  </si>
  <si>
    <t>3A</t>
  </si>
  <si>
    <t>Water Heating - DLC</t>
  </si>
  <si>
    <t>Irrigation Pumping - DLC</t>
  </si>
  <si>
    <t>Installation Cost</t>
  </si>
  <si>
    <t>Capacity - Base</t>
  </si>
  <si>
    <t>Capacity - Smart</t>
  </si>
  <si>
    <t>Balancing</t>
  </si>
  <si>
    <t>TOTAL</t>
  </si>
  <si>
    <t>GRAND TOTAL</t>
  </si>
  <si>
    <t xml:space="preserve"> -</t>
  </si>
  <si>
    <t>Space Cooling - CAC DLC</t>
  </si>
  <si>
    <t>Space Heating - DLC</t>
  </si>
  <si>
    <t>Water Heater Controls</t>
  </si>
  <si>
    <t>Space Cooling, Small - CAC DLC</t>
  </si>
  <si>
    <t>Space Cooling, Medium - CAC DLC</t>
  </si>
  <si>
    <t>ENABLEMENT COSTS (applied to new participants)</t>
  </si>
  <si>
    <t>IMPLEMENTATION COSTS (applied to all participants)</t>
  </si>
  <si>
    <t>Load Impact (MW)</t>
  </si>
  <si>
    <t>TOTAL ENABLEMENT COST</t>
  </si>
  <si>
    <t>Residential Space Cooling - CAC Direct Load Control</t>
  </si>
  <si>
    <t>Residential Space Cooling - RAC Direct Load Control</t>
  </si>
  <si>
    <t>Space Cooling - RAC DLC</t>
  </si>
  <si>
    <t>a. Space Cooling - CAC PCT</t>
  </si>
  <si>
    <t>b. Space Cooling - RAC PCT</t>
  </si>
  <si>
    <t>c. Space Heating - PCT</t>
  </si>
  <si>
    <t>a. Space Cooling - CAC Switch</t>
  </si>
  <si>
    <t>b. Space Cooling - RAC Switch</t>
  </si>
  <si>
    <t xml:space="preserve">TOTAL ENABLEMENT COST </t>
  </si>
  <si>
    <t>Component A: Commercial Cooling, Small - Direct Load Control</t>
  </si>
  <si>
    <t>Component B: Commercial Space Cooling, Medium - Direct Load Control</t>
  </si>
  <si>
    <t>Component A: Residential Space Heating - Direct Load Control</t>
  </si>
  <si>
    <t>Component B: Residential Space Cooling - CAC Direct Load Control</t>
  </si>
  <si>
    <t>Component C: Residential Space Cooling - RAC Direct Load Control</t>
  </si>
  <si>
    <t>Component D: Residential Water Heating - Direct Load Control</t>
  </si>
  <si>
    <t>TOTAL ENABLEMENT COSTS</t>
  </si>
  <si>
    <t>AutoDR</t>
  </si>
  <si>
    <t>Lighting Controls</t>
  </si>
  <si>
    <t>Load Impact (% of Peak Load)</t>
  </si>
  <si>
    <t>% Industrial w/ AutoDR</t>
  </si>
  <si>
    <t>% Industrial w/ Curtailable/Interruptible Tariff Enablement</t>
  </si>
  <si>
    <t>Incentive</t>
  </si>
  <si>
    <t>Implementation Costs</t>
  </si>
  <si>
    <t>RESIDENTIAL - CAPACITY - BASE DR</t>
  </si>
  <si>
    <t>RESIDENTIAL - CAPACITY - SMART DR</t>
  </si>
  <si>
    <t>COMMERCIAL - CAPACITY - BASE DR</t>
  </si>
  <si>
    <t>COMMERCIAL - CAPACITY - SMART DR</t>
  </si>
  <si>
    <r>
      <t xml:space="preserve">Enablement Cost </t>
    </r>
    <r>
      <rPr>
        <sz val="10"/>
        <rFont val="Arial"/>
        <family val="2"/>
      </rPr>
      <t>($/customer)</t>
    </r>
  </si>
  <si>
    <t>a. Space Cooling, Small - Switch</t>
  </si>
  <si>
    <t>b. Space Cooling, Medium - Switch</t>
  </si>
  <si>
    <t>Component A: Commercial Space Cooling, Small - Direct Load Control</t>
  </si>
  <si>
    <t>SUMMARY OF PROGRAM COSTS</t>
  </si>
  <si>
    <t>Component A: Irrigation Pumping - Direct Load Control</t>
  </si>
  <si>
    <t>Irrigation - Industrial</t>
  </si>
  <si>
    <t>a. Space Cooling, Small - PCT</t>
  </si>
  <si>
    <t>b. Space Cooling, Medium - AutoDR</t>
  </si>
  <si>
    <t>Refrigerated Warehouse Controls</t>
  </si>
  <si>
    <t>Agricultural / Industrial DR</t>
  </si>
  <si>
    <t>Agricultural / Industrial</t>
  </si>
  <si>
    <t>AGRICULTURAL / INDUSTRIAL - CAPACITY - BASE DR</t>
  </si>
  <si>
    <t>b. Curtailable/Interruptible Tariff</t>
  </si>
  <si>
    <t>Component B: Curtailable / Interruptible Tariffs</t>
  </si>
  <si>
    <t>Total Eligible Industrial Customers</t>
  </si>
  <si>
    <t>Eligible Agricultural Customers</t>
  </si>
  <si>
    <t>Eligible Non-Agricultural Customers</t>
  </si>
  <si>
    <t>Component C: Load Aggregator</t>
  </si>
  <si>
    <t>Component D: Refrigerated Warehouses</t>
  </si>
  <si>
    <t>a. Irrigation Pumping - Switch</t>
  </si>
  <si>
    <t>b. Curtailable/Interruptible - AutoDR</t>
  </si>
  <si>
    <t>c. Load Aggregator - AutoDR</t>
  </si>
  <si>
    <t>a. Irrigation Pumping - AutoDR</t>
  </si>
  <si>
    <t>d. Refrigerated Warehouses - Controls</t>
  </si>
  <si>
    <t>Enablement Costs</t>
  </si>
  <si>
    <t>Total Program Cost</t>
  </si>
  <si>
    <t>d. Water Heating - WH Controls</t>
  </si>
  <si>
    <t>% Residential w/ WH Controls</t>
  </si>
  <si>
    <t>a. Water Heating - WH Controls</t>
  </si>
  <si>
    <t>% Commercial w/ AutoDR</t>
  </si>
  <si>
    <t>a. Space Cooling, Medium - AutoDR</t>
  </si>
  <si>
    <t>Total</t>
  </si>
  <si>
    <t>3B</t>
  </si>
  <si>
    <t>3C</t>
  </si>
  <si>
    <t>3D</t>
  </si>
  <si>
    <r>
      <t>Load Impact</t>
    </r>
    <r>
      <rPr>
        <sz val="11"/>
        <color theme="1"/>
        <rFont val="Calibri"/>
        <family val="2"/>
        <scheme val="minor"/>
      </rPr>
      <t xml:space="preserve"> (kW/customer)</t>
    </r>
  </si>
  <si>
    <r>
      <t>Enablement Costs</t>
    </r>
    <r>
      <rPr>
        <sz val="11"/>
        <color theme="1"/>
        <rFont val="Calibri"/>
        <family val="2"/>
        <scheme val="minor"/>
      </rPr>
      <t xml:space="preserve"> ($/customer)</t>
    </r>
  </si>
  <si>
    <r>
      <t xml:space="preserve">Saturation </t>
    </r>
    <r>
      <rPr>
        <sz val="11"/>
        <color theme="1"/>
        <rFont val="Calibri"/>
        <family val="2"/>
        <scheme val="minor"/>
      </rPr>
      <t>(%)</t>
    </r>
  </si>
  <si>
    <r>
      <t>Participation</t>
    </r>
    <r>
      <rPr>
        <sz val="11"/>
        <color theme="1"/>
        <rFont val="Calibri"/>
        <family val="2"/>
        <scheme val="minor"/>
      </rPr>
      <t xml:space="preserve"> (%)</t>
    </r>
  </si>
  <si>
    <r>
      <t>Saturation</t>
    </r>
    <r>
      <rPr>
        <sz val="11"/>
        <color theme="1"/>
        <rFont val="Calibri"/>
        <family val="2"/>
        <scheme val="minor"/>
      </rPr>
      <t xml:space="preserve"> (%)</t>
    </r>
  </si>
  <si>
    <r>
      <t xml:space="preserve">Load Impact </t>
    </r>
    <r>
      <rPr>
        <sz val="11"/>
        <color theme="1"/>
        <rFont val="Calibri"/>
        <family val="2"/>
        <scheme val="minor"/>
      </rPr>
      <t>(kW/customer)</t>
    </r>
  </si>
  <si>
    <r>
      <t xml:space="preserve">Participation </t>
    </r>
    <r>
      <rPr>
        <sz val="11"/>
        <color theme="1"/>
        <rFont val="Calibri"/>
        <family val="2"/>
        <scheme val="minor"/>
      </rPr>
      <t>(%)</t>
    </r>
  </si>
  <si>
    <t>% Industrial w/ Balancing Enabled</t>
  </si>
  <si>
    <t>% Commercial w/ Balancing Enabled</t>
  </si>
  <si>
    <t>% Residential w/ Balancing Enabled</t>
  </si>
  <si>
    <r>
      <t>Implementation Cost</t>
    </r>
    <r>
      <rPr>
        <sz val="11"/>
        <color theme="1"/>
        <rFont val="Calibri"/>
        <family val="2"/>
        <scheme val="minor"/>
      </rPr>
      <t xml:space="preserve"> ($/kW-yr)</t>
    </r>
  </si>
  <si>
    <t>Load Impact Realization Rate
(to recognize interactions between EE and DR cause a reduction in the baseline demand for DR participants. Assume 5% reduction in the impacts)</t>
  </si>
  <si>
    <r>
      <t xml:space="preserve">Implementation Cost </t>
    </r>
    <r>
      <rPr>
        <sz val="10"/>
        <rFont val="Arial"/>
        <family val="2"/>
      </rPr>
      <t>($/kW-yr)</t>
    </r>
  </si>
  <si>
    <t>% Commercial w/ PCT</t>
  </si>
  <si>
    <t>Component C: Lighting Controls</t>
  </si>
  <si>
    <t>c. Lighting Controls - AutoDR</t>
  </si>
  <si>
    <t>b. Lighting Controls - AutoDR</t>
  </si>
  <si>
    <t>Total Load Impact (MW)</t>
  </si>
  <si>
    <t>Total Program Cost ($)</t>
  </si>
  <si>
    <t>Total Load Impact (%)</t>
  </si>
  <si>
    <t>Implementation Cost ($/kW-yr)</t>
  </si>
  <si>
    <t>AGRICULTURAL / INDUSTRIAL - CAPACITY - SMART DR</t>
  </si>
  <si>
    <t>AGRICULTURAL / INDUSTRIAL - BALANCING</t>
  </si>
  <si>
    <t>COMMERCIAL - BALANCING</t>
  </si>
  <si>
    <t>RESIDENTIAL - BALANCING</t>
  </si>
  <si>
    <t>Navigant NW Baseline Grid Characteristics and Forecasts</t>
  </si>
  <si>
    <r>
      <t xml:space="preserve">Capacity (Base + </t>
    </r>
    <r>
      <rPr>
        <b/>
        <i/>
        <sz val="11"/>
        <color theme="1"/>
        <rFont val="Calibri"/>
        <family val="2"/>
        <scheme val="minor"/>
      </rPr>
      <t>Smart DR</t>
    </r>
    <r>
      <rPr>
        <b/>
        <sz val="11"/>
        <color theme="1"/>
        <rFont val="Calibri"/>
        <family val="2"/>
        <scheme val="minor"/>
      </rPr>
      <t>) Programs</t>
    </r>
  </si>
  <si>
    <t>Balancing Programs</t>
  </si>
  <si>
    <t>SUMMARY -- ALL PROGRAMS</t>
  </si>
  <si>
    <t>Summmer</t>
  </si>
  <si>
    <t>Residential DR Programs</t>
  </si>
  <si>
    <t>Commercial DR Programs</t>
  </si>
  <si>
    <t>Agricultural / Industrial DR Programs</t>
  </si>
  <si>
    <t>Estimated Program Cost ($)</t>
  </si>
  <si>
    <t>Load Impact Seasonality</t>
  </si>
  <si>
    <r>
      <t xml:space="preserve">Capacity - </t>
    </r>
    <r>
      <rPr>
        <b/>
        <i/>
        <sz val="11"/>
        <color theme="1"/>
        <rFont val="Calibri"/>
        <family val="2"/>
        <scheme val="minor"/>
      </rPr>
      <t>Smart</t>
    </r>
  </si>
  <si>
    <t>(% load impact)</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</si>
</sst>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_(* #,##0_);_(* \(#,##0\);_(* &quot;-&quot;??_);_(@_)"/>
    <numFmt numFmtId="165" formatCode="m/d/\ h:mm"/>
    <numFmt numFmtId="166" formatCode="0.000"/>
    <numFmt numFmtId="167" formatCode="&quot;$&quot;#,##0"/>
    <numFmt numFmtId="168" formatCode="&quot;$&quot;#,##0.00"/>
    <numFmt numFmtId="169" formatCode="0.0"/>
    <numFmt numFmtId="170" formatCode="_(&quot;$&quot;* #,##0_);_(&quot;$&quot;* \(#,##0\);_(&quot;$&quot;* &quot;-&quot;??_);_(@_)"/>
  </numFmts>
  <fonts count="49">
    <font>
      <sz val="11"/>
      <color theme="1"/>
      <name val="Calibri"/>
      <family val="2"/>
      <scheme val="minor"/>
    </font>
    <font>
      <b/>
      <sz val="11"/>
      <color theme="1"/>
      <name val="Calibri"/>
      <family val="2"/>
      <scheme val="minor"/>
    </font>
    <font>
      <i/>
      <sz val="11"/>
      <color theme="1"/>
      <name val="Calibri"/>
      <family val="2"/>
      <scheme val="minor"/>
    </font>
    <font>
      <sz val="10"/>
      <name val="Palatino Linotype"/>
      <family val="1"/>
    </font>
    <font>
      <sz val="11"/>
      <color theme="1"/>
      <name val="Calibri"/>
      <family val="2"/>
      <scheme val="minor"/>
    </font>
    <font>
      <sz val="11"/>
      <name val="Calibri"/>
      <family val="2"/>
      <scheme val="minor"/>
    </font>
    <font>
      <u/>
      <sz val="9.9"/>
      <color theme="10"/>
      <name val="Calibri"/>
      <family val="2"/>
    </font>
    <font>
      <sz val="10"/>
      <name val="Arial"/>
      <family val="2"/>
    </font>
    <font>
      <u/>
      <sz val="10"/>
      <color indexed="12"/>
      <name val="Arial"/>
      <family val="2"/>
    </font>
    <font>
      <sz val="10"/>
      <color theme="1"/>
      <name val="Arial"/>
      <family val="2"/>
    </font>
    <font>
      <sz val="10"/>
      <color rgb="FF006100"/>
      <name val="Arial"/>
      <family val="2"/>
    </font>
    <font>
      <u/>
      <sz val="7.7"/>
      <color theme="10"/>
      <name val="Calibri"/>
      <family val="2"/>
    </font>
    <font>
      <u/>
      <sz val="7"/>
      <color theme="10"/>
      <name val="Arial"/>
      <family val="2"/>
    </font>
    <font>
      <b/>
      <sz val="10"/>
      <color indexed="9"/>
      <name val="Arial"/>
      <family val="2"/>
    </font>
    <font>
      <sz val="12"/>
      <name val="Times New Roman"/>
      <family val="1"/>
    </font>
    <font>
      <b/>
      <sz val="12"/>
      <name val="Times New Roman"/>
      <family val="1"/>
    </font>
    <font>
      <sz val="10"/>
      <name val="Helv"/>
      <charset val="204"/>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MS Sans Serif"/>
      <family val="2"/>
    </font>
    <font>
      <b/>
      <sz val="13"/>
      <color indexed="56"/>
      <name val="Calibri"/>
      <family val="2"/>
    </font>
    <font>
      <b/>
      <sz val="11"/>
      <name val="Calibri"/>
      <family val="2"/>
      <scheme val="minor"/>
    </font>
    <font>
      <b/>
      <sz val="10"/>
      <name val="Arial"/>
      <family val="2"/>
    </font>
    <font>
      <sz val="10"/>
      <color indexed="12"/>
      <name val="Arial"/>
      <family val="2"/>
    </font>
    <font>
      <sz val="10"/>
      <name val="Arial"/>
    </font>
    <font>
      <b/>
      <sz val="12"/>
      <name val="Arial"/>
      <family val="2"/>
    </font>
    <font>
      <b/>
      <u/>
      <sz val="10"/>
      <name val="Arial"/>
      <family val="2"/>
    </font>
    <font>
      <sz val="10"/>
      <color indexed="10"/>
      <name val="Arial"/>
      <family val="2"/>
    </font>
    <font>
      <i/>
      <sz val="10"/>
      <color indexed="10"/>
      <name val="Arial"/>
      <family val="2"/>
    </font>
    <font>
      <b/>
      <sz val="11"/>
      <name val="Arial"/>
      <family val="2"/>
    </font>
    <font>
      <b/>
      <sz val="12"/>
      <color theme="0"/>
      <name val="Arial"/>
      <family val="2"/>
    </font>
    <font>
      <sz val="9"/>
      <color indexed="81"/>
      <name val="Tahoma"/>
      <family val="2"/>
    </font>
    <font>
      <b/>
      <i/>
      <sz val="11"/>
      <color theme="1"/>
      <name val="Calibri"/>
      <family val="2"/>
      <scheme val="minor"/>
    </font>
    <font>
      <sz val="11"/>
      <color rgb="FFFF0000"/>
      <name val="Calibri"/>
      <family val="2"/>
      <scheme val="minor"/>
    </font>
    <font>
      <b/>
      <sz val="9"/>
      <color indexed="81"/>
      <name val="Tahoma"/>
      <family val="2"/>
    </font>
  </fonts>
  <fills count="47">
    <fill>
      <patternFill patternType="none"/>
    </fill>
    <fill>
      <patternFill patternType="gray125"/>
    </fill>
    <fill>
      <patternFill patternType="solid">
        <fgColor rgb="FFFFFF0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rgb="FFC6EFCE"/>
      </patternFill>
    </fill>
    <fill>
      <patternFill patternType="solid">
        <fgColor rgb="FF92D05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47"/>
        <bgColor indexed="64"/>
      </patternFill>
    </fill>
    <fill>
      <patternFill patternType="solid">
        <fgColor indexed="8"/>
        <bgColor indexed="64"/>
      </patternFill>
    </fill>
    <fill>
      <patternFill patternType="solid">
        <fgColor indexed="43"/>
      </patternFill>
    </fill>
    <fill>
      <patternFill patternType="solid">
        <fgColor indexed="26"/>
      </patternFill>
    </fill>
    <fill>
      <patternFill patternType="solid">
        <fgColor rgb="FF00B0F0"/>
        <bgColor indexed="64"/>
      </patternFill>
    </fill>
    <fill>
      <patternFill patternType="solid">
        <fgColor indexed="41"/>
        <bgColor indexed="64"/>
      </patternFill>
    </fill>
    <fill>
      <patternFill patternType="solid">
        <fgColor theme="8" tint="0.79998168889431442"/>
        <bgColor indexed="64"/>
      </patternFill>
    </fill>
    <fill>
      <patternFill patternType="solid">
        <fgColor theme="6"/>
        <bgColor indexed="64"/>
      </patternFill>
    </fill>
    <fill>
      <patternFill patternType="solid">
        <fgColor theme="5" tint="0.59999389629810485"/>
        <bgColor indexed="64"/>
      </patternFill>
    </fill>
    <fill>
      <patternFill patternType="solid">
        <fgColor theme="1"/>
        <bgColor indexed="64"/>
      </patternFill>
    </fill>
    <fill>
      <patternFill patternType="solid">
        <fgColor theme="4" tint="0.59999389629810485"/>
        <bgColor indexed="64"/>
      </patternFill>
    </fill>
    <fill>
      <patternFill patternType="solid">
        <fgColor rgb="FFFFC000"/>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0"/>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2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s>
  <cellStyleXfs count="104">
    <xf numFmtId="0" fontId="0" fillId="0" borderId="0"/>
    <xf numFmtId="44"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6"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applyNumberFormat="0" applyFill="0" applyBorder="0" applyAlignment="0" applyProtection="0">
      <alignment vertical="top"/>
      <protection locked="0"/>
    </xf>
    <xf numFmtId="0" fontId="3" fillId="0" borderId="0"/>
    <xf numFmtId="0" fontId="9" fillId="0" borderId="0"/>
    <xf numFmtId="0" fontId="7" fillId="0" borderId="0"/>
    <xf numFmtId="0" fontId="10" fillId="7" borderId="0" applyNumberFormat="0" applyBorder="0" applyAlignment="0" applyProtection="0"/>
    <xf numFmtId="43" fontId="9" fillId="0" borderId="0" applyFont="0" applyFill="0" applyBorder="0" applyAlignment="0" applyProtection="0"/>
    <xf numFmtId="9" fontId="4" fillId="0" borderId="0" applyFont="0" applyFill="0" applyBorder="0" applyAlignment="0" applyProtection="0"/>
    <xf numFmtId="0" fontId="11" fillId="0" borderId="0" applyNumberFormat="0" applyFill="0" applyBorder="0" applyAlignment="0" applyProtection="0">
      <alignment vertical="top"/>
      <protection locked="0"/>
    </xf>
    <xf numFmtId="0" fontId="9" fillId="0" borderId="0"/>
    <xf numFmtId="0" fontId="9" fillId="0" borderId="0"/>
    <xf numFmtId="43" fontId="9" fillId="0" borderId="0" applyFont="0" applyFill="0" applyBorder="0" applyAlignment="0" applyProtection="0"/>
    <xf numFmtId="44" fontId="4" fillId="0" borderId="0" applyFont="0" applyFill="0" applyBorder="0" applyAlignment="0" applyProtection="0"/>
    <xf numFmtId="9" fontId="9" fillId="0" borderId="0" applyFont="0" applyFill="0" applyBorder="0" applyAlignment="0" applyProtection="0"/>
    <xf numFmtId="0" fontId="12" fillId="0" borderId="0" applyNumberFormat="0" applyFill="0" applyBorder="0" applyAlignment="0" applyProtection="0">
      <alignment vertical="top"/>
      <protection locked="0"/>
    </xf>
    <xf numFmtId="0" fontId="9" fillId="0" borderId="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0" fontId="7" fillId="0" borderId="0"/>
    <xf numFmtId="0" fontId="7" fillId="0" borderId="0"/>
    <xf numFmtId="0" fontId="7" fillId="0" borderId="0">
      <alignment readingOrder="1"/>
    </xf>
    <xf numFmtId="0" fontId="16" fillId="0" borderId="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2" borderId="0" applyNumberFormat="0" applyBorder="0" applyAlignment="0" applyProtection="0"/>
    <xf numFmtId="0" fontId="17" fillId="15" borderId="0" applyNumberFormat="0" applyBorder="0" applyAlignment="0" applyProtection="0"/>
    <xf numFmtId="0" fontId="17" fillId="18" borderId="0" applyNumberFormat="0" applyBorder="0" applyAlignment="0" applyProtection="0"/>
    <xf numFmtId="0" fontId="18" fillId="19"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6" borderId="0" applyNumberFormat="0" applyBorder="0" applyAlignment="0" applyProtection="0"/>
    <xf numFmtId="0" fontId="19" fillId="10" borderId="0" applyNumberFormat="0" applyBorder="0" applyAlignment="0" applyProtection="0"/>
    <xf numFmtId="0" fontId="20" fillId="27" borderId="23" applyNumberFormat="0" applyAlignment="0" applyProtection="0"/>
    <xf numFmtId="0" fontId="21" fillId="28" borderId="24" applyNumberFormat="0" applyAlignment="0" applyProtection="0"/>
    <xf numFmtId="44" fontId="7" fillId="0" borderId="0" applyFont="0" applyFill="0" applyBorder="0" applyAlignment="0" applyProtection="0"/>
    <xf numFmtId="0" fontId="7" fillId="29" borderId="0" applyNumberFormat="0" applyAlignment="0">
      <alignment horizontal="right"/>
    </xf>
    <xf numFmtId="0" fontId="7" fillId="30" borderId="0" applyNumberFormat="0" applyAlignment="0"/>
    <xf numFmtId="165" fontId="14" fillId="0" borderId="0"/>
    <xf numFmtId="0" fontId="22" fillId="0" borderId="0" applyNumberFormat="0" applyFill="0" applyBorder="0" applyAlignment="0" applyProtection="0"/>
    <xf numFmtId="0" fontId="23" fillId="11" borderId="0" applyNumberFormat="0" applyBorder="0" applyAlignment="0" applyProtection="0"/>
    <xf numFmtId="0" fontId="15" fillId="0" borderId="0">
      <alignment horizontal="center" wrapText="1"/>
    </xf>
    <xf numFmtId="0" fontId="24" fillId="0" borderId="25" applyNumberFormat="0" applyFill="0" applyAlignment="0" applyProtection="0"/>
    <xf numFmtId="0" fontId="13" fillId="31" borderId="6">
      <alignment horizontal="left"/>
    </xf>
    <xf numFmtId="0" fontId="25" fillId="0" borderId="26" applyNumberFormat="0" applyFill="0" applyAlignment="0" applyProtection="0"/>
    <xf numFmtId="0" fontId="25" fillId="0" borderId="0" applyNumberFormat="0" applyFill="0" applyBorder="0" applyAlignment="0" applyProtection="0"/>
    <xf numFmtId="0" fontId="26" fillId="14" borderId="23" applyNumberFormat="0" applyAlignment="0" applyProtection="0"/>
    <xf numFmtId="0" fontId="27" fillId="0" borderId="27" applyNumberFormat="0" applyFill="0" applyAlignment="0" applyProtection="0"/>
    <xf numFmtId="0" fontId="28" fillId="32" borderId="0" applyNumberFormat="0" applyBorder="0" applyAlignment="0" applyProtection="0"/>
    <xf numFmtId="0" fontId="7" fillId="33" borderId="28" applyNumberFormat="0" applyFont="0" applyAlignment="0" applyProtection="0"/>
    <xf numFmtId="0" fontId="29" fillId="27" borderId="29" applyNumberFormat="0" applyAlignment="0" applyProtection="0"/>
    <xf numFmtId="0" fontId="30" fillId="0" borderId="0" applyNumberFormat="0" applyFill="0" applyBorder="0" applyAlignment="0" applyProtection="0"/>
    <xf numFmtId="0" fontId="31" fillId="0" borderId="30" applyNumberFormat="0" applyFill="0" applyAlignment="0" applyProtection="0"/>
    <xf numFmtId="0" fontId="32" fillId="0" borderId="0" applyNumberFormat="0" applyFill="0" applyBorder="0" applyAlignment="0" applyProtection="0"/>
    <xf numFmtId="0" fontId="7" fillId="0" borderId="0"/>
    <xf numFmtId="0" fontId="7" fillId="0" borderId="0"/>
    <xf numFmtId="9" fontId="7" fillId="0" borderId="0" applyFont="0" applyFill="0" applyBorder="0" applyAlignment="0" applyProtection="0"/>
    <xf numFmtId="0" fontId="33" fillId="33" borderId="28" applyNumberFormat="0" applyFont="0" applyAlignment="0" applyProtection="0"/>
    <xf numFmtId="0" fontId="34" fillId="0" borderId="31" applyNumberFormat="0" applyFill="0" applyAlignment="0" applyProtection="0"/>
    <xf numFmtId="43"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43"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38" fillId="0" borderId="0"/>
    <xf numFmtId="43" fontId="38" fillId="0" borderId="0" applyFont="0" applyFill="0" applyBorder="0" applyAlignment="0" applyProtection="0"/>
    <xf numFmtId="9" fontId="38" fillId="0" borderId="0" applyFont="0" applyFill="0" applyBorder="0" applyAlignment="0" applyProtection="0"/>
    <xf numFmtId="44" fontId="38" fillId="0" borderId="0" applyFont="0" applyFill="0" applyBorder="0" applyAlignment="0" applyProtection="0"/>
  </cellStyleXfs>
  <cellXfs count="523">
    <xf numFmtId="0" fontId="0" fillId="0" borderId="0" xfId="0"/>
    <xf numFmtId="0" fontId="0" fillId="0" borderId="1" xfId="0" applyFont="1" applyBorder="1" applyAlignment="1">
      <alignment horizontal="center" vertical="center" wrapText="1"/>
    </xf>
    <xf numFmtId="0" fontId="0" fillId="0" borderId="1" xfId="0" applyBorder="1"/>
    <xf numFmtId="0" fontId="0" fillId="0" borderId="1" xfId="0" applyBorder="1" applyAlignment="1">
      <alignment wrapText="1"/>
    </xf>
    <xf numFmtId="0" fontId="0" fillId="0" borderId="1" xfId="0" applyBorder="1" applyAlignment="1">
      <alignment horizontal="left" vertical="center" wrapText="1"/>
    </xf>
    <xf numFmtId="0" fontId="1" fillId="0" borderId="0" xfId="0" applyFont="1" applyAlignment="1">
      <alignment horizontal="left" vertical="center" wrapText="1"/>
    </xf>
    <xf numFmtId="9" fontId="0" fillId="0" borderId="0" xfId="2" applyFont="1"/>
    <xf numFmtId="44" fontId="0" fillId="0" borderId="0" xfId="1" applyFont="1"/>
    <xf numFmtId="9" fontId="0" fillId="0" borderId="1" xfId="2" applyFont="1" applyBorder="1" applyAlignment="1">
      <alignment horizontal="left" vertical="center" wrapText="1"/>
    </xf>
    <xf numFmtId="9" fontId="0" fillId="0" borderId="1" xfId="2" applyFont="1" applyBorder="1" applyAlignment="1">
      <alignment vertical="center" wrapText="1"/>
    </xf>
    <xf numFmtId="0" fontId="0" fillId="0" borderId="1" xfId="0" applyBorder="1" applyAlignment="1">
      <alignment vertical="center" wrapText="1"/>
    </xf>
    <xf numFmtId="44" fontId="0" fillId="0" borderId="1" xfId="1" applyFont="1" applyBorder="1" applyAlignment="1">
      <alignment vertical="center" wrapText="1"/>
    </xf>
    <xf numFmtId="6" fontId="0" fillId="0" borderId="1" xfId="0" applyNumberFormat="1" applyBorder="1" applyAlignment="1">
      <alignment vertical="center" wrapText="1"/>
    </xf>
    <xf numFmtId="9" fontId="0" fillId="0" borderId="1" xfId="2" applyFont="1" applyBorder="1" applyAlignment="1">
      <alignment vertical="center"/>
    </xf>
    <xf numFmtId="0" fontId="0" fillId="0" borderId="1" xfId="0" applyBorder="1" applyAlignment="1">
      <alignment horizontal="left" vertical="top" wrapText="1"/>
    </xf>
    <xf numFmtId="9" fontId="0" fillId="0" borderId="1" xfId="2" applyFont="1" applyBorder="1" applyAlignment="1">
      <alignment horizontal="left" vertical="top" wrapText="1"/>
    </xf>
    <xf numFmtId="9" fontId="0" fillId="0" borderId="1" xfId="2" applyFont="1" applyBorder="1" applyAlignment="1">
      <alignment wrapText="1"/>
    </xf>
    <xf numFmtId="44" fontId="0" fillId="0" borderId="1" xfId="1" applyFont="1" applyBorder="1" applyAlignment="1">
      <alignment wrapText="1"/>
    </xf>
    <xf numFmtId="9" fontId="0" fillId="0" borderId="1" xfId="2" applyFont="1" applyBorder="1"/>
    <xf numFmtId="0" fontId="0" fillId="0" borderId="1" xfId="0" applyFill="1" applyBorder="1" applyAlignment="1">
      <alignment vertical="center" wrapText="1"/>
    </xf>
    <xf numFmtId="44" fontId="0" fillId="0" borderId="1" xfId="1" applyFont="1" applyFill="1" applyBorder="1" applyAlignment="1">
      <alignment vertical="center" wrapText="1"/>
    </xf>
    <xf numFmtId="6" fontId="0" fillId="0" borderId="1" xfId="0" applyNumberFormat="1" applyBorder="1" applyAlignment="1">
      <alignment wrapText="1"/>
    </xf>
    <xf numFmtId="6" fontId="0" fillId="0" borderId="1" xfId="1" applyNumberFormat="1" applyFont="1" applyBorder="1" applyAlignment="1">
      <alignment wrapText="1"/>
    </xf>
    <xf numFmtId="0" fontId="0" fillId="0" borderId="1" xfId="0" applyFont="1" applyBorder="1" applyAlignment="1">
      <alignment horizontal="left" vertical="top" wrapText="1"/>
    </xf>
    <xf numFmtId="9" fontId="4" fillId="0" borderId="1" xfId="2" applyFont="1" applyBorder="1" applyAlignment="1">
      <alignment horizontal="center" vertical="top" wrapText="1"/>
    </xf>
    <xf numFmtId="0" fontId="0" fillId="0" borderId="1" xfId="0" applyFont="1" applyBorder="1" applyAlignment="1">
      <alignment horizontal="center" vertical="top" wrapText="1"/>
    </xf>
    <xf numFmtId="9" fontId="4" fillId="0" borderId="1" xfId="2" applyFont="1" applyBorder="1" applyAlignment="1">
      <alignment horizontal="center" vertical="center" wrapText="1"/>
    </xf>
    <xf numFmtId="44" fontId="4" fillId="0" borderId="1" xfId="1" applyFont="1" applyBorder="1" applyAlignment="1">
      <alignment horizontal="center" vertical="center" wrapText="1"/>
    </xf>
    <xf numFmtId="0" fontId="0" fillId="0" borderId="0" xfId="0" applyFont="1" applyAlignment="1">
      <alignment horizontal="left" vertical="center" wrapText="1"/>
    </xf>
    <xf numFmtId="9" fontId="0" fillId="0" borderId="1" xfId="2" applyFont="1" applyBorder="1" applyAlignment="1">
      <alignment horizontal="center" vertical="top" wrapText="1"/>
    </xf>
    <xf numFmtId="9" fontId="0" fillId="0" borderId="1" xfId="2" applyFont="1" applyBorder="1" applyAlignment="1">
      <alignment horizontal="center" vertical="center" wrapText="1"/>
    </xf>
    <xf numFmtId="9" fontId="4" fillId="0" borderId="6" xfId="2" applyFont="1" applyBorder="1" applyAlignment="1">
      <alignment horizontal="center" vertical="center" wrapText="1"/>
    </xf>
    <xf numFmtId="9" fontId="4" fillId="0" borderId="21" xfId="2" applyFont="1" applyBorder="1" applyAlignment="1">
      <alignment horizontal="center" vertical="center" wrapText="1"/>
    </xf>
    <xf numFmtId="9" fontId="0" fillId="0" borderId="6" xfId="2" applyFont="1" applyBorder="1" applyAlignment="1">
      <alignment horizontal="center" vertical="center" wrapText="1"/>
    </xf>
    <xf numFmtId="0" fontId="0" fillId="0" borderId="21" xfId="0" applyFont="1" applyBorder="1" applyAlignment="1">
      <alignment horizontal="center" vertical="center" wrapText="1"/>
    </xf>
    <xf numFmtId="0" fontId="0" fillId="0" borderId="0" xfId="0"/>
    <xf numFmtId="0" fontId="0" fillId="0" borderId="6" xfId="0" applyFont="1" applyBorder="1" applyAlignment="1">
      <alignment horizontal="center" vertical="center" wrapText="1"/>
    </xf>
    <xf numFmtId="9" fontId="0" fillId="0" borderId="22" xfId="2" applyFont="1" applyBorder="1" applyAlignment="1">
      <alignment horizontal="center" vertical="center" wrapText="1"/>
    </xf>
    <xf numFmtId="44" fontId="0" fillId="0" borderId="1" xfId="1" applyFont="1" applyBorder="1" applyAlignment="1">
      <alignment horizontal="center" vertical="center" wrapText="1"/>
    </xf>
    <xf numFmtId="0" fontId="0" fillId="0" borderId="21" xfId="0" applyBorder="1" applyAlignment="1">
      <alignment wrapText="1"/>
    </xf>
    <xf numFmtId="0" fontId="0" fillId="0" borderId="0" xfId="0"/>
    <xf numFmtId="0" fontId="1" fillId="0" borderId="1" xfId="0" applyFont="1" applyBorder="1" applyAlignment="1">
      <alignment horizontal="left" vertical="center" wrapText="1"/>
    </xf>
    <xf numFmtId="0" fontId="0" fillId="0" borderId="1" xfId="0" applyFont="1" applyBorder="1" applyAlignment="1">
      <alignment horizontal="left" vertical="center" wrapText="1"/>
    </xf>
    <xf numFmtId="0" fontId="0" fillId="0" borderId="1" xfId="0" applyBorder="1" applyAlignment="1">
      <alignment horizontal="left" vertical="top"/>
    </xf>
    <xf numFmtId="9" fontId="0" fillId="0" borderId="1" xfId="2" applyFont="1" applyBorder="1" applyAlignment="1">
      <alignment horizontal="left" vertical="top"/>
    </xf>
    <xf numFmtId="44" fontId="0" fillId="0" borderId="1" xfId="1" applyFont="1" applyBorder="1"/>
    <xf numFmtId="0" fontId="0" fillId="0" borderId="1" xfId="0" applyFill="1" applyBorder="1"/>
    <xf numFmtId="9" fontId="0" fillId="0" borderId="1" xfId="2" applyFont="1" applyBorder="1" applyAlignment="1">
      <alignment horizontal="center" vertical="center"/>
    </xf>
    <xf numFmtId="0" fontId="0" fillId="0" borderId="1" xfId="0" applyBorder="1" applyAlignment="1">
      <alignment horizontal="center" vertical="center"/>
    </xf>
    <xf numFmtId="44" fontId="0" fillId="0" borderId="1" xfId="1" applyFont="1" applyBorder="1" applyAlignment="1">
      <alignment horizontal="center" vertical="center"/>
    </xf>
    <xf numFmtId="0" fontId="0" fillId="0" borderId="1" xfId="0" applyFill="1" applyBorder="1" applyAlignment="1">
      <alignment wrapText="1"/>
    </xf>
    <xf numFmtId="0" fontId="2" fillId="0" borderId="1" xfId="0" applyFont="1" applyFill="1" applyBorder="1"/>
    <xf numFmtId="49" fontId="0" fillId="0" borderId="1" xfId="0" applyNumberFormat="1" applyBorder="1"/>
    <xf numFmtId="0" fontId="0" fillId="0" borderId="1" xfId="0" applyBorder="1" applyAlignment="1">
      <alignment horizontal="left" vertical="center"/>
    </xf>
    <xf numFmtId="0" fontId="1" fillId="0" borderId="0" xfId="0" applyFont="1"/>
    <xf numFmtId="0" fontId="0" fillId="0" borderId="0" xfId="0"/>
    <xf numFmtId="0" fontId="0" fillId="0" borderId="0" xfId="0"/>
    <xf numFmtId="0" fontId="1" fillId="0" borderId="0" xfId="0" applyFont="1"/>
    <xf numFmtId="0" fontId="0" fillId="4" borderId="1" xfId="0" applyFill="1" applyBorder="1"/>
    <xf numFmtId="0" fontId="0" fillId="4" borderId="20" xfId="0" applyFill="1" applyBorder="1" applyAlignment="1">
      <alignment horizontal="center"/>
    </xf>
    <xf numFmtId="164" fontId="0" fillId="8" borderId="1" xfId="3" applyNumberFormat="1" applyFont="1" applyFill="1" applyBorder="1" applyAlignment="1"/>
    <xf numFmtId="0" fontId="5" fillId="0" borderId="0" xfId="0" applyFont="1"/>
    <xf numFmtId="164" fontId="5" fillId="8" borderId="1" xfId="3" applyNumberFormat="1" applyFont="1" applyFill="1" applyBorder="1" applyAlignment="1"/>
    <xf numFmtId="0" fontId="0" fillId="0" borderId="0" xfId="0"/>
    <xf numFmtId="0" fontId="0" fillId="4" borderId="20" xfId="0" applyFill="1" applyBorder="1" applyAlignment="1">
      <alignment horizontal="center"/>
    </xf>
    <xf numFmtId="164" fontId="0" fillId="8" borderId="1" xfId="3" applyNumberFormat="1" applyFont="1" applyFill="1" applyBorder="1" applyAlignment="1"/>
    <xf numFmtId="164" fontId="5" fillId="8" borderId="1" xfId="3" applyNumberFormat="1" applyFont="1" applyFill="1" applyBorder="1" applyAlignment="1"/>
    <xf numFmtId="0" fontId="0" fillId="4" borderId="1" xfId="0" applyFill="1" applyBorder="1"/>
    <xf numFmtId="0" fontId="5" fillId="4" borderId="1" xfId="0" applyFont="1" applyFill="1" applyBorder="1"/>
    <xf numFmtId="3" fontId="0" fillId="0" borderId="1" xfId="0" applyNumberFormat="1" applyBorder="1" applyAlignment="1">
      <alignment horizontal="right"/>
    </xf>
    <xf numFmtId="0" fontId="0" fillId="0" borderId="0" xfId="0"/>
    <xf numFmtId="0" fontId="1" fillId="0" borderId="0" xfId="0" applyFont="1"/>
    <xf numFmtId="0" fontId="0" fillId="4" borderId="1" xfId="0" applyFill="1" applyBorder="1"/>
    <xf numFmtId="164" fontId="0" fillId="8" borderId="1" xfId="3" applyNumberFormat="1" applyFont="1" applyFill="1" applyBorder="1" applyAlignment="1"/>
    <xf numFmtId="0" fontId="5" fillId="0" borderId="0" xfId="0" applyFont="1"/>
    <xf numFmtId="0" fontId="1" fillId="4" borderId="20" xfId="0" applyFont="1" applyFill="1" applyBorder="1" applyAlignment="1">
      <alignment horizontal="center"/>
    </xf>
    <xf numFmtId="0" fontId="38" fillId="0" borderId="0" xfId="100"/>
    <xf numFmtId="0" fontId="40" fillId="0" borderId="0" xfId="100" applyFont="1"/>
    <xf numFmtId="0" fontId="38" fillId="0" borderId="0" xfId="100" applyFill="1" applyBorder="1"/>
    <xf numFmtId="0" fontId="38" fillId="35" borderId="7" xfId="100" applyFill="1" applyBorder="1"/>
    <xf numFmtId="0" fontId="36" fillId="35" borderId="2" xfId="100" applyFont="1" applyFill="1" applyBorder="1" applyAlignment="1">
      <alignment horizontal="center"/>
    </xf>
    <xf numFmtId="0" fontId="36" fillId="35" borderId="8" xfId="100" applyFont="1" applyFill="1" applyBorder="1" applyAlignment="1">
      <alignment horizontal="center"/>
    </xf>
    <xf numFmtId="3" fontId="36" fillId="35" borderId="20" xfId="100" applyNumberFormat="1" applyFont="1" applyFill="1" applyBorder="1" applyAlignment="1">
      <alignment horizontal="center" wrapText="1"/>
    </xf>
    <xf numFmtId="0" fontId="36" fillId="35" borderId="20" xfId="100" applyFont="1" applyFill="1" applyBorder="1" applyAlignment="1">
      <alignment horizontal="center"/>
    </xf>
    <xf numFmtId="0" fontId="38" fillId="0" borderId="2" xfId="100" applyBorder="1"/>
    <xf numFmtId="3" fontId="38" fillId="0" borderId="11" xfId="100" applyNumberFormat="1" applyBorder="1" applyAlignment="1">
      <alignment horizontal="center"/>
    </xf>
    <xf numFmtId="37" fontId="38" fillId="0" borderId="2" xfId="101" applyNumberFormat="1" applyBorder="1"/>
    <xf numFmtId="0" fontId="38" fillId="0" borderId="19" xfId="100" applyBorder="1"/>
    <xf numFmtId="3" fontId="7" fillId="0" borderId="10" xfId="102" applyNumberFormat="1" applyFont="1" applyBorder="1" applyAlignment="1">
      <alignment horizontal="center"/>
    </xf>
    <xf numFmtId="0" fontId="38" fillId="0" borderId="20" xfId="100" applyBorder="1"/>
    <xf numFmtId="3" fontId="38" fillId="0" borderId="12" xfId="100" applyNumberFormat="1" applyBorder="1" applyAlignment="1">
      <alignment horizontal="center"/>
    </xf>
    <xf numFmtId="37" fontId="7" fillId="0" borderId="19" xfId="100" applyNumberFormat="1" applyFont="1" applyBorder="1" applyAlignment="1">
      <alignment horizontal="center"/>
    </xf>
    <xf numFmtId="37" fontId="38" fillId="0" borderId="19" xfId="100" applyNumberFormat="1" applyBorder="1" applyAlignment="1">
      <alignment horizontal="center"/>
    </xf>
    <xf numFmtId="0" fontId="38" fillId="0" borderId="1" xfId="100" applyBorder="1"/>
    <xf numFmtId="3" fontId="38" fillId="0" borderId="22" xfId="100" applyNumberFormat="1" applyBorder="1" applyAlignment="1">
      <alignment horizontal="center"/>
    </xf>
    <xf numFmtId="37" fontId="38" fillId="0" borderId="1" xfId="100" applyNumberFormat="1" applyBorder="1" applyAlignment="1">
      <alignment horizontal="center"/>
    </xf>
    <xf numFmtId="0" fontId="38" fillId="0" borderId="13" xfId="100" applyBorder="1"/>
    <xf numFmtId="37" fontId="38" fillId="0" borderId="13" xfId="100" applyNumberFormat="1" applyBorder="1" applyAlignment="1">
      <alignment horizontal="center"/>
    </xf>
    <xf numFmtId="0" fontId="40" fillId="0" borderId="0" xfId="100" applyFont="1" applyBorder="1"/>
    <xf numFmtId="37" fontId="38" fillId="0" borderId="0" xfId="100" applyNumberFormat="1" applyBorder="1" applyAlignment="1">
      <alignment horizontal="center"/>
    </xf>
    <xf numFmtId="0" fontId="38" fillId="0" borderId="0" xfId="100" applyBorder="1"/>
    <xf numFmtId="0" fontId="36" fillId="35" borderId="2" xfId="100" applyFont="1" applyFill="1" applyBorder="1" applyAlignment="1">
      <alignment horizontal="center"/>
    </xf>
    <xf numFmtId="0" fontId="36" fillId="35" borderId="20" xfId="100" applyFont="1" applyFill="1" applyBorder="1" applyAlignment="1">
      <alignment horizontal="center"/>
    </xf>
    <xf numFmtId="0" fontId="38" fillId="0" borderId="10" xfId="100" applyBorder="1"/>
    <xf numFmtId="9" fontId="37" fillId="0" borderId="19" xfId="100" applyNumberFormat="1" applyFont="1" applyBorder="1" applyAlignment="1">
      <alignment horizontal="center"/>
    </xf>
    <xf numFmtId="37" fontId="38" fillId="0" borderId="20" xfId="100" applyNumberFormat="1" applyBorder="1" applyAlignment="1">
      <alignment horizontal="center"/>
    </xf>
    <xf numFmtId="0" fontId="38" fillId="35" borderId="2" xfId="100" applyFill="1" applyBorder="1" applyAlignment="1">
      <alignment vertical="center"/>
    </xf>
    <xf numFmtId="0" fontId="36" fillId="35" borderId="20" xfId="100" applyFont="1" applyFill="1" applyBorder="1" applyAlignment="1">
      <alignment horizontal="center" vertical="center"/>
    </xf>
    <xf numFmtId="0" fontId="38" fillId="0" borderId="9" xfId="100" applyBorder="1"/>
    <xf numFmtId="37" fontId="42" fillId="0" borderId="19" xfId="100" quotePrefix="1" applyNumberFormat="1" applyFont="1" applyBorder="1" applyAlignment="1">
      <alignment horizontal="right"/>
    </xf>
    <xf numFmtId="0" fontId="7" fillId="0" borderId="1" xfId="100" applyFont="1" applyBorder="1"/>
    <xf numFmtId="0" fontId="7" fillId="0" borderId="22" xfId="100" applyFont="1" applyBorder="1"/>
    <xf numFmtId="37" fontId="7" fillId="0" borderId="1" xfId="100" applyNumberFormat="1" applyFont="1" applyBorder="1" applyAlignment="1">
      <alignment horizontal="center"/>
    </xf>
    <xf numFmtId="0" fontId="7" fillId="0" borderId="0" xfId="100" applyFont="1" applyBorder="1"/>
    <xf numFmtId="37" fontId="38" fillId="0" borderId="0" xfId="100" applyNumberFormat="1" applyBorder="1"/>
    <xf numFmtId="37" fontId="7" fillId="0" borderId="0" xfId="100" applyNumberFormat="1" applyFont="1" applyBorder="1" applyAlignment="1">
      <alignment horizontal="center"/>
    </xf>
    <xf numFmtId="0" fontId="38" fillId="0" borderId="0" xfId="100" quotePrefix="1"/>
    <xf numFmtId="0" fontId="36" fillId="35" borderId="20" xfId="100" applyFont="1" applyFill="1" applyBorder="1" applyAlignment="1">
      <alignment horizontal="center" vertical="center"/>
    </xf>
    <xf numFmtId="0" fontId="38" fillId="0" borderId="7" xfId="100" applyBorder="1"/>
    <xf numFmtId="5" fontId="7" fillId="0" borderId="19" xfId="103" applyNumberFormat="1" applyFont="1" applyFill="1" applyBorder="1" applyAlignment="1">
      <alignment horizontal="center"/>
    </xf>
    <xf numFmtId="5" fontId="7" fillId="0" borderId="19" xfId="103" applyNumberFormat="1" applyFont="1" applyBorder="1"/>
    <xf numFmtId="0" fontId="7" fillId="0" borderId="1" xfId="100" applyFont="1" applyFill="1" applyBorder="1"/>
    <xf numFmtId="5" fontId="38" fillId="0" borderId="1" xfId="100" applyNumberFormat="1" applyBorder="1" applyAlignment="1">
      <alignment horizontal="center"/>
    </xf>
    <xf numFmtId="0" fontId="7" fillId="0" borderId="0" xfId="100" applyFont="1" applyFill="1" applyBorder="1"/>
    <xf numFmtId="5" fontId="38" fillId="0" borderId="0" xfId="100" applyNumberFormat="1" applyBorder="1" applyAlignment="1">
      <alignment horizontal="center"/>
    </xf>
    <xf numFmtId="5" fontId="41" fillId="0" borderId="0" xfId="100" applyNumberFormat="1" applyFont="1" applyBorder="1" applyAlignment="1">
      <alignment horizontal="left"/>
    </xf>
    <xf numFmtId="0" fontId="36" fillId="0" borderId="2" xfId="100" applyFont="1" applyBorder="1"/>
    <xf numFmtId="0" fontId="7" fillId="0" borderId="2" xfId="100" applyFont="1" applyBorder="1"/>
    <xf numFmtId="7" fontId="37" fillId="0" borderId="0" xfId="103" applyNumberFormat="1" applyFont="1" applyBorder="1" applyAlignment="1">
      <alignment horizontal="center"/>
    </xf>
    <xf numFmtId="0" fontId="7" fillId="0" borderId="21" xfId="100" applyFont="1" applyBorder="1"/>
    <xf numFmtId="5" fontId="38" fillId="0" borderId="0" xfId="100" applyNumberFormat="1" applyBorder="1"/>
    <xf numFmtId="9" fontId="38" fillId="0" borderId="0" xfId="102" applyBorder="1"/>
    <xf numFmtId="5" fontId="38" fillId="0" borderId="0" xfId="100" applyNumberFormat="1" applyFill="1" applyBorder="1"/>
    <xf numFmtId="0" fontId="36" fillId="0" borderId="0" xfId="100" applyFont="1" applyFill="1" applyBorder="1"/>
    <xf numFmtId="0" fontId="36" fillId="0" borderId="7" xfId="100" applyFont="1" applyFill="1" applyBorder="1" applyAlignment="1">
      <alignment horizontal="center" vertical="center"/>
    </xf>
    <xf numFmtId="0" fontId="36" fillId="0" borderId="9" xfId="100" applyFont="1" applyFill="1" applyBorder="1" applyAlignment="1">
      <alignment horizontal="center" vertical="center"/>
    </xf>
    <xf numFmtId="0" fontId="36" fillId="0" borderId="2" xfId="100" applyFont="1" applyFill="1" applyBorder="1" applyAlignment="1">
      <alignment horizontal="center"/>
    </xf>
    <xf numFmtId="167" fontId="38" fillId="0" borderId="19" xfId="100" applyNumberFormat="1" applyBorder="1"/>
    <xf numFmtId="0" fontId="7" fillId="0" borderId="10" xfId="100" applyFont="1" applyBorder="1"/>
    <xf numFmtId="167" fontId="37" fillId="0" borderId="0" xfId="100" applyNumberFormat="1" applyFont="1" applyBorder="1" applyAlignment="1">
      <alignment horizontal="center"/>
    </xf>
    <xf numFmtId="167" fontId="7" fillId="0" borderId="19" xfId="100" applyNumberFormat="1" applyFont="1" applyBorder="1" applyAlignment="1">
      <alignment horizontal="center"/>
    </xf>
    <xf numFmtId="167" fontId="37" fillId="0" borderId="0" xfId="100" applyNumberFormat="1" applyFont="1" applyFill="1" applyBorder="1" applyAlignment="1">
      <alignment horizontal="center"/>
    </xf>
    <xf numFmtId="167" fontId="7" fillId="0" borderId="19" xfId="102" applyNumberFormat="1" applyFont="1" applyBorder="1" applyAlignment="1">
      <alignment horizontal="center"/>
    </xf>
    <xf numFmtId="167" fontId="7" fillId="0" borderId="19" xfId="100" applyNumberFormat="1" applyFont="1" applyFill="1" applyBorder="1" applyAlignment="1">
      <alignment horizontal="center"/>
    </xf>
    <xf numFmtId="0" fontId="7" fillId="0" borderId="10" xfId="100" applyFont="1" applyFill="1" applyBorder="1"/>
    <xf numFmtId="167" fontId="37" fillId="0" borderId="0" xfId="100" applyNumberFormat="1" applyFont="1" applyFill="1" applyBorder="1"/>
    <xf numFmtId="0" fontId="7" fillId="0" borderId="21" xfId="100" applyFont="1" applyFill="1" applyBorder="1"/>
    <xf numFmtId="0" fontId="7" fillId="0" borderId="6" xfId="100" applyFont="1" applyFill="1" applyBorder="1"/>
    <xf numFmtId="167" fontId="38" fillId="0" borderId="1" xfId="100" applyNumberFormat="1" applyBorder="1" applyAlignment="1">
      <alignment horizontal="center"/>
    </xf>
    <xf numFmtId="167" fontId="38" fillId="0" borderId="0" xfId="100" applyNumberFormat="1" applyBorder="1"/>
    <xf numFmtId="0" fontId="36" fillId="0" borderId="22" xfId="100" applyFont="1" applyFill="1" applyBorder="1"/>
    <xf numFmtId="167" fontId="7" fillId="0" borderId="1" xfId="100" applyNumberFormat="1" applyFont="1" applyBorder="1" applyAlignment="1">
      <alignment horizontal="center"/>
    </xf>
    <xf numFmtId="0" fontId="36" fillId="0" borderId="21" xfId="100" applyFont="1" applyFill="1" applyBorder="1"/>
    <xf numFmtId="167" fontId="36" fillId="0" borderId="1" xfId="100" applyNumberFormat="1" applyFont="1" applyBorder="1" applyAlignment="1">
      <alignment horizontal="center"/>
    </xf>
    <xf numFmtId="0" fontId="40" fillId="34" borderId="32" xfId="100" applyFont="1" applyFill="1" applyBorder="1" applyAlignment="1">
      <alignment horizontal="left"/>
    </xf>
    <xf numFmtId="0" fontId="7" fillId="34" borderId="33" xfId="100" applyFont="1" applyFill="1" applyBorder="1" applyAlignment="1">
      <alignment horizontal="left"/>
    </xf>
    <xf numFmtId="0" fontId="39" fillId="34" borderId="33" xfId="100" applyFont="1" applyFill="1" applyBorder="1" applyAlignment="1">
      <alignment horizontal="left"/>
    </xf>
    <xf numFmtId="0" fontId="38" fillId="34" borderId="33" xfId="100" applyFill="1" applyBorder="1"/>
    <xf numFmtId="0" fontId="38" fillId="34" borderId="34" xfId="100" applyFill="1" applyBorder="1"/>
    <xf numFmtId="0" fontId="7" fillId="34" borderId="35" xfId="100" applyFont="1" applyFill="1" applyBorder="1" applyAlignment="1">
      <alignment horizontal="left"/>
    </xf>
    <xf numFmtId="0" fontId="7" fillId="34" borderId="0" xfId="100" applyFont="1" applyFill="1" applyBorder="1" applyAlignment="1">
      <alignment horizontal="left"/>
    </xf>
    <xf numFmtId="0" fontId="7" fillId="34" borderId="1" xfId="100" applyFont="1" applyFill="1" applyBorder="1" applyAlignment="1">
      <alignment horizontal="left"/>
    </xf>
    <xf numFmtId="0" fontId="36" fillId="34" borderId="1" xfId="100" applyFont="1" applyFill="1" applyBorder="1" applyAlignment="1">
      <alignment horizontal="center"/>
    </xf>
    <xf numFmtId="0" fontId="36" fillId="34" borderId="4" xfId="100" applyFont="1" applyFill="1" applyBorder="1" applyAlignment="1">
      <alignment horizontal="center"/>
    </xf>
    <xf numFmtId="0" fontId="7" fillId="34" borderId="36" xfId="100" applyFont="1" applyFill="1" applyBorder="1" applyAlignment="1">
      <alignment horizontal="left"/>
    </xf>
    <xf numFmtId="0" fontId="7" fillId="34" borderId="18" xfId="100" applyFont="1" applyFill="1" applyBorder="1" applyAlignment="1">
      <alignment horizontal="left"/>
    </xf>
    <xf numFmtId="0" fontId="39" fillId="34" borderId="0" xfId="100" applyFont="1" applyFill="1" applyBorder="1" applyAlignment="1">
      <alignment horizontal="left"/>
    </xf>
    <xf numFmtId="0" fontId="38" fillId="34" borderId="0" xfId="100" applyFill="1" applyBorder="1"/>
    <xf numFmtId="0" fontId="38" fillId="34" borderId="37" xfId="100" applyFill="1" applyBorder="1"/>
    <xf numFmtId="0" fontId="7" fillId="0" borderId="19" xfId="100" applyFont="1" applyBorder="1"/>
    <xf numFmtId="0" fontId="7" fillId="36" borderId="0" xfId="100" applyFont="1" applyFill="1" applyBorder="1" applyAlignment="1">
      <alignment horizontal="left"/>
    </xf>
    <xf numFmtId="3" fontId="7" fillId="36" borderId="18" xfId="100" applyNumberFormat="1" applyFont="1" applyFill="1" applyBorder="1" applyAlignment="1">
      <alignment horizontal="left"/>
    </xf>
    <xf numFmtId="3" fontId="7" fillId="36" borderId="17" xfId="100" applyNumberFormat="1" applyFont="1" applyFill="1" applyBorder="1" applyAlignment="1">
      <alignment horizontal="left"/>
    </xf>
    <xf numFmtId="0" fontId="7" fillId="36" borderId="0" xfId="100" applyFont="1" applyFill="1" applyAlignment="1">
      <alignment horizontal="left"/>
    </xf>
    <xf numFmtId="0" fontId="39" fillId="36" borderId="0" xfId="100" applyFont="1" applyFill="1" applyAlignment="1">
      <alignment horizontal="left"/>
    </xf>
    <xf numFmtId="0" fontId="38" fillId="36" borderId="0" xfId="100" applyFill="1"/>
    <xf numFmtId="9" fontId="38" fillId="36" borderId="1" xfId="2" applyFont="1" applyFill="1" applyBorder="1" applyAlignment="1">
      <alignment horizontal="right"/>
    </xf>
    <xf numFmtId="9" fontId="7" fillId="36" borderId="1" xfId="2" applyFont="1" applyFill="1" applyBorder="1" applyAlignment="1">
      <alignment horizontal="right"/>
    </xf>
    <xf numFmtId="0" fontId="39" fillId="36" borderId="0" xfId="100" applyFont="1" applyFill="1" applyBorder="1" applyAlignment="1">
      <alignment horizontal="left"/>
    </xf>
    <xf numFmtId="0" fontId="38" fillId="36" borderId="0" xfId="100" applyFill="1" applyBorder="1"/>
    <xf numFmtId="0" fontId="36" fillId="36" borderId="0" xfId="100" applyFont="1" applyFill="1"/>
    <xf numFmtId="0" fontId="39" fillId="5" borderId="14" xfId="100" applyFont="1" applyFill="1" applyBorder="1" applyAlignment="1">
      <alignment horizontal="left"/>
    </xf>
    <xf numFmtId="0" fontId="39" fillId="5" borderId="15" xfId="100" applyFont="1" applyFill="1" applyBorder="1" applyAlignment="1">
      <alignment horizontal="left"/>
    </xf>
    <xf numFmtId="0" fontId="38" fillId="5" borderId="15" xfId="100" applyFill="1" applyBorder="1"/>
    <xf numFmtId="0" fontId="38" fillId="5" borderId="16" xfId="100" applyFill="1" applyBorder="1"/>
    <xf numFmtId="0" fontId="36" fillId="35" borderId="20" xfId="100" applyFont="1" applyFill="1" applyBorder="1" applyAlignment="1">
      <alignment horizontal="center" vertical="center"/>
    </xf>
    <xf numFmtId="0" fontId="36" fillId="35" borderId="2" xfId="100" applyFont="1" applyFill="1" applyBorder="1" applyAlignment="1">
      <alignment horizontal="center"/>
    </xf>
    <xf numFmtId="0" fontId="36" fillId="35" borderId="20" xfId="100" applyFont="1" applyFill="1" applyBorder="1" applyAlignment="1">
      <alignment horizontal="center"/>
    </xf>
    <xf numFmtId="0" fontId="40" fillId="34" borderId="35" xfId="100" applyFont="1" applyFill="1" applyBorder="1" applyAlignment="1">
      <alignment horizontal="left"/>
    </xf>
    <xf numFmtId="0" fontId="43" fillId="5" borderId="14" xfId="100" applyFont="1" applyFill="1" applyBorder="1"/>
    <xf numFmtId="0" fontId="36" fillId="5" borderId="15" xfId="100" applyFont="1" applyFill="1" applyBorder="1"/>
    <xf numFmtId="0" fontId="7" fillId="34" borderId="1" xfId="100" applyFont="1" applyFill="1" applyBorder="1" applyAlignment="1">
      <alignment horizontal="left" vertical="top" wrapText="1"/>
    </xf>
    <xf numFmtId="4" fontId="38" fillId="0" borderId="19" xfId="100" applyNumberFormat="1" applyFill="1" applyBorder="1" applyAlignment="1">
      <alignment horizontal="center"/>
    </xf>
    <xf numFmtId="5" fontId="36" fillId="0" borderId="0" xfId="100" applyNumberFormat="1" applyFont="1" applyFill="1" applyBorder="1"/>
    <xf numFmtId="0" fontId="0" fillId="38" borderId="1" xfId="0" applyFill="1" applyBorder="1"/>
    <xf numFmtId="0" fontId="0" fillId="40" borderId="1" xfId="0" applyFill="1" applyBorder="1"/>
    <xf numFmtId="0" fontId="1" fillId="38" borderId="1" xfId="0" applyFont="1" applyFill="1" applyBorder="1" applyAlignment="1">
      <alignment vertical="center" wrapText="1"/>
    </xf>
    <xf numFmtId="0" fontId="1" fillId="40" borderId="1" xfId="0" applyFont="1" applyFill="1" applyBorder="1" applyAlignment="1">
      <alignment vertical="center" wrapText="1"/>
    </xf>
    <xf numFmtId="0" fontId="0" fillId="38" borderId="22" xfId="0" applyFill="1" applyBorder="1"/>
    <xf numFmtId="0" fontId="0" fillId="0" borderId="1" xfId="0" applyBorder="1" applyAlignment="1">
      <alignment horizontal="left" vertical="center"/>
    </xf>
    <xf numFmtId="44" fontId="0" fillId="38" borderId="1" xfId="1" applyFont="1" applyFill="1" applyBorder="1"/>
    <xf numFmtId="44" fontId="0" fillId="40" borderId="1" xfId="1" applyFont="1" applyFill="1" applyBorder="1"/>
    <xf numFmtId="168" fontId="7" fillId="0" borderId="19" xfId="100" applyNumberFormat="1" applyFont="1" applyBorder="1" applyAlignment="1">
      <alignment horizontal="center"/>
    </xf>
    <xf numFmtId="0" fontId="1" fillId="6" borderId="1" xfId="0" applyFont="1" applyFill="1" applyBorder="1" applyAlignment="1">
      <alignment vertical="center" wrapText="1"/>
    </xf>
    <xf numFmtId="0" fontId="0" fillId="6" borderId="1" xfId="0" applyFill="1" applyBorder="1"/>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1" fillId="0" borderId="9" xfId="0" applyFont="1" applyBorder="1" applyAlignment="1">
      <alignment vertical="center"/>
    </xf>
    <xf numFmtId="0" fontId="2" fillId="0" borderId="1" xfId="0" applyFont="1" applyBorder="1" applyAlignment="1">
      <alignment horizontal="center" vertical="center"/>
    </xf>
    <xf numFmtId="0" fontId="36" fillId="35" borderId="1" xfId="100" applyFont="1" applyFill="1" applyBorder="1" applyAlignment="1">
      <alignment horizontal="center"/>
    </xf>
    <xf numFmtId="0" fontId="36" fillId="35" borderId="2" xfId="100" applyFont="1" applyFill="1" applyBorder="1" applyAlignment="1">
      <alignment horizontal="center"/>
    </xf>
    <xf numFmtId="0" fontId="36" fillId="35" borderId="20" xfId="100" applyFont="1" applyFill="1" applyBorder="1" applyAlignment="1">
      <alignment horizontal="center"/>
    </xf>
    <xf numFmtId="0" fontId="36" fillId="35" borderId="20" xfId="100" applyFont="1" applyFill="1" applyBorder="1" applyAlignment="1">
      <alignment horizontal="center" vertical="center"/>
    </xf>
    <xf numFmtId="6" fontId="0" fillId="40" borderId="1" xfId="1" applyNumberFormat="1" applyFont="1" applyFill="1" applyBorder="1"/>
    <xf numFmtId="0" fontId="0" fillId="0" borderId="0" xfId="0" applyFill="1" applyBorder="1" applyAlignment="1">
      <alignment horizontal="left" vertical="center"/>
    </xf>
    <xf numFmtId="0" fontId="0" fillId="0" borderId="38" xfId="0" applyBorder="1"/>
    <xf numFmtId="0" fontId="0" fillId="37" borderId="36" xfId="0" applyFill="1" applyBorder="1"/>
    <xf numFmtId="0" fontId="0" fillId="3" borderId="36" xfId="0" applyFill="1" applyBorder="1"/>
    <xf numFmtId="0" fontId="0" fillId="5" borderId="36" xfId="0" applyFill="1" applyBorder="1"/>
    <xf numFmtId="44" fontId="0" fillId="38" borderId="1" xfId="1" applyNumberFormat="1" applyFont="1" applyFill="1" applyBorder="1"/>
    <xf numFmtId="0" fontId="1" fillId="0" borderId="43" xfId="0" applyFont="1" applyFill="1" applyBorder="1"/>
    <xf numFmtId="44" fontId="0" fillId="6" borderId="1" xfId="0" applyNumberFormat="1" applyFill="1" applyBorder="1"/>
    <xf numFmtId="9" fontId="0" fillId="38" borderId="1" xfId="2" applyFont="1" applyFill="1" applyBorder="1"/>
    <xf numFmtId="0" fontId="7" fillId="0" borderId="0" xfId="93" applyFont="1" applyFill="1" applyBorder="1"/>
    <xf numFmtId="10" fontId="37" fillId="0" borderId="0" xfId="93" applyNumberFormat="1" applyFont="1" applyFill="1" applyBorder="1" applyAlignment="1">
      <alignment horizontal="right"/>
    </xf>
    <xf numFmtId="9" fontId="7" fillId="36" borderId="4" xfId="2" applyFont="1" applyFill="1" applyBorder="1" applyAlignment="1">
      <alignment horizontal="right"/>
    </xf>
    <xf numFmtId="9" fontId="7" fillId="36" borderId="18" xfId="2" applyFont="1" applyFill="1" applyBorder="1" applyAlignment="1">
      <alignment horizontal="right"/>
    </xf>
    <xf numFmtId="9" fontId="7" fillId="36" borderId="17" xfId="2" applyFont="1" applyFill="1" applyBorder="1" applyAlignment="1">
      <alignment horizontal="right"/>
    </xf>
    <xf numFmtId="166" fontId="37" fillId="0" borderId="0" xfId="93" applyNumberFormat="1" applyFont="1" applyFill="1" applyBorder="1" applyAlignment="1">
      <alignment horizontal="right"/>
    </xf>
    <xf numFmtId="39" fontId="7" fillId="0" borderId="1" xfId="100" applyNumberFormat="1" applyFont="1" applyBorder="1" applyAlignment="1">
      <alignment horizontal="center"/>
    </xf>
    <xf numFmtId="0" fontId="38" fillId="0" borderId="0" xfId="100" applyFill="1"/>
    <xf numFmtId="0" fontId="1" fillId="0" borderId="0" xfId="0" applyFont="1" applyBorder="1"/>
    <xf numFmtId="4" fontId="0" fillId="0" borderId="4" xfId="0" applyNumberFormat="1" applyBorder="1"/>
    <xf numFmtId="4" fontId="1" fillId="0" borderId="17" xfId="0" applyNumberFormat="1" applyFont="1" applyBorder="1"/>
    <xf numFmtId="0" fontId="37" fillId="0" borderId="19" xfId="103" applyNumberFormat="1" applyFont="1" applyBorder="1" applyAlignment="1">
      <alignment horizontal="center"/>
    </xf>
    <xf numFmtId="168" fontId="37" fillId="0" borderId="11" xfId="103" applyNumberFormat="1" applyFont="1" applyBorder="1" applyAlignment="1">
      <alignment horizontal="center"/>
    </xf>
    <xf numFmtId="0" fontId="1" fillId="0" borderId="12" xfId="0" applyFont="1" applyBorder="1" applyAlignment="1">
      <alignment vertical="top" wrapText="1"/>
    </xf>
    <xf numFmtId="0" fontId="0" fillId="0" borderId="0" xfId="0" applyAlignment="1">
      <alignment vertical="top" wrapText="1"/>
    </xf>
    <xf numFmtId="0" fontId="36" fillId="0" borderId="1" xfId="100" applyFont="1" applyFill="1" applyBorder="1"/>
    <xf numFmtId="0" fontId="36" fillId="0" borderId="0" xfId="100" applyFont="1" applyFill="1"/>
    <xf numFmtId="0" fontId="7" fillId="0" borderId="0" xfId="100" applyFont="1" applyFill="1" applyBorder="1" applyAlignment="1">
      <alignment horizontal="left"/>
    </xf>
    <xf numFmtId="0" fontId="39" fillId="0" borderId="0" xfId="100" applyFont="1" applyFill="1" applyBorder="1" applyAlignment="1">
      <alignment horizontal="left"/>
    </xf>
    <xf numFmtId="0" fontId="7" fillId="0" borderId="0" xfId="100" applyFont="1" applyFill="1" applyAlignment="1">
      <alignment horizontal="left"/>
    </xf>
    <xf numFmtId="0" fontId="39" fillId="0" borderId="0" xfId="100" applyFont="1" applyFill="1" applyAlignment="1">
      <alignment horizontal="left"/>
    </xf>
    <xf numFmtId="169" fontId="37" fillId="0" borderId="11" xfId="1" applyNumberFormat="1" applyFont="1" applyBorder="1" applyAlignment="1">
      <alignment horizontal="center"/>
    </xf>
    <xf numFmtId="44" fontId="0" fillId="38" borderId="22" xfId="1" applyFont="1" applyFill="1" applyBorder="1"/>
    <xf numFmtId="2" fontId="37" fillId="0" borderId="11" xfId="103" applyNumberFormat="1" applyFont="1" applyBorder="1" applyAlignment="1">
      <alignment horizontal="center"/>
    </xf>
    <xf numFmtId="0" fontId="36" fillId="0" borderId="2" xfId="100" applyFont="1" applyFill="1" applyBorder="1" applyAlignment="1">
      <alignment horizontal="center" vertical="center"/>
    </xf>
    <xf numFmtId="167" fontId="37" fillId="0" borderId="19" xfId="100" applyNumberFormat="1" applyFont="1" applyFill="1" applyBorder="1" applyAlignment="1">
      <alignment horizontal="center"/>
    </xf>
    <xf numFmtId="167" fontId="37" fillId="0" borderId="19" xfId="100" applyNumberFormat="1" applyFont="1" applyBorder="1" applyAlignment="1">
      <alignment horizontal="center"/>
    </xf>
    <xf numFmtId="167" fontId="37" fillId="0" borderId="20" xfId="100" applyNumberFormat="1" applyFont="1" applyFill="1" applyBorder="1"/>
    <xf numFmtId="0" fontId="37" fillId="0" borderId="0" xfId="100" applyNumberFormat="1" applyFont="1" applyBorder="1" applyAlignment="1">
      <alignment horizontal="center"/>
    </xf>
    <xf numFmtId="0" fontId="38" fillId="0" borderId="11" xfId="100" applyBorder="1"/>
    <xf numFmtId="0" fontId="7" fillId="0" borderId="10" xfId="100" applyFont="1" applyFill="1" applyBorder="1" applyAlignment="1">
      <alignment horizontal="left" vertical="center"/>
    </xf>
    <xf numFmtId="0" fontId="7" fillId="34" borderId="2" xfId="100" applyFont="1" applyFill="1" applyBorder="1" applyAlignment="1">
      <alignment horizontal="left"/>
    </xf>
    <xf numFmtId="3" fontId="7" fillId="36" borderId="1" xfId="100" applyNumberFormat="1" applyFont="1" applyFill="1" applyBorder="1" applyAlignment="1">
      <alignment horizontal="left"/>
    </xf>
    <xf numFmtId="3" fontId="7" fillId="36" borderId="4" xfId="100" applyNumberFormat="1" applyFont="1" applyFill="1" applyBorder="1" applyAlignment="1">
      <alignment horizontal="left"/>
    </xf>
    <xf numFmtId="3" fontId="7" fillId="36" borderId="2" xfId="100" applyNumberFormat="1" applyFont="1" applyFill="1" applyBorder="1" applyAlignment="1">
      <alignment horizontal="left"/>
    </xf>
    <xf numFmtId="0" fontId="7" fillId="34" borderId="14" xfId="100" applyFont="1" applyFill="1" applyBorder="1" applyAlignment="1">
      <alignment horizontal="left"/>
    </xf>
    <xf numFmtId="3" fontId="36" fillId="36" borderId="44" xfId="100" applyNumberFormat="1" applyFont="1" applyFill="1" applyBorder="1" applyAlignment="1">
      <alignment horizontal="left"/>
    </xf>
    <xf numFmtId="3" fontId="36" fillId="36" borderId="45" xfId="100" applyNumberFormat="1" applyFont="1" applyFill="1" applyBorder="1" applyAlignment="1">
      <alignment horizontal="left"/>
    </xf>
    <xf numFmtId="0" fontId="36" fillId="34" borderId="44" xfId="100" applyFont="1" applyFill="1" applyBorder="1" applyAlignment="1">
      <alignment horizontal="left"/>
    </xf>
    <xf numFmtId="169" fontId="37" fillId="0" borderId="0" xfId="100" applyNumberFormat="1" applyFont="1" applyBorder="1" applyAlignment="1">
      <alignment horizontal="center"/>
    </xf>
    <xf numFmtId="10" fontId="0" fillId="0" borderId="17" xfId="2" applyNumberFormat="1" applyFont="1" applyBorder="1"/>
    <xf numFmtId="0" fontId="1" fillId="0" borderId="11" xfId="0" applyFont="1" applyBorder="1" applyAlignment="1">
      <alignment vertical="center"/>
    </xf>
    <xf numFmtId="0" fontId="0" fillId="4" borderId="38" xfId="0" applyFill="1" applyBorder="1"/>
    <xf numFmtId="4" fontId="0" fillId="4" borderId="4" xfId="0" applyNumberFormat="1" applyFill="1" applyBorder="1"/>
    <xf numFmtId="0" fontId="0" fillId="4" borderId="4" xfId="0" applyFill="1" applyBorder="1"/>
    <xf numFmtId="4" fontId="1" fillId="0" borderId="45" xfId="0" applyNumberFormat="1" applyFont="1" applyBorder="1"/>
    <xf numFmtId="4" fontId="0" fillId="0" borderId="50" xfId="0" applyNumberFormat="1" applyBorder="1"/>
    <xf numFmtId="9" fontId="5" fillId="38" borderId="1" xfId="2" applyFont="1" applyFill="1" applyBorder="1"/>
    <xf numFmtId="9" fontId="0" fillId="40" borderId="1" xfId="2" applyFont="1" applyFill="1" applyBorder="1"/>
    <xf numFmtId="0" fontId="0" fillId="0" borderId="0" xfId="0" applyFill="1" applyBorder="1"/>
    <xf numFmtId="9" fontId="0" fillId="6" borderId="1" xfId="2" applyFont="1" applyFill="1" applyBorder="1"/>
    <xf numFmtId="44" fontId="5" fillId="38" borderId="1" xfId="1" applyFont="1" applyFill="1" applyBorder="1"/>
    <xf numFmtId="170" fontId="5" fillId="38" borderId="1" xfId="1" applyNumberFormat="1" applyFont="1" applyFill="1" applyBorder="1"/>
    <xf numFmtId="0" fontId="5" fillId="38" borderId="1" xfId="0" applyFont="1" applyFill="1" applyBorder="1"/>
    <xf numFmtId="0" fontId="0" fillId="0" borderId="0" xfId="0" applyBorder="1"/>
    <xf numFmtId="44" fontId="5" fillId="40" borderId="1" xfId="1" applyFont="1" applyFill="1" applyBorder="1"/>
    <xf numFmtId="0" fontId="5" fillId="40" borderId="1" xfId="0" applyFont="1" applyFill="1" applyBorder="1"/>
    <xf numFmtId="44" fontId="5" fillId="6" borderId="1" xfId="0" applyNumberFormat="1" applyFont="1" applyFill="1" applyBorder="1"/>
    <xf numFmtId="0" fontId="5" fillId="6" borderId="1" xfId="0" applyFont="1" applyFill="1" applyBorder="1"/>
    <xf numFmtId="0" fontId="1" fillId="41" borderId="46" xfId="0" applyFont="1" applyFill="1" applyBorder="1"/>
    <xf numFmtId="0" fontId="0" fillId="41" borderId="15" xfId="0" applyFill="1" applyBorder="1"/>
    <xf numFmtId="0" fontId="0" fillId="41" borderId="16" xfId="0" applyFill="1" applyBorder="1"/>
    <xf numFmtId="0" fontId="5" fillId="0" borderId="20" xfId="0" applyFont="1" applyBorder="1" applyAlignment="1">
      <alignment wrapText="1"/>
    </xf>
    <xf numFmtId="0" fontId="5" fillId="4" borderId="20" xfId="0" applyFont="1" applyFill="1" applyBorder="1"/>
    <xf numFmtId="39" fontId="1" fillId="0" borderId="17" xfId="0" applyNumberFormat="1" applyFont="1" applyBorder="1"/>
    <xf numFmtId="0" fontId="0" fillId="42" borderId="36" xfId="0" applyFill="1" applyBorder="1"/>
    <xf numFmtId="0" fontId="1" fillId="0" borderId="0" xfId="0" applyFont="1" applyFill="1" applyBorder="1"/>
    <xf numFmtId="170" fontId="1" fillId="0" borderId="0" xfId="1" applyNumberFormat="1" applyFont="1" applyBorder="1"/>
    <xf numFmtId="170" fontId="1" fillId="0" borderId="0" xfId="0" applyNumberFormat="1" applyFont="1" applyBorder="1"/>
    <xf numFmtId="9" fontId="5" fillId="43" borderId="1" xfId="2" applyFont="1" applyFill="1" applyBorder="1"/>
    <xf numFmtId="9" fontId="0" fillId="43" borderId="1" xfId="2" applyFont="1" applyFill="1" applyBorder="1"/>
    <xf numFmtId="9" fontId="0" fillId="44" borderId="1" xfId="2" applyFont="1" applyFill="1" applyBorder="1"/>
    <xf numFmtId="9" fontId="0" fillId="45" borderId="1" xfId="0" applyNumberFormat="1" applyFill="1" applyBorder="1"/>
    <xf numFmtId="0" fontId="0" fillId="5" borderId="35" xfId="0" applyFill="1" applyBorder="1"/>
    <xf numFmtId="4" fontId="0" fillId="0" borderId="21" xfId="0" applyNumberFormat="1" applyBorder="1"/>
    <xf numFmtId="39" fontId="1" fillId="0" borderId="52" xfId="0" applyNumberFormat="1" applyFont="1" applyBorder="1"/>
    <xf numFmtId="0" fontId="0" fillId="4" borderId="21" xfId="0" applyFill="1" applyBorder="1"/>
    <xf numFmtId="4" fontId="1" fillId="0" borderId="52" xfId="0" applyNumberFormat="1" applyFont="1" applyBorder="1"/>
    <xf numFmtId="4" fontId="0" fillId="4" borderId="21" xfId="0" applyNumberFormat="1" applyFill="1" applyBorder="1"/>
    <xf numFmtId="10" fontId="0" fillId="0" borderId="0" xfId="2" applyNumberFormat="1" applyFont="1" applyBorder="1"/>
    <xf numFmtId="0" fontId="1" fillId="0" borderId="0" xfId="0" applyFont="1" applyBorder="1" applyAlignment="1">
      <alignment horizontal="left"/>
    </xf>
    <xf numFmtId="0" fontId="1" fillId="0" borderId="43" xfId="0" applyFont="1" applyBorder="1" applyAlignment="1">
      <alignment horizontal="center"/>
    </xf>
    <xf numFmtId="0" fontId="1" fillId="0" borderId="45" xfId="0" applyFont="1" applyBorder="1" applyAlignment="1">
      <alignment horizontal="center"/>
    </xf>
    <xf numFmtId="0" fontId="0" fillId="0" borderId="58" xfId="0" applyBorder="1"/>
    <xf numFmtId="0" fontId="1" fillId="0" borderId="59" xfId="0" applyFont="1" applyBorder="1"/>
    <xf numFmtId="0" fontId="0" fillId="4" borderId="58" xfId="0" applyFill="1" applyBorder="1"/>
    <xf numFmtId="0" fontId="1" fillId="0" borderId="36" xfId="0" applyFont="1" applyBorder="1"/>
    <xf numFmtId="4" fontId="0" fillId="0" borderId="49" xfId="0" applyNumberFormat="1" applyBorder="1"/>
    <xf numFmtId="4" fontId="0" fillId="0" borderId="38" xfId="0" applyNumberFormat="1" applyBorder="1"/>
    <xf numFmtId="39" fontId="1" fillId="0" borderId="39" xfId="0" applyNumberFormat="1" applyFont="1" applyBorder="1"/>
    <xf numFmtId="4" fontId="1" fillId="0" borderId="39" xfId="0" applyNumberFormat="1" applyFont="1" applyBorder="1"/>
    <xf numFmtId="4" fontId="0" fillId="4" borderId="38" xfId="0" applyNumberFormat="1" applyFill="1" applyBorder="1"/>
    <xf numFmtId="0" fontId="1" fillId="5" borderId="40" xfId="0" applyFont="1" applyFill="1" applyBorder="1" applyAlignment="1"/>
    <xf numFmtId="10" fontId="0" fillId="0" borderId="5" xfId="2" applyNumberFormat="1" applyFont="1" applyBorder="1"/>
    <xf numFmtId="0" fontId="1" fillId="0" borderId="0" xfId="0" applyFont="1" applyBorder="1" applyAlignment="1"/>
    <xf numFmtId="0" fontId="1" fillId="0" borderId="66" xfId="0" applyFont="1" applyBorder="1"/>
    <xf numFmtId="0" fontId="1" fillId="0" borderId="55" xfId="0" applyFont="1" applyBorder="1" applyAlignment="1">
      <alignment horizontal="center"/>
    </xf>
    <xf numFmtId="4" fontId="1" fillId="0" borderId="43" xfId="0" applyNumberFormat="1" applyFont="1" applyBorder="1"/>
    <xf numFmtId="4" fontId="1" fillId="0" borderId="55" xfId="0" applyNumberFormat="1" applyFont="1" applyBorder="1"/>
    <xf numFmtId="0" fontId="0" fillId="42" borderId="35" xfId="0" applyFill="1" applyBorder="1"/>
    <xf numFmtId="0" fontId="1" fillId="0" borderId="55" xfId="0" applyFont="1" applyFill="1" applyBorder="1" applyAlignment="1">
      <alignment horizontal="center"/>
    </xf>
    <xf numFmtId="0" fontId="1" fillId="0" borderId="38" xfId="0" applyFont="1" applyBorder="1"/>
    <xf numFmtId="10" fontId="0" fillId="0" borderId="60" xfId="2" applyNumberFormat="1" applyFont="1" applyBorder="1"/>
    <xf numFmtId="0" fontId="0" fillId="0" borderId="67" xfId="0" applyBorder="1"/>
    <xf numFmtId="0" fontId="1" fillId="3" borderId="32" xfId="0" applyFont="1" applyFill="1" applyBorder="1" applyAlignment="1"/>
    <xf numFmtId="0" fontId="0" fillId="3" borderId="32" xfId="0" applyFill="1" applyBorder="1"/>
    <xf numFmtId="0" fontId="1" fillId="5" borderId="32" xfId="0" applyFont="1" applyFill="1" applyBorder="1" applyAlignment="1"/>
    <xf numFmtId="0" fontId="1" fillId="5" borderId="63" xfId="0" applyFont="1" applyFill="1" applyBorder="1" applyAlignment="1"/>
    <xf numFmtId="0" fontId="0" fillId="3" borderId="35" xfId="0" applyFill="1" applyBorder="1"/>
    <xf numFmtId="0" fontId="1" fillId="3" borderId="63" xfId="0" applyFont="1" applyFill="1" applyBorder="1" applyAlignment="1"/>
    <xf numFmtId="0" fontId="1" fillId="0" borderId="14" xfId="0" applyFont="1" applyFill="1" applyBorder="1" applyAlignment="1"/>
    <xf numFmtId="0" fontId="1" fillId="46" borderId="14" xfId="0" applyFont="1" applyFill="1" applyBorder="1" applyAlignment="1"/>
    <xf numFmtId="0" fontId="1" fillId="37" borderId="32" xfId="0" applyFont="1" applyFill="1" applyBorder="1" applyAlignment="1"/>
    <xf numFmtId="0" fontId="0" fillId="37" borderId="14" xfId="0" applyFill="1" applyBorder="1"/>
    <xf numFmtId="0" fontId="1" fillId="3" borderId="40" xfId="0" applyFont="1" applyFill="1" applyBorder="1" applyAlignment="1"/>
    <xf numFmtId="0" fontId="1" fillId="37" borderId="63" xfId="0" applyFont="1" applyFill="1" applyBorder="1" applyAlignment="1"/>
    <xf numFmtId="0" fontId="1" fillId="37" borderId="40" xfId="0" applyFont="1" applyFill="1" applyBorder="1" applyAlignment="1"/>
    <xf numFmtId="0" fontId="0" fillId="37" borderId="35" xfId="0" applyFill="1" applyBorder="1"/>
    <xf numFmtId="3" fontId="0" fillId="0" borderId="50" xfId="0" applyNumberFormat="1" applyFont="1" applyBorder="1"/>
    <xf numFmtId="0" fontId="1" fillId="0" borderId="45" xfId="0" applyFont="1" applyFill="1" applyBorder="1" applyAlignment="1">
      <alignment horizontal="center"/>
    </xf>
    <xf numFmtId="0" fontId="1" fillId="0" borderId="43" xfId="0" applyFont="1" applyFill="1" applyBorder="1" applyAlignment="1">
      <alignment horizontal="center"/>
    </xf>
    <xf numFmtId="0" fontId="1" fillId="0" borderId="63" xfId="0" applyFont="1" applyBorder="1"/>
    <xf numFmtId="0" fontId="1" fillId="0" borderId="59" xfId="0" applyFont="1" applyBorder="1" applyAlignment="1"/>
    <xf numFmtId="0" fontId="1" fillId="0" borderId="14" xfId="0" applyFont="1" applyBorder="1"/>
    <xf numFmtId="3" fontId="0" fillId="0" borderId="49" xfId="0" applyNumberFormat="1" applyFont="1" applyBorder="1"/>
    <xf numFmtId="3" fontId="0" fillId="0" borderId="53" xfId="0" applyNumberFormat="1" applyFont="1" applyBorder="1"/>
    <xf numFmtId="0" fontId="0" fillId="0" borderId="69" xfId="0" applyBorder="1"/>
    <xf numFmtId="10" fontId="0" fillId="0" borderId="9" xfId="2" applyNumberFormat="1" applyFont="1" applyBorder="1"/>
    <xf numFmtId="10" fontId="1" fillId="0" borderId="64" xfId="2" applyNumberFormat="1" applyFont="1" applyBorder="1"/>
    <xf numFmtId="10" fontId="1" fillId="0" borderId="45" xfId="2" applyNumberFormat="1" applyFont="1" applyBorder="1"/>
    <xf numFmtId="10" fontId="1" fillId="0" borderId="43" xfId="2" applyNumberFormat="1" applyFont="1" applyBorder="1"/>
    <xf numFmtId="0" fontId="1" fillId="46" borderId="32" xfId="0" applyFont="1" applyFill="1" applyBorder="1" applyAlignment="1"/>
    <xf numFmtId="0" fontId="1" fillId="0" borderId="70" xfId="0" applyFont="1" applyFill="1" applyBorder="1" applyAlignment="1"/>
    <xf numFmtId="10" fontId="1" fillId="0" borderId="61" xfId="2" applyNumberFormat="1" applyFont="1" applyBorder="1"/>
    <xf numFmtId="10" fontId="1" fillId="0" borderId="48" xfId="2" applyNumberFormat="1" applyFont="1" applyBorder="1"/>
    <xf numFmtId="10" fontId="0" fillId="0" borderId="68" xfId="2" applyNumberFormat="1" applyFont="1" applyBorder="1"/>
    <xf numFmtId="0" fontId="1" fillId="45" borderId="1" xfId="0" applyFont="1" applyFill="1" applyBorder="1" applyAlignment="1">
      <alignment horizontal="center" vertical="center" wrapText="1"/>
    </xf>
    <xf numFmtId="0" fontId="1" fillId="45" borderId="22" xfId="0" applyFont="1" applyFill="1" applyBorder="1" applyAlignment="1">
      <alignment horizontal="center" vertical="center" wrapText="1"/>
    </xf>
    <xf numFmtId="0" fontId="1" fillId="44" borderId="1" xfId="0" applyFont="1" applyFill="1" applyBorder="1" applyAlignment="1">
      <alignment horizontal="center" vertical="center" wrapText="1"/>
    </xf>
    <xf numFmtId="0" fontId="1" fillId="43" borderId="1" xfId="0" applyFont="1" applyFill="1" applyBorder="1" applyAlignment="1">
      <alignment horizontal="center" vertical="center" wrapText="1"/>
    </xf>
    <xf numFmtId="0" fontId="47" fillId="0" borderId="0" xfId="0" applyFont="1" applyFill="1"/>
    <xf numFmtId="0" fontId="1" fillId="42" borderId="32" xfId="0" applyFont="1" applyFill="1" applyBorder="1" applyAlignment="1"/>
    <xf numFmtId="10" fontId="4" fillId="0" borderId="47" xfId="2" applyNumberFormat="1" applyFont="1" applyBorder="1"/>
    <xf numFmtId="10" fontId="4" fillId="0" borderId="54" xfId="2" applyNumberFormat="1" applyFont="1" applyBorder="1"/>
    <xf numFmtId="10" fontId="4" fillId="0" borderId="48" xfId="2" applyNumberFormat="1" applyFont="1" applyBorder="1"/>
    <xf numFmtId="9" fontId="7" fillId="2" borderId="18" xfId="2" applyFont="1" applyFill="1" applyBorder="1" applyAlignment="1">
      <alignment horizontal="right"/>
    </xf>
    <xf numFmtId="0" fontId="1" fillId="0" borderId="1" xfId="0" applyFont="1" applyBorder="1" applyAlignment="1">
      <alignment horizontal="center" vertical="center" wrapText="1"/>
    </xf>
    <xf numFmtId="44" fontId="1" fillId="0" borderId="1" xfId="1" applyFont="1" applyBorder="1" applyAlignment="1">
      <alignment horizontal="center" vertical="center" wrapText="1"/>
    </xf>
    <xf numFmtId="0" fontId="0" fillId="0" borderId="2" xfId="0" applyFont="1" applyBorder="1" applyAlignment="1">
      <alignment horizontal="center" vertical="top" wrapText="1"/>
    </xf>
    <xf numFmtId="0" fontId="0" fillId="0" borderId="19" xfId="0" applyFont="1" applyBorder="1" applyAlignment="1">
      <alignment horizontal="center" vertical="top" wrapText="1"/>
    </xf>
    <xf numFmtId="0" fontId="0" fillId="0" borderId="20" xfId="0" applyFont="1" applyBorder="1" applyAlignment="1">
      <alignment horizontal="center" vertical="top"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9" fontId="1" fillId="0" borderId="21" xfId="2" applyFont="1" applyBorder="1" applyAlignment="1">
      <alignment horizontal="center" vertical="center" wrapText="1"/>
    </xf>
    <xf numFmtId="9" fontId="1" fillId="0" borderId="22" xfId="2" applyFont="1" applyBorder="1" applyAlignment="1">
      <alignment horizontal="center" vertical="center" wrapText="1"/>
    </xf>
    <xf numFmtId="9" fontId="1" fillId="0" borderId="1" xfId="2" applyFont="1" applyBorder="1" applyAlignment="1">
      <alignment horizontal="center" vertical="center" wrapText="1"/>
    </xf>
    <xf numFmtId="49" fontId="0" fillId="0" borderId="1" xfId="0" applyNumberFormat="1" applyBorder="1" applyAlignment="1">
      <alignment horizontal="center"/>
    </xf>
    <xf numFmtId="0" fontId="0" fillId="0" borderId="1" xfId="0" applyBorder="1" applyAlignment="1">
      <alignment vertical="center"/>
    </xf>
    <xf numFmtId="0" fontId="0" fillId="0" borderId="2"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49" fontId="0" fillId="0" borderId="2" xfId="0" applyNumberFormat="1" applyBorder="1" applyAlignment="1">
      <alignment horizontal="center" vertical="center"/>
    </xf>
    <xf numFmtId="49" fontId="0" fillId="0" borderId="19" xfId="0" applyNumberFormat="1" applyBorder="1" applyAlignment="1">
      <alignment horizontal="center" vertical="center"/>
    </xf>
    <xf numFmtId="49" fontId="0" fillId="0" borderId="20" xfId="0" applyNumberFormat="1" applyBorder="1" applyAlignment="1">
      <alignment horizontal="center" vertical="center"/>
    </xf>
    <xf numFmtId="49" fontId="0" fillId="0" borderId="2" xfId="0" applyNumberFormat="1" applyBorder="1" applyAlignment="1">
      <alignment horizontal="center" vertical="top"/>
    </xf>
    <xf numFmtId="49" fontId="0" fillId="0" borderId="19" xfId="0" applyNumberFormat="1" applyBorder="1" applyAlignment="1">
      <alignment horizontal="center" vertical="top"/>
    </xf>
    <xf numFmtId="49" fontId="0" fillId="0" borderId="20" xfId="0" applyNumberFormat="1" applyBorder="1" applyAlignment="1">
      <alignment horizontal="center" vertical="top"/>
    </xf>
    <xf numFmtId="0" fontId="0" fillId="0" borderId="2" xfId="0" applyBorder="1" applyAlignment="1">
      <alignment horizontal="center" vertical="top" wrapText="1"/>
    </xf>
    <xf numFmtId="0" fontId="0" fillId="0" borderId="19" xfId="0" applyBorder="1" applyAlignment="1">
      <alignment horizontal="center" vertical="top" wrapText="1"/>
    </xf>
    <xf numFmtId="0" fontId="0" fillId="0" borderId="20" xfId="0" applyBorder="1" applyAlignment="1">
      <alignment horizontal="center" vertical="top" wrapText="1"/>
    </xf>
    <xf numFmtId="49" fontId="0" fillId="0" borderId="1" xfId="0" applyNumberFormat="1" applyBorder="1" applyAlignment="1">
      <alignment horizontal="center" vertical="center" wrapText="1"/>
    </xf>
    <xf numFmtId="9" fontId="1" fillId="0" borderId="1" xfId="2" applyFont="1" applyBorder="1" applyAlignment="1">
      <alignment horizontal="center" vertical="top" wrapText="1"/>
    </xf>
    <xf numFmtId="0" fontId="5" fillId="2" borderId="20" xfId="0" applyFont="1" applyFill="1" applyBorder="1" applyAlignment="1">
      <alignment horizontal="center"/>
    </xf>
    <xf numFmtId="0" fontId="5" fillId="2" borderId="1" xfId="0" applyFont="1" applyFill="1" applyBorder="1" applyAlignment="1">
      <alignment horizontal="center"/>
    </xf>
    <xf numFmtId="0" fontId="35" fillId="2" borderId="1" xfId="0" applyFont="1" applyFill="1" applyBorder="1" applyAlignment="1">
      <alignment horizontal="center"/>
    </xf>
    <xf numFmtId="0" fontId="35" fillId="34" borderId="20" xfId="0" applyFont="1" applyFill="1" applyBorder="1" applyAlignment="1">
      <alignment horizontal="center"/>
    </xf>
    <xf numFmtId="0" fontId="35" fillId="34" borderId="1" xfId="0" applyFont="1" applyFill="1" applyBorder="1" applyAlignment="1">
      <alignment horizontal="center"/>
    </xf>
    <xf numFmtId="0" fontId="1" fillId="42" borderId="15" xfId="0" applyFont="1" applyFill="1" applyBorder="1" applyAlignment="1">
      <alignment horizontal="center"/>
    </xf>
    <xf numFmtId="0" fontId="1" fillId="42" borderId="16" xfId="0" applyFont="1" applyFill="1" applyBorder="1" applyAlignment="1">
      <alignment horizontal="center"/>
    </xf>
    <xf numFmtId="0" fontId="1" fillId="5" borderId="15" xfId="0" applyFont="1" applyFill="1" applyBorder="1" applyAlignment="1">
      <alignment horizontal="center"/>
    </xf>
    <xf numFmtId="0" fontId="1" fillId="5" borderId="16" xfId="0" applyFont="1" applyFill="1" applyBorder="1" applyAlignment="1">
      <alignment horizontal="center"/>
    </xf>
    <xf numFmtId="0" fontId="1" fillId="5" borderId="3" xfId="0" applyFont="1" applyFill="1" applyBorder="1" applyAlignment="1">
      <alignment horizontal="center"/>
    </xf>
    <xf numFmtId="0" fontId="1" fillId="5" borderId="62" xfId="0" applyFont="1" applyFill="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center"/>
    </xf>
    <xf numFmtId="0" fontId="1" fillId="0" borderId="56" xfId="0" applyFont="1" applyFill="1" applyBorder="1" applyAlignment="1">
      <alignment horizontal="center"/>
    </xf>
    <xf numFmtId="0" fontId="1" fillId="0" borderId="65" xfId="0" applyFont="1" applyFill="1" applyBorder="1" applyAlignment="1">
      <alignment horizontal="center"/>
    </xf>
    <xf numFmtId="0" fontId="1" fillId="0" borderId="56" xfId="0" applyFont="1" applyBorder="1" applyAlignment="1">
      <alignment horizontal="center"/>
    </xf>
    <xf numFmtId="0" fontId="1" fillId="0" borderId="65" xfId="0" applyFont="1" applyBorder="1" applyAlignment="1">
      <alignment horizontal="center"/>
    </xf>
    <xf numFmtId="0" fontId="1" fillId="0" borderId="57" xfId="0" applyFont="1" applyBorder="1" applyAlignment="1">
      <alignment horizontal="center"/>
    </xf>
    <xf numFmtId="170" fontId="0" fillId="0" borderId="21" xfId="1" applyNumberFormat="1" applyFont="1" applyBorder="1" applyAlignment="1">
      <alignment horizontal="center"/>
    </xf>
    <xf numFmtId="170" fontId="0" fillId="0" borderId="22" xfId="1" applyNumberFormat="1" applyFont="1" applyBorder="1" applyAlignment="1">
      <alignment horizontal="center"/>
    </xf>
    <xf numFmtId="170" fontId="0" fillId="0" borderId="51" xfId="1" applyNumberFormat="1" applyFont="1" applyBorder="1" applyAlignment="1">
      <alignment horizontal="center"/>
    </xf>
    <xf numFmtId="170" fontId="1" fillId="0" borderId="21" xfId="1" applyNumberFormat="1" applyFont="1" applyBorder="1" applyAlignment="1">
      <alignment horizontal="center"/>
    </xf>
    <xf numFmtId="170" fontId="1" fillId="0" borderId="22" xfId="1" applyNumberFormat="1" applyFont="1" applyBorder="1" applyAlignment="1">
      <alignment horizontal="center"/>
    </xf>
    <xf numFmtId="170" fontId="1" fillId="0" borderId="51" xfId="1" applyNumberFormat="1" applyFont="1" applyBorder="1" applyAlignment="1">
      <alignment horizontal="center"/>
    </xf>
    <xf numFmtId="0" fontId="1" fillId="0" borderId="14" xfId="0" applyFont="1" applyFill="1" applyBorder="1" applyAlignment="1">
      <alignment horizontal="center"/>
    </xf>
    <xf numFmtId="0" fontId="1" fillId="0" borderId="16" xfId="0" applyFont="1" applyFill="1" applyBorder="1" applyAlignment="1">
      <alignment horizontal="center"/>
    </xf>
    <xf numFmtId="0" fontId="1" fillId="5" borderId="41" xfId="0" applyFont="1" applyFill="1" applyBorder="1" applyAlignment="1">
      <alignment horizontal="center"/>
    </xf>
    <xf numFmtId="0" fontId="1" fillId="5" borderId="42" xfId="0" applyFont="1" applyFill="1" applyBorder="1" applyAlignment="1">
      <alignment horizontal="center"/>
    </xf>
    <xf numFmtId="170" fontId="1" fillId="0" borderId="55" xfId="1" applyNumberFormat="1" applyFont="1" applyBorder="1" applyAlignment="1">
      <alignment horizontal="center"/>
    </xf>
    <xf numFmtId="170" fontId="1" fillId="0" borderId="16" xfId="1" applyNumberFormat="1" applyFont="1" applyBorder="1" applyAlignment="1">
      <alignment horizontal="center"/>
    </xf>
    <xf numFmtId="170" fontId="1" fillId="0" borderId="64" xfId="1" applyNumberFormat="1" applyFont="1" applyBorder="1" applyAlignment="1">
      <alignment horizontal="center"/>
    </xf>
    <xf numFmtId="170" fontId="1" fillId="0" borderId="52" xfId="1" applyNumberFormat="1" applyFont="1" applyBorder="1" applyAlignment="1">
      <alignment horizontal="center"/>
    </xf>
    <xf numFmtId="170" fontId="1" fillId="0" borderId="60" xfId="1" applyNumberFormat="1" applyFont="1" applyBorder="1" applyAlignment="1">
      <alignment horizontal="center"/>
    </xf>
    <xf numFmtId="170" fontId="1" fillId="0" borderId="68" xfId="1" applyNumberFormat="1" applyFont="1" applyBorder="1" applyAlignment="1">
      <alignment horizontal="center"/>
    </xf>
    <xf numFmtId="0" fontId="1" fillId="3" borderId="41" xfId="0" applyFont="1" applyFill="1" applyBorder="1" applyAlignment="1">
      <alignment horizontal="center"/>
    </xf>
    <xf numFmtId="0" fontId="1" fillId="3" borderId="42" xfId="0" applyFont="1" applyFill="1" applyBorder="1" applyAlignment="1">
      <alignment horizontal="center"/>
    </xf>
    <xf numFmtId="0" fontId="1" fillId="3" borderId="15" xfId="0" applyFont="1" applyFill="1" applyBorder="1" applyAlignment="1">
      <alignment horizontal="center"/>
    </xf>
    <xf numFmtId="0" fontId="1" fillId="3" borderId="16" xfId="0" applyFont="1" applyFill="1" applyBorder="1" applyAlignment="1">
      <alignment horizontal="center"/>
    </xf>
    <xf numFmtId="0" fontId="1" fillId="0" borderId="33" xfId="0" applyFont="1" applyBorder="1" applyAlignment="1">
      <alignment horizontal="center"/>
    </xf>
    <xf numFmtId="0" fontId="1" fillId="0" borderId="34" xfId="0" applyFont="1" applyBorder="1" applyAlignment="1">
      <alignment horizontal="center"/>
    </xf>
    <xf numFmtId="170" fontId="0" fillId="0" borderId="14" xfId="0" applyNumberFormat="1" applyFont="1" applyBorder="1" applyAlignment="1">
      <alignment horizontal="center"/>
    </xf>
    <xf numFmtId="170" fontId="0" fillId="0" borderId="15" xfId="0" applyNumberFormat="1" applyFont="1" applyBorder="1" applyAlignment="1">
      <alignment horizontal="center"/>
    </xf>
    <xf numFmtId="170" fontId="0" fillId="0" borderId="16" xfId="0" applyNumberFormat="1" applyFont="1" applyBorder="1" applyAlignment="1">
      <alignment horizontal="center"/>
    </xf>
    <xf numFmtId="0" fontId="1" fillId="0" borderId="43" xfId="0" applyFont="1" applyBorder="1" applyAlignment="1">
      <alignment horizontal="center"/>
    </xf>
    <xf numFmtId="0" fontId="1" fillId="0" borderId="55" xfId="0" applyFont="1" applyBorder="1" applyAlignment="1">
      <alignment horizontal="center"/>
    </xf>
    <xf numFmtId="0" fontId="1" fillId="0" borderId="15" xfId="0" applyFont="1" applyFill="1" applyBorder="1" applyAlignment="1">
      <alignment horizontal="center"/>
    </xf>
    <xf numFmtId="0" fontId="1" fillId="3" borderId="58" xfId="0" applyFont="1" applyFill="1" applyBorder="1" applyAlignment="1">
      <alignment horizontal="center"/>
    </xf>
    <xf numFmtId="0" fontId="1" fillId="3" borderId="6" xfId="0" applyFont="1" applyFill="1" applyBorder="1" applyAlignment="1">
      <alignment horizontal="center"/>
    </xf>
    <xf numFmtId="0" fontId="1" fillId="3" borderId="51" xfId="0" applyFont="1" applyFill="1" applyBorder="1" applyAlignment="1">
      <alignment horizontal="center"/>
    </xf>
    <xf numFmtId="0" fontId="1" fillId="37" borderId="58" xfId="0" applyFont="1" applyFill="1" applyBorder="1" applyAlignment="1">
      <alignment horizontal="center"/>
    </xf>
    <xf numFmtId="0" fontId="1" fillId="37" borderId="6" xfId="0" applyFont="1" applyFill="1" applyBorder="1" applyAlignment="1">
      <alignment horizontal="center"/>
    </xf>
    <xf numFmtId="0" fontId="1" fillId="37" borderId="51" xfId="0" applyFont="1" applyFill="1" applyBorder="1" applyAlignment="1">
      <alignment horizontal="center"/>
    </xf>
    <xf numFmtId="0" fontId="1" fillId="3" borderId="40" xfId="0" applyFont="1" applyFill="1" applyBorder="1" applyAlignment="1">
      <alignment horizontal="center"/>
    </xf>
    <xf numFmtId="0" fontId="1" fillId="37" borderId="15" xfId="0" applyFont="1" applyFill="1" applyBorder="1" applyAlignment="1">
      <alignment horizontal="center"/>
    </xf>
    <xf numFmtId="0" fontId="1" fillId="37" borderId="16" xfId="0" applyFont="1" applyFill="1" applyBorder="1" applyAlignment="1">
      <alignment horizontal="center"/>
    </xf>
    <xf numFmtId="0" fontId="1" fillId="37" borderId="41" xfId="0" applyFont="1" applyFill="1" applyBorder="1" applyAlignment="1">
      <alignment horizontal="center"/>
    </xf>
    <xf numFmtId="0" fontId="1" fillId="37" borderId="42" xfId="0" applyFont="1" applyFill="1" applyBorder="1" applyAlignment="1">
      <alignment horizontal="center"/>
    </xf>
    <xf numFmtId="0" fontId="1" fillId="37" borderId="33" xfId="0" applyFont="1" applyFill="1" applyBorder="1" applyAlignment="1">
      <alignment horizontal="center"/>
    </xf>
    <xf numFmtId="0" fontId="1" fillId="37" borderId="34" xfId="0" applyFont="1" applyFill="1" applyBorder="1" applyAlignment="1">
      <alignment horizontal="center"/>
    </xf>
    <xf numFmtId="0" fontId="1" fillId="0" borderId="57" xfId="0" applyFont="1" applyFill="1" applyBorder="1" applyAlignment="1">
      <alignment horizontal="center"/>
    </xf>
    <xf numFmtId="0" fontId="1" fillId="0" borderId="45" xfId="0" applyFont="1" applyBorder="1" applyAlignment="1">
      <alignment horizontal="center"/>
    </xf>
    <xf numFmtId="0" fontId="1" fillId="37" borderId="40" xfId="0" applyFont="1" applyFill="1" applyBorder="1" applyAlignment="1">
      <alignment horizontal="center"/>
    </xf>
    <xf numFmtId="0" fontId="1" fillId="3" borderId="8" xfId="0" applyFont="1" applyFill="1" applyBorder="1" applyAlignment="1">
      <alignment horizontal="center"/>
    </xf>
    <xf numFmtId="0" fontId="1" fillId="3" borderId="12" xfId="0" applyFont="1" applyFill="1" applyBorder="1" applyAlignment="1">
      <alignment horizontal="center"/>
    </xf>
    <xf numFmtId="0" fontId="1" fillId="44" borderId="7" xfId="0" applyFont="1" applyFill="1" applyBorder="1" applyAlignment="1">
      <alignment horizontal="center" vertical="center" wrapText="1"/>
    </xf>
    <xf numFmtId="0" fontId="1" fillId="44" borderId="9" xfId="0" applyFont="1" applyFill="1" applyBorder="1" applyAlignment="1">
      <alignment horizontal="center" vertical="center" wrapText="1"/>
    </xf>
    <xf numFmtId="0" fontId="1" fillId="45" borderId="7" xfId="0" applyFont="1" applyFill="1" applyBorder="1" applyAlignment="1">
      <alignment horizontal="center" vertical="center" wrapText="1"/>
    </xf>
    <xf numFmtId="0" fontId="1" fillId="45" borderId="9" xfId="0" applyFont="1" applyFill="1" applyBorder="1" applyAlignment="1">
      <alignment horizontal="center" vertical="center" wrapText="1"/>
    </xf>
    <xf numFmtId="0" fontId="1" fillId="37" borderId="21" xfId="0" applyFont="1" applyFill="1" applyBorder="1" applyAlignment="1">
      <alignment horizontal="center"/>
    </xf>
    <xf numFmtId="0" fontId="1" fillId="37" borderId="22" xfId="0" applyFont="1" applyFill="1" applyBorder="1" applyAlignment="1">
      <alignment horizontal="center"/>
    </xf>
    <xf numFmtId="0" fontId="1" fillId="40" borderId="1" xfId="0" applyFont="1" applyFill="1" applyBorder="1" applyAlignment="1">
      <alignment horizontal="center" vertical="center" wrapText="1"/>
    </xf>
    <xf numFmtId="0" fontId="1" fillId="6" borderId="21" xfId="0" applyFont="1" applyFill="1" applyBorder="1" applyAlignment="1">
      <alignment horizontal="center" vertical="center"/>
    </xf>
    <xf numFmtId="0" fontId="1" fillId="6" borderId="6" xfId="0" applyFont="1" applyFill="1" applyBorder="1" applyAlignment="1">
      <alignment horizontal="center" vertical="center"/>
    </xf>
    <xf numFmtId="0" fontId="1" fillId="6" borderId="22" xfId="0" applyFont="1" applyFill="1" applyBorder="1" applyAlignment="1">
      <alignment horizontal="center" vertical="center"/>
    </xf>
    <xf numFmtId="0" fontId="1" fillId="6" borderId="2" xfId="0" applyFont="1" applyFill="1" applyBorder="1" applyAlignment="1">
      <alignment horizontal="center" vertical="center" wrapText="1"/>
    </xf>
    <xf numFmtId="0" fontId="1" fillId="6" borderId="20" xfId="0" applyFont="1" applyFill="1" applyBorder="1" applyAlignment="1">
      <alignment horizontal="center" vertical="center" wrapText="1"/>
    </xf>
    <xf numFmtId="0" fontId="0" fillId="37" borderId="1" xfId="0" applyFill="1" applyBorder="1" applyAlignment="1">
      <alignment horizontal="center"/>
    </xf>
    <xf numFmtId="0" fontId="0" fillId="3" borderId="8" xfId="0" applyFill="1" applyBorder="1" applyAlignment="1">
      <alignment horizontal="center"/>
    </xf>
    <xf numFmtId="0" fontId="0" fillId="3" borderId="3" xfId="0" applyFill="1" applyBorder="1" applyAlignment="1">
      <alignment horizontal="center"/>
    </xf>
    <xf numFmtId="0" fontId="0" fillId="3" borderId="12" xfId="0" applyFill="1" applyBorder="1" applyAlignment="1">
      <alignment horizontal="center"/>
    </xf>
    <xf numFmtId="0" fontId="1" fillId="40" borderId="1" xfId="0" applyFont="1" applyFill="1" applyBorder="1" applyAlignment="1">
      <alignment horizontal="center" vertical="center"/>
    </xf>
    <xf numFmtId="0" fontId="1" fillId="40" borderId="2" xfId="0" applyFont="1" applyFill="1" applyBorder="1" applyAlignment="1">
      <alignment horizontal="center" vertical="center" wrapText="1"/>
    </xf>
    <xf numFmtId="0" fontId="1" fillId="40" borderId="20"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1" fillId="5" borderId="8" xfId="0" applyFont="1" applyFill="1" applyBorder="1" applyAlignment="1">
      <alignment horizontal="center"/>
    </xf>
    <xf numFmtId="0" fontId="1" fillId="5" borderId="12" xfId="0" applyFont="1" applyFill="1" applyBorder="1" applyAlignment="1">
      <alignment horizontal="center"/>
    </xf>
    <xf numFmtId="0" fontId="1" fillId="43" borderId="7" xfId="0" applyFont="1" applyFill="1" applyBorder="1" applyAlignment="1">
      <alignment horizontal="center" vertical="center" wrapText="1"/>
    </xf>
    <xf numFmtId="0" fontId="1" fillId="43" borderId="9" xfId="0" applyFont="1" applyFill="1" applyBorder="1" applyAlignment="1">
      <alignment horizontal="center" vertical="center" wrapText="1"/>
    </xf>
    <xf numFmtId="0" fontId="0" fillId="0" borderId="2"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1" fillId="38" borderId="1" xfId="0" applyFont="1" applyFill="1" applyBorder="1" applyAlignment="1">
      <alignment horizontal="center" vertical="center"/>
    </xf>
    <xf numFmtId="0" fontId="1" fillId="38"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5" borderId="21" xfId="0" applyFont="1" applyFill="1" applyBorder="1" applyAlignment="1">
      <alignment horizontal="center"/>
    </xf>
    <xf numFmtId="0" fontId="1" fillId="5" borderId="6" xfId="0" applyFont="1" applyFill="1" applyBorder="1" applyAlignment="1">
      <alignment horizontal="center"/>
    </xf>
    <xf numFmtId="0" fontId="1" fillId="5" borderId="22" xfId="0" applyFont="1" applyFill="1" applyBorder="1" applyAlignment="1">
      <alignment horizontal="center"/>
    </xf>
    <xf numFmtId="0" fontId="44" fillId="39" borderId="14" xfId="100" applyFont="1" applyFill="1" applyBorder="1" applyAlignment="1">
      <alignment horizontal="left"/>
    </xf>
    <xf numFmtId="0" fontId="44" fillId="39" borderId="15" xfId="100" applyFont="1" applyFill="1" applyBorder="1" applyAlignment="1">
      <alignment horizontal="left"/>
    </xf>
    <xf numFmtId="0" fontId="44" fillId="39" borderId="16" xfId="100" applyFont="1" applyFill="1" applyBorder="1" applyAlignment="1">
      <alignment horizontal="left"/>
    </xf>
    <xf numFmtId="0" fontId="36" fillId="35" borderId="1" xfId="100" applyFont="1" applyFill="1" applyBorder="1" applyAlignment="1">
      <alignment horizontal="center" vertical="center"/>
    </xf>
    <xf numFmtId="0" fontId="36" fillId="34" borderId="2" xfId="100" applyFont="1" applyFill="1" applyBorder="1" applyAlignment="1">
      <alignment horizontal="center"/>
    </xf>
    <xf numFmtId="0" fontId="36" fillId="34" borderId="5" xfId="100" applyFont="1" applyFill="1" applyBorder="1" applyAlignment="1">
      <alignment horizontal="center"/>
    </xf>
    <xf numFmtId="0" fontId="36" fillId="35" borderId="2" xfId="100" applyFont="1" applyFill="1" applyBorder="1" applyAlignment="1">
      <alignment horizontal="center" vertical="center"/>
    </xf>
    <xf numFmtId="0" fontId="36" fillId="35" borderId="20" xfId="100" applyFont="1" applyFill="1" applyBorder="1" applyAlignment="1">
      <alignment horizontal="center" vertical="center"/>
    </xf>
    <xf numFmtId="0" fontId="36" fillId="35" borderId="2" xfId="100" applyFont="1" applyFill="1" applyBorder="1" applyAlignment="1">
      <alignment horizontal="center" vertical="center" wrapText="1"/>
    </xf>
    <xf numFmtId="0" fontId="36" fillId="35" borderId="20" xfId="100" applyFont="1" applyFill="1" applyBorder="1" applyAlignment="1">
      <alignment horizontal="center" vertical="center" wrapText="1"/>
    </xf>
    <xf numFmtId="0" fontId="36" fillId="35" borderId="1" xfId="100" applyFont="1" applyFill="1" applyBorder="1" applyAlignment="1">
      <alignment horizontal="center"/>
    </xf>
    <xf numFmtId="5" fontId="36" fillId="35" borderId="1" xfId="100" applyNumberFormat="1" applyFont="1" applyFill="1" applyBorder="1" applyAlignment="1">
      <alignment horizontal="center"/>
    </xf>
    <xf numFmtId="0" fontId="38" fillId="35" borderId="20" xfId="100" applyFill="1" applyBorder="1" applyAlignment="1">
      <alignment horizontal="center" vertical="center" wrapText="1"/>
    </xf>
    <xf numFmtId="0" fontId="36" fillId="35" borderId="21" xfId="100" applyFont="1" applyFill="1" applyBorder="1" applyAlignment="1">
      <alignment horizontal="center" vertical="center" wrapText="1"/>
    </xf>
    <xf numFmtId="0" fontId="36" fillId="35" borderId="6" xfId="100" applyFont="1" applyFill="1" applyBorder="1" applyAlignment="1">
      <alignment horizontal="center" vertical="center" wrapText="1"/>
    </xf>
    <xf numFmtId="0" fontId="36" fillId="35" borderId="2" xfId="100" applyFont="1" applyFill="1" applyBorder="1" applyAlignment="1">
      <alignment horizontal="center"/>
    </xf>
    <xf numFmtId="0" fontId="36" fillId="35" borderId="20" xfId="100" applyFont="1" applyFill="1" applyBorder="1" applyAlignment="1">
      <alignment horizontal="center"/>
    </xf>
    <xf numFmtId="0" fontId="36" fillId="35" borderId="2" xfId="100" applyFont="1" applyFill="1" applyBorder="1" applyAlignment="1">
      <alignment horizontal="center" wrapText="1"/>
    </xf>
    <xf numFmtId="0" fontId="36" fillId="35" borderId="20" xfId="100" applyFont="1" applyFill="1" applyBorder="1" applyAlignment="1">
      <alignment horizontal="center" wrapText="1"/>
    </xf>
    <xf numFmtId="0" fontId="36" fillId="35" borderId="21" xfId="100" applyFont="1" applyFill="1" applyBorder="1" applyAlignment="1">
      <alignment horizontal="center" vertical="center"/>
    </xf>
    <xf numFmtId="0" fontId="36" fillId="35" borderId="22" xfId="100" applyFont="1" applyFill="1" applyBorder="1" applyAlignment="1">
      <alignment horizontal="center" vertical="center"/>
    </xf>
    <xf numFmtId="0" fontId="36" fillId="35" borderId="21" xfId="100" applyFont="1" applyFill="1" applyBorder="1" applyAlignment="1">
      <alignment horizontal="center"/>
    </xf>
    <xf numFmtId="0" fontId="36" fillId="35" borderId="6" xfId="100" applyFont="1" applyFill="1" applyBorder="1" applyAlignment="1">
      <alignment horizontal="center"/>
    </xf>
    <xf numFmtId="0" fontId="36" fillId="35" borderId="22" xfId="100" applyFont="1" applyFill="1" applyBorder="1" applyAlignment="1">
      <alignment horizontal="center"/>
    </xf>
    <xf numFmtId="0" fontId="36" fillId="35" borderId="7" xfId="100" applyFont="1" applyFill="1" applyBorder="1" applyAlignment="1">
      <alignment horizontal="center" vertical="center"/>
    </xf>
    <xf numFmtId="0" fontId="36" fillId="35" borderId="8" xfId="100" applyFont="1" applyFill="1" applyBorder="1" applyAlignment="1">
      <alignment horizontal="center" vertical="center"/>
    </xf>
    <xf numFmtId="0" fontId="36" fillId="34" borderId="21" xfId="100" applyFont="1" applyFill="1" applyBorder="1" applyAlignment="1">
      <alignment horizontal="center"/>
    </xf>
    <xf numFmtId="0" fontId="36" fillId="34" borderId="6" xfId="100" applyFont="1" applyFill="1" applyBorder="1" applyAlignment="1">
      <alignment horizontal="center"/>
    </xf>
    <xf numFmtId="0" fontId="36" fillId="34" borderId="51" xfId="100" applyFont="1" applyFill="1" applyBorder="1" applyAlignment="1">
      <alignment horizontal="center"/>
    </xf>
  </cellXfs>
  <cellStyles count="104">
    <cellStyle name="20% - Accent1 2" xfId="39"/>
    <cellStyle name="20% - Accent2 2" xfId="40"/>
    <cellStyle name="20% - Accent3 2" xfId="41"/>
    <cellStyle name="20% - Accent4 2" xfId="42"/>
    <cellStyle name="20% - Accent5 2" xfId="43"/>
    <cellStyle name="20% - Accent6 2" xfId="44"/>
    <cellStyle name="40% - Accent1 2" xfId="45"/>
    <cellStyle name="40% - Accent2 2" xfId="46"/>
    <cellStyle name="40% - Accent3 2" xfId="47"/>
    <cellStyle name="40% - Accent4 2" xfId="48"/>
    <cellStyle name="40% - Accent5 2" xfId="49"/>
    <cellStyle name="40% - Accent6 2" xfId="50"/>
    <cellStyle name="60% - Accent1 2" xfId="51"/>
    <cellStyle name="60% - Accent2 2" xfId="52"/>
    <cellStyle name="60% - Accent3 2" xfId="53"/>
    <cellStyle name="60% - Accent4 2" xfId="54"/>
    <cellStyle name="60% - Accent5 2" xfId="55"/>
    <cellStyle name="60% - Accent6 2" xfId="56"/>
    <cellStyle name="Accent1 2" xfId="57"/>
    <cellStyle name="Accent2 2" xfId="58"/>
    <cellStyle name="Accent3 2" xfId="59"/>
    <cellStyle name="Accent4 2" xfId="60"/>
    <cellStyle name="Accent5 2" xfId="61"/>
    <cellStyle name="Accent6 2" xfId="62"/>
    <cellStyle name="Bad 2" xfId="63"/>
    <cellStyle name="Calculation 2" xfId="64"/>
    <cellStyle name="Check Cell 2" xfId="65"/>
    <cellStyle name="Comma" xfId="3" builtinId="3"/>
    <cellStyle name="Comma 2" xfId="7"/>
    <cellStyle name="Comma 2 2" xfId="26"/>
    <cellStyle name="Comma 2 3" xfId="25"/>
    <cellStyle name="Comma 2 4" xfId="14"/>
    <cellStyle name="Comma 3" xfId="19"/>
    <cellStyle name="Comma 3 2" xfId="29"/>
    <cellStyle name="Comma 3 3" xfId="33"/>
    <cellStyle name="Comma 4" xfId="90"/>
    <cellStyle name="Comma 4 2" xfId="96"/>
    <cellStyle name="Comma 5" xfId="101"/>
    <cellStyle name="Currency" xfId="1" builtinId="4"/>
    <cellStyle name="Currency 2" xfId="20"/>
    <cellStyle name="Currency 3" xfId="66"/>
    <cellStyle name="Currency 4" xfId="103"/>
    <cellStyle name="Data Field" xfId="67"/>
    <cellStyle name="Data Name" xfId="68"/>
    <cellStyle name="Date/Time" xfId="69"/>
    <cellStyle name="Explanatory Text 2" xfId="70"/>
    <cellStyle name="Good 2" xfId="13"/>
    <cellStyle name="Good 3" xfId="71"/>
    <cellStyle name="Heading" xfId="72"/>
    <cellStyle name="Heading 1 2" xfId="73"/>
    <cellStyle name="Heading 2 2" xfId="74"/>
    <cellStyle name="Heading 2 3" xfId="89"/>
    <cellStyle name="Heading 3 2" xfId="75"/>
    <cellStyle name="Heading 4 2" xfId="76"/>
    <cellStyle name="Hyperlink 2" xfId="5"/>
    <cellStyle name="Hyperlink 2 2" xfId="22"/>
    <cellStyle name="Hyperlink 3" xfId="9"/>
    <cellStyle name="Hyperlink 4" xfId="16"/>
    <cellStyle name="Hyperlink 5" xfId="4"/>
    <cellStyle name="Input 2" xfId="77"/>
    <cellStyle name="Linked Cell 2" xfId="78"/>
    <cellStyle name="Neutral 2" xfId="79"/>
    <cellStyle name="Normal" xfId="0" builtinId="0"/>
    <cellStyle name="Normal 10" xfId="93"/>
    <cellStyle name="Normal 10 2" xfId="99"/>
    <cellStyle name="Normal 11" xfId="100"/>
    <cellStyle name="Normal 2" xfId="6"/>
    <cellStyle name="Normal 2 2" xfId="10"/>
    <cellStyle name="Normal 3" xfId="11"/>
    <cellStyle name="Normal 3 2" xfId="17"/>
    <cellStyle name="Normal 3 2 2" xfId="27"/>
    <cellStyle name="Normal 3 2 3" xfId="23"/>
    <cellStyle name="Normal 3 3" xfId="24"/>
    <cellStyle name="Normal 3 4" xfId="31"/>
    <cellStyle name="Normal 4" xfId="12"/>
    <cellStyle name="Normal 5" xfId="18"/>
    <cellStyle name="Normal 5 2" xfId="28"/>
    <cellStyle name="Normal 5 3" xfId="32"/>
    <cellStyle name="Normal 6" xfId="35"/>
    <cellStyle name="Normal 7" xfId="36"/>
    <cellStyle name="Normal 7 2" xfId="94"/>
    <cellStyle name="Normal 8" xfId="37"/>
    <cellStyle name="Normal 9" xfId="91"/>
    <cellStyle name="Normal 9 2" xfId="97"/>
    <cellStyle name="Note 2" xfId="80"/>
    <cellStyle name="Note 3" xfId="88"/>
    <cellStyle name="Output 2" xfId="81"/>
    <cellStyle name="Percent" xfId="2" builtinId="5"/>
    <cellStyle name="Percent 2" xfId="8"/>
    <cellStyle name="Percent 2 2" xfId="15"/>
    <cellStyle name="Percent 3" xfId="21"/>
    <cellStyle name="Percent 3 2" xfId="30"/>
    <cellStyle name="Percent 3 3" xfId="34"/>
    <cellStyle name="Percent 4" xfId="87"/>
    <cellStyle name="Percent 4 2" xfId="95"/>
    <cellStyle name="Percent 5" xfId="92"/>
    <cellStyle name="Percent 5 2" xfId="98"/>
    <cellStyle name="Percent 6" xfId="102"/>
    <cellStyle name="Style 1" xfId="38"/>
    <cellStyle name="Title 2" xfId="82"/>
    <cellStyle name="Total 2" xfId="83"/>
    <cellStyle name="Warning Text 2" xfId="84"/>
    <cellStyle name="표준_ENERGY CONSUMP" xfId="85"/>
    <cellStyle name="常规_海外市场服务网站资料操作BOM" xfId="86"/>
  </cellStyles>
  <dxfs count="3">
    <dxf>
      <fill>
        <patternFill patternType="lightDown">
          <fgColor theme="1"/>
          <bgColor theme="0" tint="-0.14996795556505021"/>
        </patternFill>
      </fill>
    </dxf>
    <dxf>
      <fill>
        <patternFill patternType="lightDown">
          <fgColor theme="1"/>
          <bgColor theme="0" tint="-0.14996795556505021"/>
        </patternFill>
      </fill>
    </dxf>
    <dxf>
      <font>
        <color rgb="FF9C0006"/>
      </font>
      <fill>
        <patternFill>
          <bgColor rgb="FFFFC7CE"/>
        </patternFill>
      </fill>
    </dxf>
  </dxfs>
  <tableStyles count="0" defaultTableStyle="TableStyleMedium2" defaultPivotStyle="PivotStyleLight16"/>
  <colors>
    <mruColors>
      <color rgb="FF9BBB59"/>
      <color rgb="FFD8E4BC"/>
      <color rgb="FFC4D79B"/>
      <color rgb="FFEBF1DE"/>
      <color rgb="FF7D98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905818022747158"/>
          <c:y val="3.3797624611991997E-2"/>
          <c:w val="0.73926115485564314"/>
          <c:h val="0.58834358034012857"/>
        </c:manualLayout>
      </c:layout>
      <c:areaChart>
        <c:grouping val="stacked"/>
        <c:varyColors val="0"/>
        <c:ser>
          <c:idx val="1"/>
          <c:order val="0"/>
          <c:tx>
            <c:strRef>
              <c:f>'NW Baseline Energy by Use'!$A$3</c:f>
              <c:strCache>
                <c:ptCount val="1"/>
                <c:pt idx="0">
                  <c:v>Air Conditioning/Space Cooling - Residential</c:v>
                </c:pt>
              </c:strCache>
            </c:strRef>
          </c:tx>
          <c:cat>
            <c:numRef>
              <c:f>'NW Baseline Energy by Use'!$B$2:$AO$2</c:f>
              <c:numCache>
                <c:formatCode>General</c:formatCode>
                <c:ptCount val="40"/>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pt idx="19">
                  <c:v>2030</c:v>
                </c:pt>
                <c:pt idx="20">
                  <c:v>2031</c:v>
                </c:pt>
                <c:pt idx="21">
                  <c:v>2032</c:v>
                </c:pt>
                <c:pt idx="22">
                  <c:v>2033</c:v>
                </c:pt>
                <c:pt idx="23">
                  <c:v>2034</c:v>
                </c:pt>
                <c:pt idx="24">
                  <c:v>2035</c:v>
                </c:pt>
                <c:pt idx="25">
                  <c:v>2036</c:v>
                </c:pt>
                <c:pt idx="26">
                  <c:v>2037</c:v>
                </c:pt>
                <c:pt idx="27">
                  <c:v>2038</c:v>
                </c:pt>
                <c:pt idx="28">
                  <c:v>2039</c:v>
                </c:pt>
                <c:pt idx="29">
                  <c:v>2040</c:v>
                </c:pt>
                <c:pt idx="30">
                  <c:v>2041</c:v>
                </c:pt>
                <c:pt idx="31">
                  <c:v>2042</c:v>
                </c:pt>
                <c:pt idx="32">
                  <c:v>2043</c:v>
                </c:pt>
                <c:pt idx="33">
                  <c:v>2044</c:v>
                </c:pt>
                <c:pt idx="34">
                  <c:v>2045</c:v>
                </c:pt>
                <c:pt idx="35">
                  <c:v>2046</c:v>
                </c:pt>
                <c:pt idx="36">
                  <c:v>2047</c:v>
                </c:pt>
                <c:pt idx="37">
                  <c:v>2048</c:v>
                </c:pt>
                <c:pt idx="38">
                  <c:v>2049</c:v>
                </c:pt>
                <c:pt idx="39">
                  <c:v>2050</c:v>
                </c:pt>
              </c:numCache>
            </c:numRef>
          </c:cat>
          <c:val>
            <c:numRef>
              <c:f>'NW Baseline Energy by Use'!$B$3:$AO$3</c:f>
              <c:numCache>
                <c:formatCode>General</c:formatCode>
                <c:ptCount val="40"/>
                <c:pt idx="0">
                  <c:v>937875.49041188555</c:v>
                </c:pt>
                <c:pt idx="1">
                  <c:v>955572.82178553054</c:v>
                </c:pt>
                <c:pt idx="2">
                  <c:v>973533.61371793365</c:v>
                </c:pt>
                <c:pt idx="3">
                  <c:v>991761.3996921113</c:v>
                </c:pt>
                <c:pt idx="4">
                  <c:v>1010259.7578648989</c:v>
                </c:pt>
                <c:pt idx="5">
                  <c:v>1029032.3116106873</c:v>
                </c:pt>
                <c:pt idx="6">
                  <c:v>1048082.7300716016</c:v>
                </c:pt>
                <c:pt idx="7">
                  <c:v>1067414.7287141997</c:v>
                </c:pt>
                <c:pt idx="8">
                  <c:v>1087032.0698927653</c:v>
                </c:pt>
                <c:pt idx="9">
                  <c:v>1111601.3588165999</c:v>
                </c:pt>
                <c:pt idx="10">
                  <c:v>1141073.5724658968</c:v>
                </c:pt>
                <c:pt idx="11">
                  <c:v>1171254.1076339204</c:v>
                </c:pt>
                <c:pt idx="12">
                  <c:v>1202158.9769360488</c:v>
                </c:pt>
                <c:pt idx="13">
                  <c:v>1233804.6181729212</c:v>
                </c:pt>
                <c:pt idx="14">
                  <c:v>1266207.8288298433</c:v>
                </c:pt>
                <c:pt idx="15">
                  <c:v>1299385.7737480798</c:v>
                </c:pt>
                <c:pt idx="16">
                  <c:v>1333355.9929566716</c:v>
                </c:pt>
                <c:pt idx="17">
                  <c:v>1368136.4096681001</c:v>
                </c:pt>
                <c:pt idx="18">
                  <c:v>1403745.338441164</c:v>
                </c:pt>
                <c:pt idx="19">
                  <c:v>1438023.3522192</c:v>
                </c:pt>
                <c:pt idx="20">
                  <c:v>1473058.2021817716</c:v>
                </c:pt>
                <c:pt idx="21">
                  <c:v>1508865.6651532135</c:v>
                </c:pt>
                <c:pt idx="22">
                  <c:v>1545461.8348171688</c:v>
                </c:pt>
                <c:pt idx="23">
                  <c:v>1582863.0343791696</c:v>
                </c:pt>
                <c:pt idx="24">
                  <c:v>1621086.1954573654</c:v>
                </c:pt>
                <c:pt idx="25">
                  <c:v>1660148.3080037411</c:v>
                </c:pt>
                <c:pt idx="26">
                  <c:v>1700066.7963381871</c:v>
                </c:pt>
                <c:pt idx="27">
                  <c:v>1740859.4338516349</c:v>
                </c:pt>
                <c:pt idx="28">
                  <c:v>1782544.3498237492</c:v>
                </c:pt>
                <c:pt idx="29">
                  <c:v>1825140.0363712949</c:v>
                </c:pt>
                <c:pt idx="30">
                  <c:v>1868665.3555296299</c:v>
                </c:pt>
                <c:pt idx="31">
                  <c:v>1913139.5464698547</c:v>
                </c:pt>
                <c:pt idx="32">
                  <c:v>1958582.2328541661</c:v>
                </c:pt>
                <c:pt idx="33">
                  <c:v>2005013.4303320344</c:v>
                </c:pt>
                <c:pt idx="34">
                  <c:v>2052453.5541798547</c:v>
                </c:pt>
                <c:pt idx="35">
                  <c:v>2100923.4270867826</c:v>
                </c:pt>
                <c:pt idx="36">
                  <c:v>2150444.2870895127</c:v>
                </c:pt>
                <c:pt idx="37">
                  <c:v>2201037.6774516939</c:v>
                </c:pt>
                <c:pt idx="38">
                  <c:v>2252725.9257404893</c:v>
                </c:pt>
                <c:pt idx="39">
                  <c:v>2305531.4489280526</c:v>
                </c:pt>
              </c:numCache>
            </c:numRef>
          </c:val>
        </c:ser>
        <c:ser>
          <c:idx val="2"/>
          <c:order val="1"/>
          <c:tx>
            <c:strRef>
              <c:f>'NW Baseline Energy by Use'!$A$4</c:f>
              <c:strCache>
                <c:ptCount val="1"/>
                <c:pt idx="0">
                  <c:v>Appliances &amp; Plug Loads - Residential</c:v>
                </c:pt>
              </c:strCache>
            </c:strRef>
          </c:tx>
          <c:cat>
            <c:numRef>
              <c:f>'NW Baseline Energy by Use'!$B$2:$AO$2</c:f>
              <c:numCache>
                <c:formatCode>General</c:formatCode>
                <c:ptCount val="40"/>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pt idx="19">
                  <c:v>2030</c:v>
                </c:pt>
                <c:pt idx="20">
                  <c:v>2031</c:v>
                </c:pt>
                <c:pt idx="21">
                  <c:v>2032</c:v>
                </c:pt>
                <c:pt idx="22">
                  <c:v>2033</c:v>
                </c:pt>
                <c:pt idx="23">
                  <c:v>2034</c:v>
                </c:pt>
                <c:pt idx="24">
                  <c:v>2035</c:v>
                </c:pt>
                <c:pt idx="25">
                  <c:v>2036</c:v>
                </c:pt>
                <c:pt idx="26">
                  <c:v>2037</c:v>
                </c:pt>
                <c:pt idx="27">
                  <c:v>2038</c:v>
                </c:pt>
                <c:pt idx="28">
                  <c:v>2039</c:v>
                </c:pt>
                <c:pt idx="29">
                  <c:v>2040</c:v>
                </c:pt>
                <c:pt idx="30">
                  <c:v>2041</c:v>
                </c:pt>
                <c:pt idx="31">
                  <c:v>2042</c:v>
                </c:pt>
                <c:pt idx="32">
                  <c:v>2043</c:v>
                </c:pt>
                <c:pt idx="33">
                  <c:v>2044</c:v>
                </c:pt>
                <c:pt idx="34">
                  <c:v>2045</c:v>
                </c:pt>
                <c:pt idx="35">
                  <c:v>2046</c:v>
                </c:pt>
                <c:pt idx="36">
                  <c:v>2047</c:v>
                </c:pt>
                <c:pt idx="37">
                  <c:v>2048</c:v>
                </c:pt>
                <c:pt idx="38">
                  <c:v>2049</c:v>
                </c:pt>
                <c:pt idx="39">
                  <c:v>2050</c:v>
                </c:pt>
              </c:numCache>
            </c:numRef>
          </c:cat>
          <c:val>
            <c:numRef>
              <c:f>'NW Baseline Energy by Use'!$B$4:$AO$4</c:f>
              <c:numCache>
                <c:formatCode>General</c:formatCode>
                <c:ptCount val="40"/>
                <c:pt idx="0">
                  <c:v>15636182.40596847</c:v>
                </c:pt>
                <c:pt idx="1">
                  <c:v>16187256.877066424</c:v>
                </c:pt>
                <c:pt idx="2">
                  <c:v>16747947.035925832</c:v>
                </c:pt>
                <c:pt idx="3">
                  <c:v>17318391.714470729</c:v>
                </c:pt>
                <c:pt idx="4">
                  <c:v>17898731.576438211</c:v>
                </c:pt>
                <c:pt idx="5">
                  <c:v>18489109.140303921</c:v>
                </c:pt>
                <c:pt idx="6">
                  <c:v>19089668.802484669</c:v>
                </c:pt>
                <c:pt idx="7">
                  <c:v>19700556.860821422</c:v>
                </c:pt>
                <c:pt idx="8">
                  <c:v>20321921.610320095</c:v>
                </c:pt>
                <c:pt idx="9">
                  <c:v>21042177.969075002</c:v>
                </c:pt>
                <c:pt idx="10">
                  <c:v>21863698.072463557</c:v>
                </c:pt>
                <c:pt idx="11">
                  <c:v>22708326.657967053</c:v>
                </c:pt>
                <c:pt idx="12">
                  <c:v>23576635.994592048</c:v>
                </c:pt>
                <c:pt idx="13">
                  <c:v>24469211.587433904</c:v>
                </c:pt>
                <c:pt idx="14">
                  <c:v>25386652.471021134</c:v>
                </c:pt>
                <c:pt idx="15">
                  <c:v>26329571.508973598</c:v>
                </c:pt>
                <c:pt idx="16">
                  <c:v>27298595.700107697</c:v>
                </c:pt>
                <c:pt idx="17">
                  <c:v>28294366.491124362</c:v>
                </c:pt>
                <c:pt idx="18">
                  <c:v>29317540.096018322</c:v>
                </c:pt>
                <c:pt idx="19">
                  <c:v>30322858.477642201</c:v>
                </c:pt>
                <c:pt idx="20">
                  <c:v>31353742.867550876</c:v>
                </c:pt>
                <c:pt idx="21">
                  <c:v>32410769.587977458</c:v>
                </c:pt>
                <c:pt idx="22">
                  <c:v>33494527.127489548</c:v>
                </c:pt>
                <c:pt idx="23">
                  <c:v>34605616.387415186</c:v>
                </c:pt>
                <c:pt idx="24">
                  <c:v>35744650.933119826</c:v>
                </c:pt>
                <c:pt idx="25">
                  <c:v>36912257.250228025</c:v>
                </c:pt>
                <c:pt idx="26">
                  <c:v>38109075.005885087</c:v>
                </c:pt>
                <c:pt idx="27">
                  <c:v>39335757.315155767</c:v>
                </c:pt>
                <c:pt idx="28">
                  <c:v>40592971.012658998</c:v>
                </c:pt>
                <c:pt idx="29">
                  <c:v>41881396.929539502</c:v>
                </c:pt>
                <c:pt idx="30">
                  <c:v>43201730.175879009</c:v>
                </c:pt>
                <c:pt idx="31">
                  <c:v>44554680.428651743</c:v>
                </c:pt>
                <c:pt idx="32">
                  <c:v>45940972.225330949</c:v>
                </c:pt>
                <c:pt idx="33">
                  <c:v>47361345.26325503</c:v>
                </c:pt>
                <c:pt idx="34">
                  <c:v>48816554.704864152</c:v>
                </c:pt>
                <c:pt idx="35">
                  <c:v>50307371.488920152</c:v>
                </c:pt>
                <c:pt idx="36">
                  <c:v>51834582.647824675</c:v>
                </c:pt>
                <c:pt idx="37">
                  <c:v>53398991.631152764</c:v>
                </c:pt>
                <c:pt idx="38">
                  <c:v>55001418.635521315</c:v>
                </c:pt>
                <c:pt idx="39">
                  <c:v>56642700.940914012</c:v>
                </c:pt>
              </c:numCache>
            </c:numRef>
          </c:val>
        </c:ser>
        <c:ser>
          <c:idx val="3"/>
          <c:order val="2"/>
          <c:tx>
            <c:strRef>
              <c:f>'NW Baseline Energy by Use'!$A$5</c:f>
              <c:strCache>
                <c:ptCount val="1"/>
                <c:pt idx="0">
                  <c:v>Lighting - Residential</c:v>
                </c:pt>
              </c:strCache>
            </c:strRef>
          </c:tx>
          <c:cat>
            <c:numRef>
              <c:f>'NW Baseline Energy by Use'!$B$2:$AO$2</c:f>
              <c:numCache>
                <c:formatCode>General</c:formatCode>
                <c:ptCount val="40"/>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pt idx="19">
                  <c:v>2030</c:v>
                </c:pt>
                <c:pt idx="20">
                  <c:v>2031</c:v>
                </c:pt>
                <c:pt idx="21">
                  <c:v>2032</c:v>
                </c:pt>
                <c:pt idx="22">
                  <c:v>2033</c:v>
                </c:pt>
                <c:pt idx="23">
                  <c:v>2034</c:v>
                </c:pt>
                <c:pt idx="24">
                  <c:v>2035</c:v>
                </c:pt>
                <c:pt idx="25">
                  <c:v>2036</c:v>
                </c:pt>
                <c:pt idx="26">
                  <c:v>2037</c:v>
                </c:pt>
                <c:pt idx="27">
                  <c:v>2038</c:v>
                </c:pt>
                <c:pt idx="28">
                  <c:v>2039</c:v>
                </c:pt>
                <c:pt idx="29">
                  <c:v>2040</c:v>
                </c:pt>
                <c:pt idx="30">
                  <c:v>2041</c:v>
                </c:pt>
                <c:pt idx="31">
                  <c:v>2042</c:v>
                </c:pt>
                <c:pt idx="32">
                  <c:v>2043</c:v>
                </c:pt>
                <c:pt idx="33">
                  <c:v>2044</c:v>
                </c:pt>
                <c:pt idx="34">
                  <c:v>2045</c:v>
                </c:pt>
                <c:pt idx="35">
                  <c:v>2046</c:v>
                </c:pt>
                <c:pt idx="36">
                  <c:v>2047</c:v>
                </c:pt>
                <c:pt idx="37">
                  <c:v>2048</c:v>
                </c:pt>
                <c:pt idx="38">
                  <c:v>2049</c:v>
                </c:pt>
                <c:pt idx="39">
                  <c:v>2050</c:v>
                </c:pt>
              </c:numCache>
            </c:numRef>
          </c:cat>
          <c:val>
            <c:numRef>
              <c:f>'NW Baseline Energy by Use'!$B$5:$AO$5</c:f>
              <c:numCache>
                <c:formatCode>General</c:formatCode>
                <c:ptCount val="40"/>
                <c:pt idx="0">
                  <c:v>8997915.9486697055</c:v>
                </c:pt>
                <c:pt idx="1">
                  <c:v>8972143.1820987333</c:v>
                </c:pt>
                <c:pt idx="2">
                  <c:v>8944908.3407089785</c:v>
                </c:pt>
                <c:pt idx="3">
                  <c:v>8916184.3462800235</c:v>
                </c:pt>
                <c:pt idx="4">
                  <c:v>8885943.514356086</c:v>
                </c:pt>
                <c:pt idx="5">
                  <c:v>8854158.0270824451</c:v>
                </c:pt>
                <c:pt idx="6">
                  <c:v>8820799.3776441142</c:v>
                </c:pt>
                <c:pt idx="7">
                  <c:v>8785838.9204938877</c:v>
                </c:pt>
                <c:pt idx="8">
                  <c:v>8749247.3043724578</c:v>
                </c:pt>
                <c:pt idx="9">
                  <c:v>8747688.6578940004</c:v>
                </c:pt>
                <c:pt idx="10">
                  <c:v>8778258.0420600139</c:v>
                </c:pt>
                <c:pt idx="11">
                  <c:v>8806990.5873457678</c:v>
                </c:pt>
                <c:pt idx="12">
                  <c:v>8833808.4224140458</c:v>
                </c:pt>
                <c:pt idx="13">
                  <c:v>8858631.1993051562</c:v>
                </c:pt>
                <c:pt idx="14">
                  <c:v>8881376.5756197348</c:v>
                </c:pt>
                <c:pt idx="15">
                  <c:v>8901959.5341812987</c:v>
                </c:pt>
                <c:pt idx="16">
                  <c:v>8920292.9582933877</c:v>
                </c:pt>
                <c:pt idx="17">
                  <c:v>8936286.9255638942</c:v>
                </c:pt>
                <c:pt idx="18">
                  <c:v>8949849.3039461561</c:v>
                </c:pt>
                <c:pt idx="19">
                  <c:v>8947332.6972184796</c:v>
                </c:pt>
                <c:pt idx="20">
                  <c:v>8942187.0993888509</c:v>
                </c:pt>
                <c:pt idx="21">
                  <c:v>8934324.3944726512</c:v>
                </c:pt>
                <c:pt idx="22">
                  <c:v>8923654.5123737808</c:v>
                </c:pt>
                <c:pt idx="23">
                  <c:v>8910085.1212321799</c:v>
                </c:pt>
                <c:pt idx="24">
                  <c:v>8893521.2914947793</c:v>
                </c:pt>
                <c:pt idx="25">
                  <c:v>8873866.0972392969</c:v>
                </c:pt>
                <c:pt idx="26">
                  <c:v>8851019.8084580041</c:v>
                </c:pt>
                <c:pt idx="27">
                  <c:v>8824880.604376398</c:v>
                </c:pt>
                <c:pt idx="28">
                  <c:v>8795343.7378234304</c:v>
                </c:pt>
                <c:pt idx="29">
                  <c:v>8762302.2723522056</c:v>
                </c:pt>
                <c:pt idx="30">
                  <c:v>8725646.2177322861</c:v>
                </c:pt>
                <c:pt idx="31">
                  <c:v>8685263.1847422644</c:v>
                </c:pt>
                <c:pt idx="32">
                  <c:v>8641038.0254067555</c:v>
                </c:pt>
                <c:pt idx="33">
                  <c:v>8592852.4403287247</c:v>
                </c:pt>
                <c:pt idx="34">
                  <c:v>8540585.6754391436</c:v>
                </c:pt>
                <c:pt idx="35">
                  <c:v>8484113.5808537975</c:v>
                </c:pt>
                <c:pt idx="36">
                  <c:v>8423309.4377291463</c:v>
                </c:pt>
                <c:pt idx="37">
                  <c:v>8358042.9845958045</c:v>
                </c:pt>
                <c:pt idx="38">
                  <c:v>8288181.2718034824</c:v>
                </c:pt>
                <c:pt idx="39">
                  <c:v>8213587.6542075127</c:v>
                </c:pt>
              </c:numCache>
            </c:numRef>
          </c:val>
        </c:ser>
        <c:ser>
          <c:idx val="4"/>
          <c:order val="3"/>
          <c:tx>
            <c:strRef>
              <c:f>'NW Baseline Energy by Use'!$A$6</c:f>
              <c:strCache>
                <c:ptCount val="1"/>
                <c:pt idx="0">
                  <c:v>Refrigeration, Motors &amp; Process Equipment - Residential</c:v>
                </c:pt>
              </c:strCache>
            </c:strRef>
          </c:tx>
          <c:cat>
            <c:numRef>
              <c:f>'NW Baseline Energy by Use'!$B$2:$AO$2</c:f>
              <c:numCache>
                <c:formatCode>General</c:formatCode>
                <c:ptCount val="40"/>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pt idx="19">
                  <c:v>2030</c:v>
                </c:pt>
                <c:pt idx="20">
                  <c:v>2031</c:v>
                </c:pt>
                <c:pt idx="21">
                  <c:v>2032</c:v>
                </c:pt>
                <c:pt idx="22">
                  <c:v>2033</c:v>
                </c:pt>
                <c:pt idx="23">
                  <c:v>2034</c:v>
                </c:pt>
                <c:pt idx="24">
                  <c:v>2035</c:v>
                </c:pt>
                <c:pt idx="25">
                  <c:v>2036</c:v>
                </c:pt>
                <c:pt idx="26">
                  <c:v>2037</c:v>
                </c:pt>
                <c:pt idx="27">
                  <c:v>2038</c:v>
                </c:pt>
                <c:pt idx="28">
                  <c:v>2039</c:v>
                </c:pt>
                <c:pt idx="29">
                  <c:v>2040</c:v>
                </c:pt>
                <c:pt idx="30">
                  <c:v>2041</c:v>
                </c:pt>
                <c:pt idx="31">
                  <c:v>2042</c:v>
                </c:pt>
                <c:pt idx="32">
                  <c:v>2043</c:v>
                </c:pt>
                <c:pt idx="33">
                  <c:v>2044</c:v>
                </c:pt>
                <c:pt idx="34">
                  <c:v>2045</c:v>
                </c:pt>
                <c:pt idx="35">
                  <c:v>2046</c:v>
                </c:pt>
                <c:pt idx="36">
                  <c:v>2047</c:v>
                </c:pt>
                <c:pt idx="37">
                  <c:v>2048</c:v>
                </c:pt>
                <c:pt idx="38">
                  <c:v>2049</c:v>
                </c:pt>
                <c:pt idx="39">
                  <c:v>2050</c:v>
                </c:pt>
              </c:numCache>
            </c:numRef>
          </c:cat>
          <c:val>
            <c:numRef>
              <c:f>'NW Baseline Energy by Use'!$B$6:$AO$6</c:f>
              <c:numCache>
                <c:formatCode>General</c:formatCode>
                <c:ptCount val="40"/>
                <c:pt idx="0">
                  <c:v>2292935.7753031412</c:v>
                </c:pt>
                <c:pt idx="1">
                  <c:v>2283432.8895530147</c:v>
                </c:pt>
                <c:pt idx="2">
                  <c:v>2273497.5411116728</c:v>
                </c:pt>
                <c:pt idx="3">
                  <c:v>2263121.895943203</c:v>
                </c:pt>
                <c:pt idx="4">
                  <c:v>2252298.0051859096</c:v>
                </c:pt>
                <c:pt idx="5">
                  <c:v>2241017.7338091116</c:v>
                </c:pt>
                <c:pt idx="6">
                  <c:v>2229273.0376173593</c:v>
                </c:pt>
                <c:pt idx="7">
                  <c:v>2217055.5449190093</c:v>
                </c:pt>
                <c:pt idx="8">
                  <c:v>2204356.8320814311</c:v>
                </c:pt>
                <c:pt idx="9">
                  <c:v>2200398.286659</c:v>
                </c:pt>
                <c:pt idx="10">
                  <c:v>2204403.130482608</c:v>
                </c:pt>
                <c:pt idx="11">
                  <c:v>2207810.336821436</c:v>
                </c:pt>
                <c:pt idx="12">
                  <c:v>2210596.5558364294</c:v>
                </c:pt>
                <c:pt idx="13">
                  <c:v>2212737.7807340464</c:v>
                </c:pt>
                <c:pt idx="14">
                  <c:v>2214209.2515113577</c:v>
                </c:pt>
                <c:pt idx="15">
                  <c:v>2214985.756773001</c:v>
                </c:pt>
                <c:pt idx="16">
                  <c:v>2215041.1411834443</c:v>
                </c:pt>
                <c:pt idx="17">
                  <c:v>2214348.6036161734</c:v>
                </c:pt>
                <c:pt idx="18">
                  <c:v>2212880.6007877556</c:v>
                </c:pt>
                <c:pt idx="19">
                  <c:v>2207265.5340712802</c:v>
                </c:pt>
                <c:pt idx="20">
                  <c:v>2200832.0557185239</c:v>
                </c:pt>
                <c:pt idx="21">
                  <c:v>2193554.1643676208</c:v>
                </c:pt>
                <c:pt idx="22">
                  <c:v>2185405.2145210509</c:v>
                </c:pt>
                <c:pt idx="23">
                  <c:v>2176357.8086790894</c:v>
                </c:pt>
                <c:pt idx="24">
                  <c:v>2166384.1552823242</c:v>
                </c:pt>
                <c:pt idx="25">
                  <c:v>2155455.4972573007</c:v>
                </c:pt>
                <c:pt idx="26">
                  <c:v>2143542.4662391855</c:v>
                </c:pt>
                <c:pt idx="27">
                  <c:v>2130614.9750190563</c:v>
                </c:pt>
                <c:pt idx="28">
                  <c:v>2116642.2016525078</c:v>
                </c:pt>
                <c:pt idx="29">
                  <c:v>2101592.573236749</c:v>
                </c:pt>
                <c:pt idx="30">
                  <c:v>2085433.7493495082</c:v>
                </c:pt>
                <c:pt idx="31">
                  <c:v>2068132.6051429594</c:v>
                </c:pt>
                <c:pt idx="32">
                  <c:v>2049655.105358904</c:v>
                </c:pt>
                <c:pt idx="33">
                  <c:v>2029966.719786057</c:v>
                </c:pt>
                <c:pt idx="34">
                  <c:v>2009031.7583844867</c:v>
                </c:pt>
                <c:pt idx="35">
                  <c:v>1986813.7823981729</c:v>
                </c:pt>
                <c:pt idx="36">
                  <c:v>1963275.4786933656</c:v>
                </c:pt>
                <c:pt idx="37">
                  <c:v>1938378.6406323977</c:v>
                </c:pt>
                <c:pt idx="38">
                  <c:v>1912084.1485511099</c:v>
                </c:pt>
                <c:pt idx="39">
                  <c:v>1884351.9498319568</c:v>
                </c:pt>
              </c:numCache>
            </c:numRef>
          </c:val>
        </c:ser>
        <c:ser>
          <c:idx val="5"/>
          <c:order val="4"/>
          <c:tx>
            <c:strRef>
              <c:f>'NW Baseline Energy by Use'!$A$7</c:f>
              <c:strCache>
                <c:ptCount val="1"/>
                <c:pt idx="0">
                  <c:v>Space Heating - Residential</c:v>
                </c:pt>
              </c:strCache>
            </c:strRef>
          </c:tx>
          <c:cat>
            <c:numRef>
              <c:f>'NW Baseline Energy by Use'!$B$2:$AO$2</c:f>
              <c:numCache>
                <c:formatCode>General</c:formatCode>
                <c:ptCount val="40"/>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pt idx="19">
                  <c:v>2030</c:v>
                </c:pt>
                <c:pt idx="20">
                  <c:v>2031</c:v>
                </c:pt>
                <c:pt idx="21">
                  <c:v>2032</c:v>
                </c:pt>
                <c:pt idx="22">
                  <c:v>2033</c:v>
                </c:pt>
                <c:pt idx="23">
                  <c:v>2034</c:v>
                </c:pt>
                <c:pt idx="24">
                  <c:v>2035</c:v>
                </c:pt>
                <c:pt idx="25">
                  <c:v>2036</c:v>
                </c:pt>
                <c:pt idx="26">
                  <c:v>2037</c:v>
                </c:pt>
                <c:pt idx="27">
                  <c:v>2038</c:v>
                </c:pt>
                <c:pt idx="28">
                  <c:v>2039</c:v>
                </c:pt>
                <c:pt idx="29">
                  <c:v>2040</c:v>
                </c:pt>
                <c:pt idx="30">
                  <c:v>2041</c:v>
                </c:pt>
                <c:pt idx="31">
                  <c:v>2042</c:v>
                </c:pt>
                <c:pt idx="32">
                  <c:v>2043</c:v>
                </c:pt>
                <c:pt idx="33">
                  <c:v>2044</c:v>
                </c:pt>
                <c:pt idx="34">
                  <c:v>2045</c:v>
                </c:pt>
                <c:pt idx="35">
                  <c:v>2046</c:v>
                </c:pt>
                <c:pt idx="36">
                  <c:v>2047</c:v>
                </c:pt>
                <c:pt idx="37">
                  <c:v>2048</c:v>
                </c:pt>
                <c:pt idx="38">
                  <c:v>2049</c:v>
                </c:pt>
                <c:pt idx="39">
                  <c:v>2050</c:v>
                </c:pt>
              </c:numCache>
            </c:numRef>
          </c:cat>
          <c:val>
            <c:numRef>
              <c:f>'NW Baseline Energy by Use'!$B$7:$AO$7</c:f>
              <c:numCache>
                <c:formatCode>General</c:formatCode>
                <c:ptCount val="40"/>
                <c:pt idx="0">
                  <c:v>20834767.919033233</c:v>
                </c:pt>
                <c:pt idx="1">
                  <c:v>20860087.636503767</c:v>
                </c:pt>
                <c:pt idx="2">
                  <c:v>20883755.960686795</c:v>
                </c:pt>
                <c:pt idx="3">
                  <c:v>20905736.566179626</c:v>
                </c:pt>
                <c:pt idx="4">
                  <c:v>20925992.558324579</c:v>
                </c:pt>
                <c:pt idx="5">
                  <c:v>20944486.395559467</c:v>
                </c:pt>
                <c:pt idx="6">
                  <c:v>20961180.160034087</c:v>
                </c:pt>
                <c:pt idx="7">
                  <c:v>20976035.132808696</c:v>
                </c:pt>
                <c:pt idx="8">
                  <c:v>20989012.062855728</c:v>
                </c:pt>
                <c:pt idx="9">
                  <c:v>21088530.338695202</c:v>
                </c:pt>
                <c:pt idx="10">
                  <c:v>21268922.436036147</c:v>
                </c:pt>
                <c:pt idx="11">
                  <c:v>21448812.95145053</c:v>
                </c:pt>
                <c:pt idx="12">
                  <c:v>21628122.348054405</c:v>
                </c:pt>
                <c:pt idx="13">
                  <c:v>21806768.253189009</c:v>
                </c:pt>
                <c:pt idx="14">
                  <c:v>21984665.696590912</c:v>
                </c:pt>
                <c:pt idx="15">
                  <c:v>22161726.567118339</c:v>
                </c:pt>
                <c:pt idx="16">
                  <c:v>22337859.844423059</c:v>
                </c:pt>
                <c:pt idx="17">
                  <c:v>22512971.357255779</c:v>
                </c:pt>
                <c:pt idx="18">
                  <c:v>22686964.037805405</c:v>
                </c:pt>
                <c:pt idx="19">
                  <c:v>22825164.577309202</c:v>
                </c:pt>
                <c:pt idx="20">
                  <c:v>22961576.029530216</c:v>
                </c:pt>
                <c:pt idx="21">
                  <c:v>23096098.777869564</c:v>
                </c:pt>
                <c:pt idx="22">
                  <c:v>23228630.263172388</c:v>
                </c:pt>
                <c:pt idx="23">
                  <c:v>23359065.282316949</c:v>
                </c:pt>
                <c:pt idx="24">
                  <c:v>23487295.371641908</c:v>
                </c:pt>
                <c:pt idx="25">
                  <c:v>23613209.09950266</c:v>
                </c:pt>
                <c:pt idx="26">
                  <c:v>23736691.805135779</c:v>
                </c:pt>
                <c:pt idx="27">
                  <c:v>23857625.91650049</c:v>
                </c:pt>
                <c:pt idx="28">
                  <c:v>23975890.289635986</c:v>
                </c:pt>
                <c:pt idx="29">
                  <c:v>24091360.520005364</c:v>
                </c:pt>
                <c:pt idx="30">
                  <c:v>24203908.661826067</c:v>
                </c:pt>
                <c:pt idx="31">
                  <c:v>24313403.566398554</c:v>
                </c:pt>
                <c:pt idx="32">
                  <c:v>24419710.174247112</c:v>
                </c:pt>
                <c:pt idx="33">
                  <c:v>24522689.846450567</c:v>
                </c:pt>
                <c:pt idx="34">
                  <c:v>24622200.062985964</c:v>
                </c:pt>
                <c:pt idx="35">
                  <c:v>24718094.782857876</c:v>
                </c:pt>
                <c:pt idx="36">
                  <c:v>24810223.685651563</c:v>
                </c:pt>
                <c:pt idx="37">
                  <c:v>24898432.524125922</c:v>
                </c:pt>
                <c:pt idx="38">
                  <c:v>24982562.920210019</c:v>
                </c:pt>
                <c:pt idx="39">
                  <c:v>25062452.147329602</c:v>
                </c:pt>
              </c:numCache>
            </c:numRef>
          </c:val>
        </c:ser>
        <c:ser>
          <c:idx val="6"/>
          <c:order val="5"/>
          <c:tx>
            <c:strRef>
              <c:f>'NW Baseline Energy by Use'!$A$8</c:f>
              <c:strCache>
                <c:ptCount val="1"/>
                <c:pt idx="0">
                  <c:v>Water Heating - Residential</c:v>
                </c:pt>
              </c:strCache>
            </c:strRef>
          </c:tx>
          <c:cat>
            <c:numRef>
              <c:f>'NW Baseline Energy by Use'!$B$2:$AO$2</c:f>
              <c:numCache>
                <c:formatCode>General</c:formatCode>
                <c:ptCount val="40"/>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pt idx="19">
                  <c:v>2030</c:v>
                </c:pt>
                <c:pt idx="20">
                  <c:v>2031</c:v>
                </c:pt>
                <c:pt idx="21">
                  <c:v>2032</c:v>
                </c:pt>
                <c:pt idx="22">
                  <c:v>2033</c:v>
                </c:pt>
                <c:pt idx="23">
                  <c:v>2034</c:v>
                </c:pt>
                <c:pt idx="24">
                  <c:v>2035</c:v>
                </c:pt>
                <c:pt idx="25">
                  <c:v>2036</c:v>
                </c:pt>
                <c:pt idx="26">
                  <c:v>2037</c:v>
                </c:pt>
                <c:pt idx="27">
                  <c:v>2038</c:v>
                </c:pt>
                <c:pt idx="28">
                  <c:v>2039</c:v>
                </c:pt>
                <c:pt idx="29">
                  <c:v>2040</c:v>
                </c:pt>
                <c:pt idx="30">
                  <c:v>2041</c:v>
                </c:pt>
                <c:pt idx="31">
                  <c:v>2042</c:v>
                </c:pt>
                <c:pt idx="32">
                  <c:v>2043</c:v>
                </c:pt>
                <c:pt idx="33">
                  <c:v>2044</c:v>
                </c:pt>
                <c:pt idx="34">
                  <c:v>2045</c:v>
                </c:pt>
                <c:pt idx="35">
                  <c:v>2046</c:v>
                </c:pt>
                <c:pt idx="36">
                  <c:v>2047</c:v>
                </c:pt>
                <c:pt idx="37">
                  <c:v>2048</c:v>
                </c:pt>
                <c:pt idx="38">
                  <c:v>2049</c:v>
                </c:pt>
                <c:pt idx="39">
                  <c:v>2050</c:v>
                </c:pt>
              </c:numCache>
            </c:numRef>
          </c:cat>
          <c:val>
            <c:numRef>
              <c:f>'NW Baseline Energy by Use'!$B$8:$AO$8</c:f>
              <c:numCache>
                <c:formatCode>General</c:formatCode>
                <c:ptCount val="40"/>
                <c:pt idx="0">
                  <c:v>17117355.046416089</c:v>
                </c:pt>
                <c:pt idx="1">
                  <c:v>17235290.288918871</c:v>
                </c:pt>
                <c:pt idx="2">
                  <c:v>17353850.440147415</c:v>
                </c:pt>
                <c:pt idx="3">
                  <c:v>17473035.977434885</c:v>
                </c:pt>
                <c:pt idx="4">
                  <c:v>17592847.322828114</c:v>
                </c:pt>
                <c:pt idx="5">
                  <c:v>17713284.841910087</c:v>
                </c:pt>
                <c:pt idx="6">
                  <c:v>17834348.842604011</c:v>
                </c:pt>
                <c:pt idx="7">
                  <c:v>17956039.573959008</c:v>
                </c:pt>
                <c:pt idx="8">
                  <c:v>18078357.224916887</c:v>
                </c:pt>
                <c:pt idx="9">
                  <c:v>18277971.820391402</c:v>
                </c:pt>
                <c:pt idx="10">
                  <c:v>18551436.620124884</c:v>
                </c:pt>
                <c:pt idx="11">
                  <c:v>18828776.65011159</c:v>
                </c:pt>
                <c:pt idx="12">
                  <c:v>19110041.933032196</c:v>
                </c:pt>
                <c:pt idx="13">
                  <c:v>19395283.020375531</c:v>
                </c:pt>
                <c:pt idx="14">
                  <c:v>19684550.994962543</c:v>
                </c:pt>
                <c:pt idx="15">
                  <c:v>19977897.473384075</c:v>
                </c:pt>
                <c:pt idx="16">
                  <c:v>20275374.608348414</c:v>
                </c:pt>
                <c:pt idx="17">
                  <c:v>20577035.090934601</c:v>
                </c:pt>
                <c:pt idx="18">
                  <c:v>20882932.152747035</c:v>
                </c:pt>
                <c:pt idx="19">
                  <c:v>21161067.29256456</c:v>
                </c:pt>
                <c:pt idx="20">
                  <c:v>21442644.997068066</c:v>
                </c:pt>
                <c:pt idx="21">
                  <c:v>21727702.196860213</c:v>
                </c:pt>
                <c:pt idx="22">
                  <c:v>22016276.178203493</c:v>
                </c:pt>
                <c:pt idx="23">
                  <c:v>22308404.495553803</c:v>
                </c:pt>
                <c:pt idx="24">
                  <c:v>22604124.970004596</c:v>
                </c:pt>
                <c:pt idx="25">
                  <c:v>22903475.687602367</c:v>
                </c:pt>
                <c:pt idx="26">
                  <c:v>23206494.997529514</c:v>
                </c:pt>
                <c:pt idx="27">
                  <c:v>23513221.51015063</c:v>
                </c:pt>
                <c:pt idx="28">
                  <c:v>23823694.094918061</c:v>
                </c:pt>
                <c:pt idx="29">
                  <c:v>24137951.77472499</c:v>
                </c:pt>
                <c:pt idx="30">
                  <c:v>24456034.135404125</c:v>
                </c:pt>
                <c:pt idx="31">
                  <c:v>24777980.707940824</c:v>
                </c:pt>
                <c:pt idx="32">
                  <c:v>25103831.374231488</c:v>
                </c:pt>
                <c:pt idx="33">
                  <c:v>25433626.262527782</c:v>
                </c:pt>
                <c:pt idx="34">
                  <c:v>25767405.744406503</c:v>
                </c:pt>
                <c:pt idx="35">
                  <c:v>26105210.431567308</c:v>
                </c:pt>
                <c:pt idx="36">
                  <c:v>26447081.172453213</c:v>
                </c:pt>
                <c:pt idx="37">
                  <c:v>26793059.048688937</c:v>
                </c:pt>
                <c:pt idx="38">
                  <c:v>27143185.371331774</c:v>
                </c:pt>
                <c:pt idx="39">
                  <c:v>27497501.676929846</c:v>
                </c:pt>
              </c:numCache>
            </c:numRef>
          </c:val>
        </c:ser>
        <c:ser>
          <c:idx val="7"/>
          <c:order val="6"/>
          <c:tx>
            <c:strRef>
              <c:f>'NW Baseline Energy by Use'!$A$9</c:f>
              <c:strCache>
                <c:ptCount val="1"/>
                <c:pt idx="0">
                  <c:v>Other - Residential</c:v>
                </c:pt>
              </c:strCache>
            </c:strRef>
          </c:tx>
          <c:cat>
            <c:numRef>
              <c:f>'NW Baseline Energy by Use'!$B$2:$AO$2</c:f>
              <c:numCache>
                <c:formatCode>General</c:formatCode>
                <c:ptCount val="40"/>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pt idx="19">
                  <c:v>2030</c:v>
                </c:pt>
                <c:pt idx="20">
                  <c:v>2031</c:v>
                </c:pt>
                <c:pt idx="21">
                  <c:v>2032</c:v>
                </c:pt>
                <c:pt idx="22">
                  <c:v>2033</c:v>
                </c:pt>
                <c:pt idx="23">
                  <c:v>2034</c:v>
                </c:pt>
                <c:pt idx="24">
                  <c:v>2035</c:v>
                </c:pt>
                <c:pt idx="25">
                  <c:v>2036</c:v>
                </c:pt>
                <c:pt idx="26">
                  <c:v>2037</c:v>
                </c:pt>
                <c:pt idx="27">
                  <c:v>2038</c:v>
                </c:pt>
                <c:pt idx="28">
                  <c:v>2039</c:v>
                </c:pt>
                <c:pt idx="29">
                  <c:v>2040</c:v>
                </c:pt>
                <c:pt idx="30">
                  <c:v>2041</c:v>
                </c:pt>
                <c:pt idx="31">
                  <c:v>2042</c:v>
                </c:pt>
                <c:pt idx="32">
                  <c:v>2043</c:v>
                </c:pt>
                <c:pt idx="33">
                  <c:v>2044</c:v>
                </c:pt>
                <c:pt idx="34">
                  <c:v>2045</c:v>
                </c:pt>
                <c:pt idx="35">
                  <c:v>2046</c:v>
                </c:pt>
                <c:pt idx="36">
                  <c:v>2047</c:v>
                </c:pt>
                <c:pt idx="37">
                  <c:v>2048</c:v>
                </c:pt>
                <c:pt idx="38">
                  <c:v>2049</c:v>
                </c:pt>
                <c:pt idx="39">
                  <c:v>2050</c:v>
                </c:pt>
              </c:numCache>
            </c:numRef>
          </c:cat>
          <c:val>
            <c:numRef>
              <c:f>'NW Baseline Energy by Use'!$B$9:$AO$9</c:f>
              <c:numCache>
                <c:formatCode>General</c:formatCode>
                <c:ptCount val="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numCache>
            </c:numRef>
          </c:val>
        </c:ser>
        <c:dLbls>
          <c:showLegendKey val="0"/>
          <c:showVal val="0"/>
          <c:showCatName val="0"/>
          <c:showSerName val="0"/>
          <c:showPercent val="0"/>
          <c:showBubbleSize val="0"/>
        </c:dLbls>
        <c:axId val="130240512"/>
        <c:axId val="130242048"/>
      </c:areaChart>
      <c:catAx>
        <c:axId val="130240512"/>
        <c:scaling>
          <c:orientation val="minMax"/>
        </c:scaling>
        <c:delete val="0"/>
        <c:axPos val="b"/>
        <c:numFmt formatCode="General" sourceLinked="1"/>
        <c:majorTickMark val="out"/>
        <c:minorTickMark val="none"/>
        <c:tickLblPos val="nextTo"/>
        <c:crossAx val="130242048"/>
        <c:crosses val="autoZero"/>
        <c:auto val="1"/>
        <c:lblAlgn val="ctr"/>
        <c:lblOffset val="100"/>
        <c:noMultiLvlLbl val="0"/>
      </c:catAx>
      <c:valAx>
        <c:axId val="130242048"/>
        <c:scaling>
          <c:orientation val="minMax"/>
          <c:max val="140000000"/>
          <c:min val="0"/>
        </c:scaling>
        <c:delete val="0"/>
        <c:axPos val="l"/>
        <c:majorGridlines/>
        <c:title>
          <c:tx>
            <c:rich>
              <a:bodyPr rot="-5400000" vert="horz"/>
              <a:lstStyle/>
              <a:p>
                <a:pPr>
                  <a:defRPr/>
                </a:pPr>
                <a:r>
                  <a:rPr lang="en-US"/>
                  <a:t>Total Consumption (MWh/yr)</a:t>
                </a:r>
              </a:p>
            </c:rich>
          </c:tx>
          <c:overlay val="0"/>
        </c:title>
        <c:numFmt formatCode="#,##0.00" sourceLinked="0"/>
        <c:majorTickMark val="out"/>
        <c:minorTickMark val="none"/>
        <c:tickLblPos val="nextTo"/>
        <c:crossAx val="130240512"/>
        <c:crosses val="autoZero"/>
        <c:crossBetween val="midCat"/>
      </c:valAx>
    </c:plotArea>
    <c:legend>
      <c:legendPos val="r"/>
      <c:layout>
        <c:manualLayout>
          <c:xMode val="edge"/>
          <c:yMode val="edge"/>
          <c:x val="1.165266841644797E-2"/>
          <c:y val="0.71370390345042489"/>
          <c:w val="0.97168066491688543"/>
          <c:h val="0.2771202914704155"/>
        </c:manualLayout>
      </c:layout>
      <c:overlay val="0"/>
    </c:legend>
    <c:plotVisOnly val="1"/>
    <c:dispBlanksAs val="zero"/>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183595800524935"/>
          <c:y val="5.1400554097404488E-2"/>
          <c:w val="0.71981671041119866"/>
          <c:h val="0.56121717662004578"/>
        </c:manualLayout>
      </c:layout>
      <c:areaChart>
        <c:grouping val="stacked"/>
        <c:varyColors val="0"/>
        <c:ser>
          <c:idx val="1"/>
          <c:order val="0"/>
          <c:tx>
            <c:strRef>
              <c:f>'NW Baseline Energy by Use'!$A$10</c:f>
              <c:strCache>
                <c:ptCount val="1"/>
                <c:pt idx="0">
                  <c:v>Air Conditioning/Space Cooling - Commercial</c:v>
                </c:pt>
              </c:strCache>
            </c:strRef>
          </c:tx>
          <c:cat>
            <c:numRef>
              <c:f>'NW Baseline Energy by Use'!$B$2:$AO$2</c:f>
              <c:numCache>
                <c:formatCode>General</c:formatCode>
                <c:ptCount val="40"/>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pt idx="19">
                  <c:v>2030</c:v>
                </c:pt>
                <c:pt idx="20">
                  <c:v>2031</c:v>
                </c:pt>
                <c:pt idx="21">
                  <c:v>2032</c:v>
                </c:pt>
                <c:pt idx="22">
                  <c:v>2033</c:v>
                </c:pt>
                <c:pt idx="23">
                  <c:v>2034</c:v>
                </c:pt>
                <c:pt idx="24">
                  <c:v>2035</c:v>
                </c:pt>
                <c:pt idx="25">
                  <c:v>2036</c:v>
                </c:pt>
                <c:pt idx="26">
                  <c:v>2037</c:v>
                </c:pt>
                <c:pt idx="27">
                  <c:v>2038</c:v>
                </c:pt>
                <c:pt idx="28">
                  <c:v>2039</c:v>
                </c:pt>
                <c:pt idx="29">
                  <c:v>2040</c:v>
                </c:pt>
                <c:pt idx="30">
                  <c:v>2041</c:v>
                </c:pt>
                <c:pt idx="31">
                  <c:v>2042</c:v>
                </c:pt>
                <c:pt idx="32">
                  <c:v>2043</c:v>
                </c:pt>
                <c:pt idx="33">
                  <c:v>2044</c:v>
                </c:pt>
                <c:pt idx="34">
                  <c:v>2045</c:v>
                </c:pt>
                <c:pt idx="35">
                  <c:v>2046</c:v>
                </c:pt>
                <c:pt idx="36">
                  <c:v>2047</c:v>
                </c:pt>
                <c:pt idx="37">
                  <c:v>2048</c:v>
                </c:pt>
                <c:pt idx="38">
                  <c:v>2049</c:v>
                </c:pt>
                <c:pt idx="39">
                  <c:v>2050</c:v>
                </c:pt>
              </c:numCache>
            </c:numRef>
          </c:cat>
          <c:val>
            <c:numRef>
              <c:f>'NW Baseline Energy by Use'!$B$10:$AO$10</c:f>
              <c:numCache>
                <c:formatCode>General</c:formatCode>
                <c:ptCount val="40"/>
                <c:pt idx="0">
                  <c:v>17875058.364626866</c:v>
                </c:pt>
                <c:pt idx="1">
                  <c:v>18195388.394981839</c:v>
                </c:pt>
                <c:pt idx="2">
                  <c:v>18521374.301752698</c:v>
                </c:pt>
                <c:pt idx="3">
                  <c:v>18853113.913692363</c:v>
                </c:pt>
                <c:pt idx="4">
                  <c:v>19190706.961772207</c:v>
                </c:pt>
                <c:pt idx="5">
                  <c:v>19534254.602150977</c:v>
                </c:pt>
                <c:pt idx="6">
                  <c:v>19883859.957484908</c:v>
                </c:pt>
                <c:pt idx="7">
                  <c:v>20239627.620270211</c:v>
                </c:pt>
                <c:pt idx="8">
                  <c:v>20601664.215863559</c:v>
                </c:pt>
                <c:pt idx="9">
                  <c:v>21054363.133481279</c:v>
                </c:pt>
                <c:pt idx="10">
                  <c:v>21301667.815247945</c:v>
                </c:pt>
                <c:pt idx="11">
                  <c:v>21551873.137487747</c:v>
                </c:pt>
                <c:pt idx="12">
                  <c:v>21805013.076185714</c:v>
                </c:pt>
                <c:pt idx="13">
                  <c:v>22061122.004799575</c:v>
                </c:pt>
                <c:pt idx="14">
                  <c:v>22320234.69890428</c:v>
                </c:pt>
                <c:pt idx="15">
                  <c:v>22582386.34089065</c:v>
                </c:pt>
                <c:pt idx="16">
                  <c:v>22847612.524718914</c:v>
                </c:pt>
                <c:pt idx="17">
                  <c:v>23115949.260727722</c:v>
                </c:pt>
                <c:pt idx="18">
                  <c:v>23387432.980499264</c:v>
                </c:pt>
                <c:pt idx="19">
                  <c:v>23608641.186362401</c:v>
                </c:pt>
                <c:pt idx="20">
                  <c:v>23653130.997788694</c:v>
                </c:pt>
                <c:pt idx="21">
                  <c:v>23861940.770290568</c:v>
                </c:pt>
                <c:pt idx="22">
                  <c:v>24074420.689822271</c:v>
                </c:pt>
                <c:pt idx="23">
                  <c:v>24290294.71202676</c:v>
                </c:pt>
                <c:pt idx="24">
                  <c:v>24509183.339985196</c:v>
                </c:pt>
                <c:pt idx="25">
                  <c:v>24730586.152036142</c:v>
                </c:pt>
                <c:pt idx="26">
                  <c:v>24953863.164185427</c:v>
                </c:pt>
                <c:pt idx="27">
                  <c:v>25178213.427249659</c:v>
                </c:pt>
                <c:pt idx="28">
                  <c:v>25402651.409727752</c:v>
                </c:pt>
                <c:pt idx="29">
                  <c:v>25625982.114197478</c:v>
                </c:pt>
                <c:pt idx="30">
                  <c:v>25753247.421845861</c:v>
                </c:pt>
                <c:pt idx="31">
                  <c:v>25967391.015977088</c:v>
                </c:pt>
                <c:pt idx="32">
                  <c:v>26183302.576061398</c:v>
                </c:pt>
                <c:pt idx="33">
                  <c:v>26400996.665471293</c:v>
                </c:pt>
                <c:pt idx="34">
                  <c:v>26620487.968110174</c:v>
                </c:pt>
                <c:pt idx="35">
                  <c:v>26841791.011226747</c:v>
                </c:pt>
                <c:pt idx="36">
                  <c:v>27064920.808875158</c:v>
                </c:pt>
                <c:pt idx="37">
                  <c:v>27289892.124292739</c:v>
                </c:pt>
                <c:pt idx="38">
                  <c:v>27516720.216094092</c:v>
                </c:pt>
                <c:pt idx="39">
                  <c:v>27745420.087288171</c:v>
                </c:pt>
              </c:numCache>
            </c:numRef>
          </c:val>
        </c:ser>
        <c:ser>
          <c:idx val="2"/>
          <c:order val="1"/>
          <c:tx>
            <c:strRef>
              <c:f>'NW Baseline Energy by Use'!$A$11</c:f>
              <c:strCache>
                <c:ptCount val="1"/>
                <c:pt idx="0">
                  <c:v>Appliances &amp; Plug Loads - Commercial</c:v>
                </c:pt>
              </c:strCache>
            </c:strRef>
          </c:tx>
          <c:cat>
            <c:numRef>
              <c:f>'NW Baseline Energy by Use'!$B$2:$AO$2</c:f>
              <c:numCache>
                <c:formatCode>General</c:formatCode>
                <c:ptCount val="40"/>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pt idx="19">
                  <c:v>2030</c:v>
                </c:pt>
                <c:pt idx="20">
                  <c:v>2031</c:v>
                </c:pt>
                <c:pt idx="21">
                  <c:v>2032</c:v>
                </c:pt>
                <c:pt idx="22">
                  <c:v>2033</c:v>
                </c:pt>
                <c:pt idx="23">
                  <c:v>2034</c:v>
                </c:pt>
                <c:pt idx="24">
                  <c:v>2035</c:v>
                </c:pt>
                <c:pt idx="25">
                  <c:v>2036</c:v>
                </c:pt>
                <c:pt idx="26">
                  <c:v>2037</c:v>
                </c:pt>
                <c:pt idx="27">
                  <c:v>2038</c:v>
                </c:pt>
                <c:pt idx="28">
                  <c:v>2039</c:v>
                </c:pt>
                <c:pt idx="29">
                  <c:v>2040</c:v>
                </c:pt>
                <c:pt idx="30">
                  <c:v>2041</c:v>
                </c:pt>
                <c:pt idx="31">
                  <c:v>2042</c:v>
                </c:pt>
                <c:pt idx="32">
                  <c:v>2043</c:v>
                </c:pt>
                <c:pt idx="33">
                  <c:v>2044</c:v>
                </c:pt>
                <c:pt idx="34">
                  <c:v>2045</c:v>
                </c:pt>
                <c:pt idx="35">
                  <c:v>2046</c:v>
                </c:pt>
                <c:pt idx="36">
                  <c:v>2047</c:v>
                </c:pt>
                <c:pt idx="37">
                  <c:v>2048</c:v>
                </c:pt>
                <c:pt idx="38">
                  <c:v>2049</c:v>
                </c:pt>
                <c:pt idx="39">
                  <c:v>2050</c:v>
                </c:pt>
              </c:numCache>
            </c:numRef>
          </c:cat>
          <c:val>
            <c:numRef>
              <c:f>'NW Baseline Energy by Use'!$B$11:$AO$11</c:f>
              <c:numCache>
                <c:formatCode>General</c:formatCode>
                <c:ptCount val="40"/>
                <c:pt idx="0">
                  <c:v>7508065.5504521728</c:v>
                </c:pt>
                <c:pt idx="1">
                  <c:v>7704014.8442957075</c:v>
                </c:pt>
                <c:pt idx="2">
                  <c:v>7904807.7401940674</c:v>
                </c:pt>
                <c:pt idx="3">
                  <c:v>8110559.6537306262</c:v>
                </c:pt>
                <c:pt idx="4">
                  <c:v>8321388.9376477236</c:v>
                </c:pt>
                <c:pt idx="5">
                  <c:v>8537416.5054942705</c:v>
                </c:pt>
                <c:pt idx="6">
                  <c:v>8758766.0774807222</c:v>
                </c:pt>
                <c:pt idx="7">
                  <c:v>8985564.4509863723</c:v>
                </c:pt>
                <c:pt idx="8">
                  <c:v>9217941.1651202794</c:v>
                </c:pt>
                <c:pt idx="9">
                  <c:v>9494035.4750925601</c:v>
                </c:pt>
                <c:pt idx="10">
                  <c:v>9616931.5347121339</c:v>
                </c:pt>
                <c:pt idx="11">
                  <c:v>9741392.6555234399</c:v>
                </c:pt>
                <c:pt idx="12">
                  <c:v>9867438.6630656328</c:v>
                </c:pt>
                <c:pt idx="13">
                  <c:v>9995089.3333942257</c:v>
                </c:pt>
                <c:pt idx="14">
                  <c:v>10124364.98818545</c:v>
                </c:pt>
                <c:pt idx="15">
                  <c:v>10255285.89902232</c:v>
                </c:pt>
                <c:pt idx="16">
                  <c:v>10387872.818186792</c:v>
                </c:pt>
                <c:pt idx="17">
                  <c:v>10522146.758625796</c:v>
                </c:pt>
                <c:pt idx="18">
                  <c:v>10658128.758387435</c:v>
                </c:pt>
                <c:pt idx="19">
                  <c:v>10771449.5871528</c:v>
                </c:pt>
                <c:pt idx="20">
                  <c:v>11007978.674871022</c:v>
                </c:pt>
                <c:pt idx="21">
                  <c:v>11134990.046652315</c:v>
                </c:pt>
                <c:pt idx="22">
                  <c:v>11262149.556958672</c:v>
                </c:pt>
                <c:pt idx="23">
                  <c:v>11389671.371506117</c:v>
                </c:pt>
                <c:pt idx="24">
                  <c:v>11517840.869415985</c:v>
                </c:pt>
                <c:pt idx="25">
                  <c:v>11647025.729921211</c:v>
                </c:pt>
                <c:pt idx="26">
                  <c:v>11777689.673507271</c:v>
                </c:pt>
                <c:pt idx="27">
                  <c:v>11910406.245977068</c:v>
                </c:pt>
                <c:pt idx="28">
                  <c:v>12045875.152247015</c:v>
                </c:pt>
                <c:pt idx="29">
                  <c:v>12184939.434322517</c:v>
                </c:pt>
                <c:pt idx="30">
                  <c:v>12392433.86259583</c:v>
                </c:pt>
                <c:pt idx="31">
                  <c:v>12543531.203489164</c:v>
                </c:pt>
                <c:pt idx="32">
                  <c:v>12696345.65106868</c:v>
                </c:pt>
                <c:pt idx="33">
                  <c:v>12850895.793587187</c:v>
                </c:pt>
                <c:pt idx="34">
                  <c:v>13007200.688960493</c:v>
                </c:pt>
                <c:pt idx="35">
                  <c:v>13165279.32276376</c:v>
                </c:pt>
                <c:pt idx="36">
                  <c:v>13325150.972173484</c:v>
                </c:pt>
                <c:pt idx="37">
                  <c:v>13486835.11777797</c:v>
                </c:pt>
                <c:pt idx="38">
                  <c:v>13650351.445678186</c:v>
                </c:pt>
                <c:pt idx="39">
                  <c:v>13815719.753488246</c:v>
                </c:pt>
              </c:numCache>
            </c:numRef>
          </c:val>
        </c:ser>
        <c:ser>
          <c:idx val="3"/>
          <c:order val="2"/>
          <c:tx>
            <c:strRef>
              <c:f>'NW Baseline Energy by Use'!$A$12</c:f>
              <c:strCache>
                <c:ptCount val="1"/>
                <c:pt idx="0">
                  <c:v>Lighting - Commercial</c:v>
                </c:pt>
              </c:strCache>
            </c:strRef>
          </c:tx>
          <c:cat>
            <c:numRef>
              <c:f>'NW Baseline Energy by Use'!$B$2:$AO$2</c:f>
              <c:numCache>
                <c:formatCode>General</c:formatCode>
                <c:ptCount val="40"/>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pt idx="19">
                  <c:v>2030</c:v>
                </c:pt>
                <c:pt idx="20">
                  <c:v>2031</c:v>
                </c:pt>
                <c:pt idx="21">
                  <c:v>2032</c:v>
                </c:pt>
                <c:pt idx="22">
                  <c:v>2033</c:v>
                </c:pt>
                <c:pt idx="23">
                  <c:v>2034</c:v>
                </c:pt>
                <c:pt idx="24">
                  <c:v>2035</c:v>
                </c:pt>
                <c:pt idx="25">
                  <c:v>2036</c:v>
                </c:pt>
                <c:pt idx="26">
                  <c:v>2037</c:v>
                </c:pt>
                <c:pt idx="27">
                  <c:v>2038</c:v>
                </c:pt>
                <c:pt idx="28">
                  <c:v>2039</c:v>
                </c:pt>
                <c:pt idx="29">
                  <c:v>2040</c:v>
                </c:pt>
                <c:pt idx="30">
                  <c:v>2041</c:v>
                </c:pt>
                <c:pt idx="31">
                  <c:v>2042</c:v>
                </c:pt>
                <c:pt idx="32">
                  <c:v>2043</c:v>
                </c:pt>
                <c:pt idx="33">
                  <c:v>2044</c:v>
                </c:pt>
                <c:pt idx="34">
                  <c:v>2045</c:v>
                </c:pt>
                <c:pt idx="35">
                  <c:v>2046</c:v>
                </c:pt>
                <c:pt idx="36">
                  <c:v>2047</c:v>
                </c:pt>
                <c:pt idx="37">
                  <c:v>2048</c:v>
                </c:pt>
                <c:pt idx="38">
                  <c:v>2049</c:v>
                </c:pt>
                <c:pt idx="39">
                  <c:v>2050</c:v>
                </c:pt>
              </c:numCache>
            </c:numRef>
          </c:cat>
          <c:val>
            <c:numRef>
              <c:f>'NW Baseline Energy by Use'!$B$12:$AO$12</c:f>
              <c:numCache>
                <c:formatCode>General</c:formatCode>
                <c:ptCount val="40"/>
                <c:pt idx="0">
                  <c:v>12938032.97484665</c:v>
                </c:pt>
                <c:pt idx="1">
                  <c:v>13348039.527946135</c:v>
                </c:pt>
                <c:pt idx="2">
                  <c:v>13769300.352206016</c:v>
                </c:pt>
                <c:pt idx="3">
                  <c:v>14202102.077338919</c:v>
                </c:pt>
                <c:pt idx="4">
                  <c:v>14646738.562778816</c:v>
                </c:pt>
                <c:pt idx="5">
                  <c:v>15103510.624711946</c:v>
                </c:pt>
                <c:pt idx="6">
                  <c:v>15572726.387736829</c:v>
                </c:pt>
                <c:pt idx="7">
                  <c:v>16054701.663653765</c:v>
                </c:pt>
                <c:pt idx="8">
                  <c:v>16549759.656587407</c:v>
                </c:pt>
                <c:pt idx="9">
                  <c:v>17126794.013861518</c:v>
                </c:pt>
                <c:pt idx="10">
                  <c:v>17362109.721160289</c:v>
                </c:pt>
                <c:pt idx="11">
                  <c:v>17600556.508580498</c:v>
                </c:pt>
                <c:pt idx="12">
                  <c:v>17842175.23839302</c:v>
                </c:pt>
                <c:pt idx="13">
                  <c:v>18087007.07410771</c:v>
                </c:pt>
                <c:pt idx="14">
                  <c:v>18335093.778918084</c:v>
                </c:pt>
                <c:pt idx="15">
                  <c:v>18586477.649576358</c:v>
                </c:pt>
                <c:pt idx="16">
                  <c:v>18841201.523119092</c:v>
                </c:pt>
                <c:pt idx="17">
                  <c:v>19099308.704954576</c:v>
                </c:pt>
                <c:pt idx="18">
                  <c:v>19360843.289755851</c:v>
                </c:pt>
                <c:pt idx="19">
                  <c:v>19581509.3718132</c:v>
                </c:pt>
                <c:pt idx="20">
                  <c:v>20243511.133822896</c:v>
                </c:pt>
                <c:pt idx="21">
                  <c:v>20509746.104185585</c:v>
                </c:pt>
                <c:pt idx="22">
                  <c:v>20774649.740178861</c:v>
                </c:pt>
                <c:pt idx="23">
                  <c:v>21038974.692969363</c:v>
                </c:pt>
                <c:pt idx="24">
                  <c:v>21303728.470508397</c:v>
                </c:pt>
                <c:pt idx="25">
                  <c:v>21570216.000687655</c:v>
                </c:pt>
                <c:pt idx="26">
                  <c:v>21840085.651327033</c:v>
                </c:pt>
                <c:pt idx="27">
                  <c:v>22115382.052256707</c:v>
                </c:pt>
                <c:pt idx="28">
                  <c:v>22398602.855379343</c:v>
                </c:pt>
                <c:pt idx="29">
                  <c:v>22692761.356994532</c:v>
                </c:pt>
                <c:pt idx="30">
                  <c:v>23231039.839931864</c:v>
                </c:pt>
                <c:pt idx="31">
                  <c:v>23564431.953687496</c:v>
                </c:pt>
                <c:pt idx="32">
                  <c:v>23901947.09196312</c:v>
                </c:pt>
                <c:pt idx="33">
                  <c:v>24243632.315481111</c:v>
                </c:pt>
                <c:pt idx="34">
                  <c:v>24589535.562717866</c:v>
                </c:pt>
                <c:pt idx="35">
                  <c:v>24939704.929942247</c:v>
                </c:pt>
                <c:pt idx="36">
                  <c:v>25294189.408725511</c:v>
                </c:pt>
                <c:pt idx="37">
                  <c:v>25653038.15295599</c:v>
                </c:pt>
                <c:pt idx="38">
                  <c:v>26016301.22972047</c:v>
                </c:pt>
                <c:pt idx="39">
                  <c:v>26384028.873059567</c:v>
                </c:pt>
              </c:numCache>
            </c:numRef>
          </c:val>
        </c:ser>
        <c:ser>
          <c:idx val="4"/>
          <c:order val="3"/>
          <c:tx>
            <c:strRef>
              <c:f>'NW Baseline Energy by Use'!$A$13</c:f>
              <c:strCache>
                <c:ptCount val="1"/>
                <c:pt idx="0">
                  <c:v>Refrigeration, Motors &amp; Process Equipment - Commercial</c:v>
                </c:pt>
              </c:strCache>
            </c:strRef>
          </c:tx>
          <c:cat>
            <c:numRef>
              <c:f>'NW Baseline Energy by Use'!$B$2:$AO$2</c:f>
              <c:numCache>
                <c:formatCode>General</c:formatCode>
                <c:ptCount val="40"/>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pt idx="19">
                  <c:v>2030</c:v>
                </c:pt>
                <c:pt idx="20">
                  <c:v>2031</c:v>
                </c:pt>
                <c:pt idx="21">
                  <c:v>2032</c:v>
                </c:pt>
                <c:pt idx="22">
                  <c:v>2033</c:v>
                </c:pt>
                <c:pt idx="23">
                  <c:v>2034</c:v>
                </c:pt>
                <c:pt idx="24">
                  <c:v>2035</c:v>
                </c:pt>
                <c:pt idx="25">
                  <c:v>2036</c:v>
                </c:pt>
                <c:pt idx="26">
                  <c:v>2037</c:v>
                </c:pt>
                <c:pt idx="27">
                  <c:v>2038</c:v>
                </c:pt>
                <c:pt idx="28">
                  <c:v>2039</c:v>
                </c:pt>
                <c:pt idx="29">
                  <c:v>2040</c:v>
                </c:pt>
                <c:pt idx="30">
                  <c:v>2041</c:v>
                </c:pt>
                <c:pt idx="31">
                  <c:v>2042</c:v>
                </c:pt>
                <c:pt idx="32">
                  <c:v>2043</c:v>
                </c:pt>
                <c:pt idx="33">
                  <c:v>2044</c:v>
                </c:pt>
                <c:pt idx="34">
                  <c:v>2045</c:v>
                </c:pt>
                <c:pt idx="35">
                  <c:v>2046</c:v>
                </c:pt>
                <c:pt idx="36">
                  <c:v>2047</c:v>
                </c:pt>
                <c:pt idx="37">
                  <c:v>2048</c:v>
                </c:pt>
                <c:pt idx="38">
                  <c:v>2049</c:v>
                </c:pt>
                <c:pt idx="39">
                  <c:v>2050</c:v>
                </c:pt>
              </c:numCache>
            </c:numRef>
          </c:cat>
          <c:val>
            <c:numRef>
              <c:f>'NW Baseline Energy by Use'!$B$13:$AO$13</c:f>
              <c:numCache>
                <c:formatCode>General</c:formatCode>
                <c:ptCount val="40"/>
                <c:pt idx="0">
                  <c:v>7789867.564067537</c:v>
                </c:pt>
                <c:pt idx="1">
                  <c:v>7802224.0223681219</c:v>
                </c:pt>
                <c:pt idx="2">
                  <c:v>7811930.9489164473</c:v>
                </c:pt>
                <c:pt idx="3">
                  <c:v>7818876.8589515984</c:v>
                </c:pt>
                <c:pt idx="4">
                  <c:v>7822946.856835329</c:v>
                </c:pt>
                <c:pt idx="5">
                  <c:v>7824022.4777995022</c:v>
                </c:pt>
                <c:pt idx="6">
                  <c:v>7821981.8569591176</c:v>
                </c:pt>
                <c:pt idx="7">
                  <c:v>7816699.2394024916</c:v>
                </c:pt>
                <c:pt idx="8">
                  <c:v>7808045.1417811746</c:v>
                </c:pt>
                <c:pt idx="9">
                  <c:v>7827220.27064736</c:v>
                </c:pt>
                <c:pt idx="10">
                  <c:v>7860247.093451581</c:v>
                </c:pt>
                <c:pt idx="11">
                  <c:v>7893020.9455171563</c:v>
                </c:pt>
                <c:pt idx="12">
                  <c:v>7925531.8190021887</c:v>
                </c:pt>
                <c:pt idx="13">
                  <c:v>7957769.7363049388</c:v>
                </c:pt>
                <c:pt idx="14">
                  <c:v>7989724.3029737873</c:v>
                </c:pt>
                <c:pt idx="15">
                  <c:v>8021384.9997692546</c:v>
                </c:pt>
                <c:pt idx="16">
                  <c:v>8052741.1059087692</c:v>
                </c:pt>
                <c:pt idx="17">
                  <c:v>8083781.6171330623</c:v>
                </c:pt>
                <c:pt idx="18">
                  <c:v>8114495.5564464442</c:v>
                </c:pt>
                <c:pt idx="19">
                  <c:v>8126469.9403944006</c:v>
                </c:pt>
                <c:pt idx="20">
                  <c:v>7764929.0663065808</c:v>
                </c:pt>
                <c:pt idx="21">
                  <c:v>7741385.9451200552</c:v>
                </c:pt>
                <c:pt idx="22">
                  <c:v>7720600.6076458255</c:v>
                </c:pt>
                <c:pt idx="23">
                  <c:v>7701945.9787136344</c:v>
                </c:pt>
                <c:pt idx="24">
                  <c:v>7684578.7634441173</c:v>
                </c:pt>
                <c:pt idx="25">
                  <c:v>7667402.9358132044</c:v>
                </c:pt>
                <c:pt idx="26">
                  <c:v>7649030.4800635632</c:v>
                </c:pt>
                <c:pt idx="27">
                  <c:v>7627736.8518926939</c:v>
                </c:pt>
                <c:pt idx="28">
                  <c:v>7601412.6286672959</c:v>
                </c:pt>
                <c:pt idx="29">
                  <c:v>7567509.8588895239</c:v>
                </c:pt>
                <c:pt idx="30">
                  <c:v>7327847.4928133087</c:v>
                </c:pt>
                <c:pt idx="31">
                  <c:v>7264074.8834938761</c:v>
                </c:pt>
                <c:pt idx="32">
                  <c:v>7198556.9679919332</c:v>
                </c:pt>
                <c:pt idx="33">
                  <c:v>7131267.6438659243</c:v>
                </c:pt>
                <c:pt idx="34">
                  <c:v>7062180.1155608995</c:v>
                </c:pt>
                <c:pt idx="35">
                  <c:v>6991267.6159958076</c:v>
                </c:pt>
                <c:pt idx="36">
                  <c:v>6918502.6706937524</c:v>
                </c:pt>
                <c:pt idx="37">
                  <c:v>6843857.8324217517</c:v>
                </c:pt>
                <c:pt idx="38">
                  <c:v>6767305.0272414414</c:v>
                </c:pt>
                <c:pt idx="39">
                  <c:v>6688815.8261228558</c:v>
                </c:pt>
              </c:numCache>
            </c:numRef>
          </c:val>
        </c:ser>
        <c:ser>
          <c:idx val="5"/>
          <c:order val="4"/>
          <c:tx>
            <c:strRef>
              <c:f>'NW Baseline Energy by Use'!$A$14</c:f>
              <c:strCache>
                <c:ptCount val="1"/>
                <c:pt idx="0">
                  <c:v>Space Heating - Commercial</c:v>
                </c:pt>
              </c:strCache>
            </c:strRef>
          </c:tx>
          <c:cat>
            <c:numRef>
              <c:f>'NW Baseline Energy by Use'!$B$2:$AO$2</c:f>
              <c:numCache>
                <c:formatCode>General</c:formatCode>
                <c:ptCount val="40"/>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pt idx="19">
                  <c:v>2030</c:v>
                </c:pt>
                <c:pt idx="20">
                  <c:v>2031</c:v>
                </c:pt>
                <c:pt idx="21">
                  <c:v>2032</c:v>
                </c:pt>
                <c:pt idx="22">
                  <c:v>2033</c:v>
                </c:pt>
                <c:pt idx="23">
                  <c:v>2034</c:v>
                </c:pt>
                <c:pt idx="24">
                  <c:v>2035</c:v>
                </c:pt>
                <c:pt idx="25">
                  <c:v>2036</c:v>
                </c:pt>
                <c:pt idx="26">
                  <c:v>2037</c:v>
                </c:pt>
                <c:pt idx="27">
                  <c:v>2038</c:v>
                </c:pt>
                <c:pt idx="28">
                  <c:v>2039</c:v>
                </c:pt>
                <c:pt idx="29">
                  <c:v>2040</c:v>
                </c:pt>
                <c:pt idx="30">
                  <c:v>2041</c:v>
                </c:pt>
                <c:pt idx="31">
                  <c:v>2042</c:v>
                </c:pt>
                <c:pt idx="32">
                  <c:v>2043</c:v>
                </c:pt>
                <c:pt idx="33">
                  <c:v>2044</c:v>
                </c:pt>
                <c:pt idx="34">
                  <c:v>2045</c:v>
                </c:pt>
                <c:pt idx="35">
                  <c:v>2046</c:v>
                </c:pt>
                <c:pt idx="36">
                  <c:v>2047</c:v>
                </c:pt>
                <c:pt idx="37">
                  <c:v>2048</c:v>
                </c:pt>
                <c:pt idx="38">
                  <c:v>2049</c:v>
                </c:pt>
                <c:pt idx="39">
                  <c:v>2050</c:v>
                </c:pt>
              </c:numCache>
            </c:numRef>
          </c:cat>
          <c:val>
            <c:numRef>
              <c:f>'NW Baseline Energy by Use'!$B$14:$AO$14</c:f>
              <c:numCache>
                <c:formatCode>General</c:formatCode>
                <c:ptCount val="40"/>
                <c:pt idx="0">
                  <c:v>3915970.210627438</c:v>
                </c:pt>
                <c:pt idx="1">
                  <c:v>3947689.3970011468</c:v>
                </c:pt>
                <c:pt idx="2">
                  <c:v>3979101.841930849</c:v>
                </c:pt>
                <c:pt idx="3">
                  <c:v>4010182.4679344292</c:v>
                </c:pt>
                <c:pt idx="4">
                  <c:v>4040905.2511140099</c:v>
                </c:pt>
                <c:pt idx="5">
                  <c:v>4071243.2555930591</c:v>
                </c:pt>
                <c:pt idx="6">
                  <c:v>4101168.6748850713</c:v>
                </c:pt>
                <c:pt idx="7">
                  <c:v>4130652.5363674792</c:v>
                </c:pt>
                <c:pt idx="8">
                  <c:v>4159665.0747942333</c:v>
                </c:pt>
                <c:pt idx="9">
                  <c:v>4205009.0143007999</c:v>
                </c:pt>
                <c:pt idx="10">
                  <c:v>4236219.6071711509</c:v>
                </c:pt>
                <c:pt idx="11">
                  <c:v>4267598.5720281387</c:v>
                </c:pt>
                <c:pt idx="12">
                  <c:v>4299145.8770781439</c:v>
                </c:pt>
                <c:pt idx="13">
                  <c:v>4330861.170617383</c:v>
                </c:pt>
                <c:pt idx="14">
                  <c:v>4362744.3725602608</c:v>
                </c:pt>
                <c:pt idx="15">
                  <c:v>4394795.0751031721</c:v>
                </c:pt>
                <c:pt idx="16">
                  <c:v>4427013.1476899805</c:v>
                </c:pt>
                <c:pt idx="17">
                  <c:v>4459398.1240490358</c:v>
                </c:pt>
                <c:pt idx="18">
                  <c:v>4491949.820901012</c:v>
                </c:pt>
                <c:pt idx="19">
                  <c:v>4514445.2112060003</c:v>
                </c:pt>
                <c:pt idx="20">
                  <c:v>4409812.3755957419</c:v>
                </c:pt>
                <c:pt idx="21">
                  <c:v>4420586.3483140599</c:v>
                </c:pt>
                <c:pt idx="22">
                  <c:v>4432496.0947524998</c:v>
                </c:pt>
                <c:pt idx="23">
                  <c:v>4445329.7997629233</c:v>
                </c:pt>
                <c:pt idx="24">
                  <c:v>4458801.9270506054</c:v>
                </c:pt>
                <c:pt idx="25">
                  <c:v>4472541.1755712042</c:v>
                </c:pt>
                <c:pt idx="26">
                  <c:v>4486076.2459659539</c:v>
                </c:pt>
                <c:pt idx="27">
                  <c:v>4498821.4552656207</c:v>
                </c:pt>
                <c:pt idx="28">
                  <c:v>4510059.7740292288</c:v>
                </c:pt>
                <c:pt idx="29">
                  <c:v>4518924.9906394146</c:v>
                </c:pt>
                <c:pt idx="30">
                  <c:v>4457865.2429147363</c:v>
                </c:pt>
                <c:pt idx="31">
                  <c:v>4456975.3830211544</c:v>
                </c:pt>
                <c:pt idx="32">
                  <c:v>4455707.1412816811</c:v>
                </c:pt>
                <c:pt idx="33">
                  <c:v>4454053.9495423501</c:v>
                </c:pt>
                <c:pt idx="34">
                  <c:v>4452008.8795449492</c:v>
                </c:pt>
                <c:pt idx="35">
                  <c:v>4449565.0004863888</c:v>
                </c:pt>
                <c:pt idx="36">
                  <c:v>4446715.1948845275</c:v>
                </c:pt>
                <c:pt idx="37">
                  <c:v>4443452.5308927046</c:v>
                </c:pt>
                <c:pt idx="38">
                  <c:v>4439769.7022842867</c:v>
                </c:pt>
                <c:pt idx="39">
                  <c:v>4435659.3990701716</c:v>
                </c:pt>
              </c:numCache>
            </c:numRef>
          </c:val>
        </c:ser>
        <c:ser>
          <c:idx val="6"/>
          <c:order val="5"/>
          <c:tx>
            <c:strRef>
              <c:f>'NW Baseline Energy by Use'!$A$15</c:f>
              <c:strCache>
                <c:ptCount val="1"/>
                <c:pt idx="0">
                  <c:v>Water Heating - Commercial</c:v>
                </c:pt>
              </c:strCache>
            </c:strRef>
          </c:tx>
          <c:cat>
            <c:numRef>
              <c:f>'NW Baseline Energy by Use'!$B$2:$AO$2</c:f>
              <c:numCache>
                <c:formatCode>General</c:formatCode>
                <c:ptCount val="40"/>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pt idx="19">
                  <c:v>2030</c:v>
                </c:pt>
                <c:pt idx="20">
                  <c:v>2031</c:v>
                </c:pt>
                <c:pt idx="21">
                  <c:v>2032</c:v>
                </c:pt>
                <c:pt idx="22">
                  <c:v>2033</c:v>
                </c:pt>
                <c:pt idx="23">
                  <c:v>2034</c:v>
                </c:pt>
                <c:pt idx="24">
                  <c:v>2035</c:v>
                </c:pt>
                <c:pt idx="25">
                  <c:v>2036</c:v>
                </c:pt>
                <c:pt idx="26">
                  <c:v>2037</c:v>
                </c:pt>
                <c:pt idx="27">
                  <c:v>2038</c:v>
                </c:pt>
                <c:pt idx="28">
                  <c:v>2039</c:v>
                </c:pt>
                <c:pt idx="29">
                  <c:v>2040</c:v>
                </c:pt>
                <c:pt idx="30">
                  <c:v>2041</c:v>
                </c:pt>
                <c:pt idx="31">
                  <c:v>2042</c:v>
                </c:pt>
                <c:pt idx="32">
                  <c:v>2043</c:v>
                </c:pt>
                <c:pt idx="33">
                  <c:v>2044</c:v>
                </c:pt>
                <c:pt idx="34">
                  <c:v>2045</c:v>
                </c:pt>
                <c:pt idx="35">
                  <c:v>2046</c:v>
                </c:pt>
                <c:pt idx="36">
                  <c:v>2047</c:v>
                </c:pt>
                <c:pt idx="37">
                  <c:v>2048</c:v>
                </c:pt>
                <c:pt idx="38">
                  <c:v>2049</c:v>
                </c:pt>
                <c:pt idx="39">
                  <c:v>2050</c:v>
                </c:pt>
              </c:numCache>
            </c:numRef>
          </c:cat>
          <c:val>
            <c:numRef>
              <c:f>'NW Baseline Energy by Use'!$B$15:$AO$15</c:f>
              <c:numCache>
                <c:formatCode>General</c:formatCode>
                <c:ptCount val="40"/>
                <c:pt idx="0">
                  <c:v>1370406.4787949231</c:v>
                </c:pt>
                <c:pt idx="1">
                  <c:v>1396918.1803642253</c:v>
                </c:pt>
                <c:pt idx="2">
                  <c:v>1423941.9386672839</c:v>
                </c:pt>
                <c:pt idx="3">
                  <c:v>1451487.7534755939</c:v>
                </c:pt>
                <c:pt idx="4">
                  <c:v>1479565.5652454831</c:v>
                </c:pt>
                <c:pt idx="5">
                  <c:v>1508185.7626721803</c:v>
                </c:pt>
                <c:pt idx="6">
                  <c:v>1537358.7398990202</c:v>
                </c:pt>
                <c:pt idx="7">
                  <c:v>1567095.0871010229</c:v>
                </c:pt>
                <c:pt idx="8">
                  <c:v>1597405.8048489315</c:v>
                </c:pt>
                <c:pt idx="9">
                  <c:v>1634846.5493942399</c:v>
                </c:pt>
                <c:pt idx="10">
                  <c:v>1650878.7137444564</c:v>
                </c:pt>
                <c:pt idx="11">
                  <c:v>1667064.4550130954</c:v>
                </c:pt>
                <c:pt idx="12">
                  <c:v>1683405.1969316725</c:v>
                </c:pt>
                <c:pt idx="13">
                  <c:v>1699902.4510605682</c:v>
                </c:pt>
                <c:pt idx="14">
                  <c:v>1716557.5166923865</c:v>
                </c:pt>
                <c:pt idx="15">
                  <c:v>1733371.9299871523</c:v>
                </c:pt>
                <c:pt idx="16">
                  <c:v>1750347.1655587906</c:v>
                </c:pt>
                <c:pt idx="17">
                  <c:v>1767484.7897229171</c:v>
                </c:pt>
                <c:pt idx="18">
                  <c:v>1784786.1466032176</c:v>
                </c:pt>
                <c:pt idx="19">
                  <c:v>1798181.0307215999</c:v>
                </c:pt>
                <c:pt idx="20">
                  <c:v>1815571.8529729359</c:v>
                </c:pt>
                <c:pt idx="21">
                  <c:v>1829522.2735632362</c:v>
                </c:pt>
                <c:pt idx="22">
                  <c:v>1843536.7306424105</c:v>
                </c:pt>
                <c:pt idx="23">
                  <c:v>1857622.4621851556</c:v>
                </c:pt>
                <c:pt idx="24">
                  <c:v>1871788.7291466852</c:v>
                </c:pt>
                <c:pt idx="25">
                  <c:v>1886047.7486085161</c:v>
                </c:pt>
                <c:pt idx="26">
                  <c:v>1900414.3919745467</c:v>
                </c:pt>
                <c:pt idx="27">
                  <c:v>1914907.416922336</c:v>
                </c:pt>
                <c:pt idx="28">
                  <c:v>1929549.2824588281</c:v>
                </c:pt>
                <c:pt idx="29">
                  <c:v>1944367.3553905252</c:v>
                </c:pt>
                <c:pt idx="30">
                  <c:v>1961433.639697639</c:v>
                </c:pt>
                <c:pt idx="31">
                  <c:v>1976759.5314293606</c:v>
                </c:pt>
                <c:pt idx="32">
                  <c:v>1992202.3453770666</c:v>
                </c:pt>
                <c:pt idx="33">
                  <c:v>2007762.9441325504</c:v>
                </c:pt>
                <c:pt idx="34">
                  <c:v>2023442.1963380456</c:v>
                </c:pt>
                <c:pt idx="35">
                  <c:v>2039240.9767252163</c:v>
                </c:pt>
                <c:pt idx="36">
                  <c:v>2055160.1661543562</c:v>
                </c:pt>
                <c:pt idx="37">
                  <c:v>2071200.6516537999</c:v>
                </c:pt>
                <c:pt idx="38">
                  <c:v>2087363.3264595477</c:v>
                </c:pt>
                <c:pt idx="39">
                  <c:v>2103649.0900551011</c:v>
                </c:pt>
              </c:numCache>
            </c:numRef>
          </c:val>
        </c:ser>
        <c:ser>
          <c:idx val="7"/>
          <c:order val="6"/>
          <c:tx>
            <c:strRef>
              <c:f>'NW Baseline Energy by Use'!$A$16</c:f>
              <c:strCache>
                <c:ptCount val="1"/>
                <c:pt idx="0">
                  <c:v>Other - Commercial</c:v>
                </c:pt>
              </c:strCache>
            </c:strRef>
          </c:tx>
          <c:cat>
            <c:numRef>
              <c:f>'NW Baseline Energy by Use'!$B$2:$AO$2</c:f>
              <c:numCache>
                <c:formatCode>General</c:formatCode>
                <c:ptCount val="40"/>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pt idx="19">
                  <c:v>2030</c:v>
                </c:pt>
                <c:pt idx="20">
                  <c:v>2031</c:v>
                </c:pt>
                <c:pt idx="21">
                  <c:v>2032</c:v>
                </c:pt>
                <c:pt idx="22">
                  <c:v>2033</c:v>
                </c:pt>
                <c:pt idx="23">
                  <c:v>2034</c:v>
                </c:pt>
                <c:pt idx="24">
                  <c:v>2035</c:v>
                </c:pt>
                <c:pt idx="25">
                  <c:v>2036</c:v>
                </c:pt>
                <c:pt idx="26">
                  <c:v>2037</c:v>
                </c:pt>
                <c:pt idx="27">
                  <c:v>2038</c:v>
                </c:pt>
                <c:pt idx="28">
                  <c:v>2039</c:v>
                </c:pt>
                <c:pt idx="29">
                  <c:v>2040</c:v>
                </c:pt>
                <c:pt idx="30">
                  <c:v>2041</c:v>
                </c:pt>
                <c:pt idx="31">
                  <c:v>2042</c:v>
                </c:pt>
                <c:pt idx="32">
                  <c:v>2043</c:v>
                </c:pt>
                <c:pt idx="33">
                  <c:v>2044</c:v>
                </c:pt>
                <c:pt idx="34">
                  <c:v>2045</c:v>
                </c:pt>
                <c:pt idx="35">
                  <c:v>2046</c:v>
                </c:pt>
                <c:pt idx="36">
                  <c:v>2047</c:v>
                </c:pt>
                <c:pt idx="37">
                  <c:v>2048</c:v>
                </c:pt>
                <c:pt idx="38">
                  <c:v>2049</c:v>
                </c:pt>
                <c:pt idx="39">
                  <c:v>2050</c:v>
                </c:pt>
              </c:numCache>
            </c:numRef>
          </c:cat>
          <c:val>
            <c:numRef>
              <c:f>'NW Baseline Energy by Use'!$B$16:$AO$16</c:f>
              <c:numCache>
                <c:formatCode>General</c:formatCode>
                <c:ptCount val="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numCache>
            </c:numRef>
          </c:val>
        </c:ser>
        <c:dLbls>
          <c:showLegendKey val="0"/>
          <c:showVal val="0"/>
          <c:showCatName val="0"/>
          <c:showSerName val="0"/>
          <c:showPercent val="0"/>
          <c:showBubbleSize val="0"/>
        </c:dLbls>
        <c:axId val="130271488"/>
        <c:axId val="130301952"/>
      </c:areaChart>
      <c:catAx>
        <c:axId val="130271488"/>
        <c:scaling>
          <c:orientation val="minMax"/>
        </c:scaling>
        <c:delete val="0"/>
        <c:axPos val="b"/>
        <c:numFmt formatCode="General" sourceLinked="1"/>
        <c:majorTickMark val="out"/>
        <c:minorTickMark val="none"/>
        <c:tickLblPos val="nextTo"/>
        <c:crossAx val="130301952"/>
        <c:crosses val="autoZero"/>
        <c:auto val="1"/>
        <c:lblAlgn val="ctr"/>
        <c:lblOffset val="100"/>
        <c:noMultiLvlLbl val="0"/>
      </c:catAx>
      <c:valAx>
        <c:axId val="130301952"/>
        <c:scaling>
          <c:orientation val="minMax"/>
          <c:max val="140000000"/>
        </c:scaling>
        <c:delete val="0"/>
        <c:axPos val="l"/>
        <c:majorGridlines/>
        <c:title>
          <c:tx>
            <c:rich>
              <a:bodyPr rot="-5400000" vert="horz"/>
              <a:lstStyle/>
              <a:p>
                <a:pPr>
                  <a:defRPr/>
                </a:pPr>
                <a:r>
                  <a:rPr lang="en-US"/>
                  <a:t>Total Consumption (MWh/yr)</a:t>
                </a:r>
              </a:p>
            </c:rich>
          </c:tx>
          <c:overlay val="0"/>
        </c:title>
        <c:numFmt formatCode="#,##0.00" sourceLinked="0"/>
        <c:majorTickMark val="out"/>
        <c:minorTickMark val="none"/>
        <c:tickLblPos val="nextTo"/>
        <c:crossAx val="130271488"/>
        <c:crosses val="autoZero"/>
        <c:crossBetween val="midCat"/>
      </c:valAx>
    </c:plotArea>
    <c:legend>
      <c:legendPos val="r"/>
      <c:layout>
        <c:manualLayout>
          <c:xMode val="edge"/>
          <c:yMode val="edge"/>
          <c:x val="1.9986001749781303E-2"/>
          <c:y val="0.70256211124294399"/>
          <c:w val="0.9633473315835519"/>
          <c:h val="0.29743788875705607"/>
        </c:manualLayout>
      </c:layout>
      <c:overlay val="0"/>
    </c:legend>
    <c:plotVisOnly val="1"/>
    <c:dispBlanksAs val="zero"/>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461373578302711"/>
          <c:y val="3.3952659587276363E-2"/>
          <c:w val="0.73780293088363957"/>
          <c:h val="0.58645524813985395"/>
        </c:manualLayout>
      </c:layout>
      <c:areaChart>
        <c:grouping val="stacked"/>
        <c:varyColors val="0"/>
        <c:ser>
          <c:idx val="1"/>
          <c:order val="0"/>
          <c:tx>
            <c:strRef>
              <c:f>'NW Baseline Energy by Use'!$A$17</c:f>
              <c:strCache>
                <c:ptCount val="1"/>
                <c:pt idx="0">
                  <c:v>Air Conditioning/Space Cooling - Industrial</c:v>
                </c:pt>
              </c:strCache>
            </c:strRef>
          </c:tx>
          <c:cat>
            <c:numRef>
              <c:f>'NW Baseline Energy by Use'!$B$2:$AO$2</c:f>
              <c:numCache>
                <c:formatCode>General</c:formatCode>
                <c:ptCount val="40"/>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pt idx="19">
                  <c:v>2030</c:v>
                </c:pt>
                <c:pt idx="20">
                  <c:v>2031</c:v>
                </c:pt>
                <c:pt idx="21">
                  <c:v>2032</c:v>
                </c:pt>
                <c:pt idx="22">
                  <c:v>2033</c:v>
                </c:pt>
                <c:pt idx="23">
                  <c:v>2034</c:v>
                </c:pt>
                <c:pt idx="24">
                  <c:v>2035</c:v>
                </c:pt>
                <c:pt idx="25">
                  <c:v>2036</c:v>
                </c:pt>
                <c:pt idx="26">
                  <c:v>2037</c:v>
                </c:pt>
                <c:pt idx="27">
                  <c:v>2038</c:v>
                </c:pt>
                <c:pt idx="28">
                  <c:v>2039</c:v>
                </c:pt>
                <c:pt idx="29">
                  <c:v>2040</c:v>
                </c:pt>
                <c:pt idx="30">
                  <c:v>2041</c:v>
                </c:pt>
                <c:pt idx="31">
                  <c:v>2042</c:v>
                </c:pt>
                <c:pt idx="32">
                  <c:v>2043</c:v>
                </c:pt>
                <c:pt idx="33">
                  <c:v>2044</c:v>
                </c:pt>
                <c:pt idx="34">
                  <c:v>2045</c:v>
                </c:pt>
                <c:pt idx="35">
                  <c:v>2046</c:v>
                </c:pt>
                <c:pt idx="36">
                  <c:v>2047</c:v>
                </c:pt>
                <c:pt idx="37">
                  <c:v>2048</c:v>
                </c:pt>
                <c:pt idx="38">
                  <c:v>2049</c:v>
                </c:pt>
                <c:pt idx="39">
                  <c:v>2050</c:v>
                </c:pt>
              </c:numCache>
            </c:numRef>
          </c:cat>
          <c:val>
            <c:numRef>
              <c:f>'NW Baseline Energy by Use'!$B$17:$AO$17</c:f>
              <c:numCache>
                <c:formatCode>General</c:formatCode>
                <c:ptCount val="40"/>
                <c:pt idx="0">
                  <c:v>1818449.282354383</c:v>
                </c:pt>
                <c:pt idx="1">
                  <c:v>1825408.5708291982</c:v>
                </c:pt>
                <c:pt idx="2">
                  <c:v>1832104.6721023906</c:v>
                </c:pt>
                <c:pt idx="3">
                  <c:v>1838526.9705766295</c:v>
                </c:pt>
                <c:pt idx="4">
                  <c:v>1844664.5684020468</c:v>
                </c:pt>
                <c:pt idx="5">
                  <c:v>1850506.2789259343</c:v>
                </c:pt>
                <c:pt idx="6">
                  <c:v>1856040.6199997554</c:v>
                </c:pt>
                <c:pt idx="7">
                  <c:v>1861255.8071404542</c:v>
                </c:pt>
                <c:pt idx="8">
                  <c:v>1866139.7465429923</c:v>
                </c:pt>
                <c:pt idx="9">
                  <c:v>1876381.8787047602</c:v>
                </c:pt>
                <c:pt idx="10">
                  <c:v>1905258.5110501563</c:v>
                </c:pt>
                <c:pt idx="11">
                  <c:v>1934504.8972658883</c:v>
                </c:pt>
                <c:pt idx="12">
                  <c:v>1964124.5488486772</c:v>
                </c:pt>
                <c:pt idx="13">
                  <c:v>1994120.982714765</c:v>
                </c:pt>
                <c:pt idx="14">
                  <c:v>2024497.7203008637</c:v>
                </c:pt>
                <c:pt idx="15">
                  <c:v>2055258.2866323241</c:v>
                </c:pt>
                <c:pt idx="16">
                  <c:v>2086406.2093576787</c:v>
                </c:pt>
                <c:pt idx="17">
                  <c:v>2117945.0177486469</c:v>
                </c:pt>
                <c:pt idx="18">
                  <c:v>2149878.2416647389</c:v>
                </c:pt>
                <c:pt idx="19">
                  <c:v>2177898.7543000802</c:v>
                </c:pt>
                <c:pt idx="20">
                  <c:v>2206284.4732587994</c:v>
                </c:pt>
                <c:pt idx="21">
                  <c:v>2235040.1584701794</c:v>
                </c:pt>
                <c:pt idx="22">
                  <c:v>2264170.6319022072</c:v>
                </c:pt>
                <c:pt idx="23">
                  <c:v>2293680.7783701573</c:v>
                </c:pt>
                <c:pt idx="24">
                  <c:v>2323575.5463557132</c:v>
                </c:pt>
                <c:pt idx="25">
                  <c:v>2353859.9488367653</c:v>
                </c:pt>
                <c:pt idx="26">
                  <c:v>2384539.0641280259</c:v>
                </c:pt>
                <c:pt idx="27">
                  <c:v>2415618.0367325987</c:v>
                </c:pt>
                <c:pt idx="28">
                  <c:v>2447102.0782046458</c:v>
                </c:pt>
                <c:pt idx="29">
                  <c:v>2478996.468023303</c:v>
                </c:pt>
                <c:pt idx="30">
                  <c:v>2511306.5544779785</c:v>
                </c:pt>
                <c:pt idx="31">
                  <c:v>2544037.7555651986</c:v>
                </c:pt>
                <c:pt idx="32">
                  <c:v>2577195.5598971322</c:v>
                </c:pt>
                <c:pt idx="33">
                  <c:v>2610785.5276219677</c:v>
                </c:pt>
                <c:pt idx="34">
                  <c:v>2644813.2913562758</c:v>
                </c:pt>
                <c:pt idx="35">
                  <c:v>2679284.5571295335</c:v>
                </c:pt>
                <c:pt idx="36">
                  <c:v>2714205.1053409474</c:v>
                </c:pt>
                <c:pt idx="37">
                  <c:v>2749580.7917287606</c:v>
                </c:pt>
                <c:pt idx="38">
                  <c:v>2785417.5483521824</c:v>
                </c:pt>
                <c:pt idx="39">
                  <c:v>2821721.384586121</c:v>
                </c:pt>
              </c:numCache>
            </c:numRef>
          </c:val>
        </c:ser>
        <c:ser>
          <c:idx val="2"/>
          <c:order val="1"/>
          <c:tx>
            <c:strRef>
              <c:f>'NW Baseline Energy by Use'!$A$18</c:f>
              <c:strCache>
                <c:ptCount val="1"/>
                <c:pt idx="0">
                  <c:v>Appliances &amp; Plug Loads - Industrial</c:v>
                </c:pt>
              </c:strCache>
            </c:strRef>
          </c:tx>
          <c:cat>
            <c:numRef>
              <c:f>'NW Baseline Energy by Use'!$B$2:$AO$2</c:f>
              <c:numCache>
                <c:formatCode>General</c:formatCode>
                <c:ptCount val="40"/>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pt idx="19">
                  <c:v>2030</c:v>
                </c:pt>
                <c:pt idx="20">
                  <c:v>2031</c:v>
                </c:pt>
                <c:pt idx="21">
                  <c:v>2032</c:v>
                </c:pt>
                <c:pt idx="22">
                  <c:v>2033</c:v>
                </c:pt>
                <c:pt idx="23">
                  <c:v>2034</c:v>
                </c:pt>
                <c:pt idx="24">
                  <c:v>2035</c:v>
                </c:pt>
                <c:pt idx="25">
                  <c:v>2036</c:v>
                </c:pt>
                <c:pt idx="26">
                  <c:v>2037</c:v>
                </c:pt>
                <c:pt idx="27">
                  <c:v>2038</c:v>
                </c:pt>
                <c:pt idx="28">
                  <c:v>2039</c:v>
                </c:pt>
                <c:pt idx="29">
                  <c:v>2040</c:v>
                </c:pt>
                <c:pt idx="30">
                  <c:v>2041</c:v>
                </c:pt>
                <c:pt idx="31">
                  <c:v>2042</c:v>
                </c:pt>
                <c:pt idx="32">
                  <c:v>2043</c:v>
                </c:pt>
                <c:pt idx="33">
                  <c:v>2044</c:v>
                </c:pt>
                <c:pt idx="34">
                  <c:v>2045</c:v>
                </c:pt>
                <c:pt idx="35">
                  <c:v>2046</c:v>
                </c:pt>
                <c:pt idx="36">
                  <c:v>2047</c:v>
                </c:pt>
                <c:pt idx="37">
                  <c:v>2048</c:v>
                </c:pt>
                <c:pt idx="38">
                  <c:v>2049</c:v>
                </c:pt>
                <c:pt idx="39">
                  <c:v>2050</c:v>
                </c:pt>
              </c:numCache>
            </c:numRef>
          </c:cat>
          <c:val>
            <c:numRef>
              <c:f>'NW Baseline Energy by Use'!$B$18:$AO$18</c:f>
              <c:numCache>
                <c:formatCode>General</c:formatCode>
                <c:ptCount val="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numCache>
            </c:numRef>
          </c:val>
        </c:ser>
        <c:ser>
          <c:idx val="3"/>
          <c:order val="2"/>
          <c:tx>
            <c:strRef>
              <c:f>'NW Baseline Energy by Use'!$A$19</c:f>
              <c:strCache>
                <c:ptCount val="1"/>
                <c:pt idx="0">
                  <c:v>Lighting - Industrial</c:v>
                </c:pt>
              </c:strCache>
            </c:strRef>
          </c:tx>
          <c:cat>
            <c:numRef>
              <c:f>'NW Baseline Energy by Use'!$B$2:$AO$2</c:f>
              <c:numCache>
                <c:formatCode>General</c:formatCode>
                <c:ptCount val="40"/>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pt idx="19">
                  <c:v>2030</c:v>
                </c:pt>
                <c:pt idx="20">
                  <c:v>2031</c:v>
                </c:pt>
                <c:pt idx="21">
                  <c:v>2032</c:v>
                </c:pt>
                <c:pt idx="22">
                  <c:v>2033</c:v>
                </c:pt>
                <c:pt idx="23">
                  <c:v>2034</c:v>
                </c:pt>
                <c:pt idx="24">
                  <c:v>2035</c:v>
                </c:pt>
                <c:pt idx="25">
                  <c:v>2036</c:v>
                </c:pt>
                <c:pt idx="26">
                  <c:v>2037</c:v>
                </c:pt>
                <c:pt idx="27">
                  <c:v>2038</c:v>
                </c:pt>
                <c:pt idx="28">
                  <c:v>2039</c:v>
                </c:pt>
                <c:pt idx="29">
                  <c:v>2040</c:v>
                </c:pt>
                <c:pt idx="30">
                  <c:v>2041</c:v>
                </c:pt>
                <c:pt idx="31">
                  <c:v>2042</c:v>
                </c:pt>
                <c:pt idx="32">
                  <c:v>2043</c:v>
                </c:pt>
                <c:pt idx="33">
                  <c:v>2044</c:v>
                </c:pt>
                <c:pt idx="34">
                  <c:v>2045</c:v>
                </c:pt>
                <c:pt idx="35">
                  <c:v>2046</c:v>
                </c:pt>
                <c:pt idx="36">
                  <c:v>2047</c:v>
                </c:pt>
                <c:pt idx="37">
                  <c:v>2048</c:v>
                </c:pt>
                <c:pt idx="38">
                  <c:v>2049</c:v>
                </c:pt>
                <c:pt idx="39">
                  <c:v>2050</c:v>
                </c:pt>
              </c:numCache>
            </c:numRef>
          </c:cat>
          <c:val>
            <c:numRef>
              <c:f>'NW Baseline Energy by Use'!$B$19:$AO$19</c:f>
              <c:numCache>
                <c:formatCode>General</c:formatCode>
                <c:ptCount val="40"/>
                <c:pt idx="0">
                  <c:v>2548311.8846815131</c:v>
                </c:pt>
                <c:pt idx="1">
                  <c:v>2558064.3906773566</c:v>
                </c:pt>
                <c:pt idx="2">
                  <c:v>2567448.0752382008</c:v>
                </c:pt>
                <c:pt idx="3">
                  <c:v>2576448.0620333706</c:v>
                </c:pt>
                <c:pt idx="4">
                  <c:v>2585049.0791932526</c:v>
                </c:pt>
                <c:pt idx="5">
                  <c:v>2593235.4501299327</c:v>
                </c:pt>
                <c:pt idx="6">
                  <c:v>2600991.0841578664</c:v>
                </c:pt>
                <c:pt idx="7">
                  <c:v>2608299.4669103804</c:v>
                </c:pt>
                <c:pt idx="8">
                  <c:v>2615143.6505476818</c:v>
                </c:pt>
                <c:pt idx="9">
                  <c:v>2629496.6200616402</c:v>
                </c:pt>
                <c:pt idx="10">
                  <c:v>2669963.3331613191</c:v>
                </c:pt>
                <c:pt idx="11">
                  <c:v>2710948.2065370786</c:v>
                </c:pt>
                <c:pt idx="12">
                  <c:v>2752456.1610788852</c:v>
                </c:pt>
                <c:pt idx="13">
                  <c:v>2794492.1252714335</c:v>
                </c:pt>
                <c:pt idx="14">
                  <c:v>2837061.0339342495</c:v>
                </c:pt>
                <c:pt idx="15">
                  <c:v>2880167.8269158527</c:v>
                </c:pt>
                <c:pt idx="16">
                  <c:v>2923817.4477407979</c:v>
                </c:pt>
                <c:pt idx="17">
                  <c:v>2968014.8422083193</c:v>
                </c:pt>
                <c:pt idx="18">
                  <c:v>3012764.9569413587</c:v>
                </c:pt>
                <c:pt idx="19">
                  <c:v>3052031.9335111207</c:v>
                </c:pt>
                <c:pt idx="20">
                  <c:v>3091810.697582054</c:v>
                </c:pt>
                <c:pt idx="21">
                  <c:v>3132107.9195543076</c:v>
                </c:pt>
                <c:pt idx="22">
                  <c:v>3172930.3567669219</c:v>
                </c:pt>
                <c:pt idx="23">
                  <c:v>3214284.8546309513</c:v>
                </c:pt>
                <c:pt idx="24">
                  <c:v>3256178.3477773503</c:v>
                </c:pt>
                <c:pt idx="25">
                  <c:v>3298617.861219828</c:v>
                </c:pt>
                <c:pt idx="26">
                  <c:v>3341610.5115328538</c:v>
                </c:pt>
                <c:pt idx="27">
                  <c:v>3385163.5080450154</c:v>
                </c:pt>
                <c:pt idx="28">
                  <c:v>3429284.1540479367</c:v>
                </c:pt>
                <c:pt idx="29">
                  <c:v>3473979.8480209457</c:v>
                </c:pt>
                <c:pt idx="30">
                  <c:v>3519258.0848717061</c:v>
                </c:pt>
                <c:pt idx="31">
                  <c:v>3565126.4571930235</c:v>
                </c:pt>
                <c:pt idx="32">
                  <c:v>3611592.6565360213</c:v>
                </c:pt>
                <c:pt idx="33">
                  <c:v>3658664.4746999252</c:v>
                </c:pt>
                <c:pt idx="34">
                  <c:v>3706349.8050386426</c:v>
                </c:pt>
                <c:pt idx="35">
                  <c:v>3754656.6437843861</c:v>
                </c:pt>
                <c:pt idx="36">
                  <c:v>3803593.0913885371</c:v>
                </c:pt>
                <c:pt idx="37">
                  <c:v>3853167.3538799901</c:v>
                </c:pt>
                <c:pt idx="38">
                  <c:v>3903387.7442412027</c:v>
                </c:pt>
                <c:pt idx="39">
                  <c:v>3954262.6838021777</c:v>
                </c:pt>
              </c:numCache>
            </c:numRef>
          </c:val>
        </c:ser>
        <c:ser>
          <c:idx val="4"/>
          <c:order val="3"/>
          <c:tx>
            <c:strRef>
              <c:f>'NW Baseline Energy by Use'!$A$20</c:f>
              <c:strCache>
                <c:ptCount val="1"/>
                <c:pt idx="0">
                  <c:v>Refrigeration, Motors &amp; Process Equipment - Industrial</c:v>
                </c:pt>
              </c:strCache>
            </c:strRef>
          </c:tx>
          <c:cat>
            <c:numRef>
              <c:f>'NW Baseline Energy by Use'!$B$2:$AO$2</c:f>
              <c:numCache>
                <c:formatCode>General</c:formatCode>
                <c:ptCount val="40"/>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pt idx="19">
                  <c:v>2030</c:v>
                </c:pt>
                <c:pt idx="20">
                  <c:v>2031</c:v>
                </c:pt>
                <c:pt idx="21">
                  <c:v>2032</c:v>
                </c:pt>
                <c:pt idx="22">
                  <c:v>2033</c:v>
                </c:pt>
                <c:pt idx="23">
                  <c:v>2034</c:v>
                </c:pt>
                <c:pt idx="24">
                  <c:v>2035</c:v>
                </c:pt>
                <c:pt idx="25">
                  <c:v>2036</c:v>
                </c:pt>
                <c:pt idx="26">
                  <c:v>2037</c:v>
                </c:pt>
                <c:pt idx="27">
                  <c:v>2038</c:v>
                </c:pt>
                <c:pt idx="28">
                  <c:v>2039</c:v>
                </c:pt>
                <c:pt idx="29">
                  <c:v>2040</c:v>
                </c:pt>
                <c:pt idx="30">
                  <c:v>2041</c:v>
                </c:pt>
                <c:pt idx="31">
                  <c:v>2042</c:v>
                </c:pt>
                <c:pt idx="32">
                  <c:v>2043</c:v>
                </c:pt>
                <c:pt idx="33">
                  <c:v>2044</c:v>
                </c:pt>
                <c:pt idx="34">
                  <c:v>2045</c:v>
                </c:pt>
                <c:pt idx="35">
                  <c:v>2046</c:v>
                </c:pt>
                <c:pt idx="36">
                  <c:v>2047</c:v>
                </c:pt>
                <c:pt idx="37">
                  <c:v>2048</c:v>
                </c:pt>
                <c:pt idx="38">
                  <c:v>2049</c:v>
                </c:pt>
                <c:pt idx="39">
                  <c:v>2050</c:v>
                </c:pt>
              </c:numCache>
            </c:numRef>
          </c:cat>
          <c:val>
            <c:numRef>
              <c:f>'NW Baseline Energy by Use'!$B$20:$AO$20</c:f>
              <c:numCache>
                <c:formatCode>General</c:formatCode>
                <c:ptCount val="40"/>
                <c:pt idx="0">
                  <c:v>21835361.019546222</c:v>
                </c:pt>
                <c:pt idx="1">
                  <c:v>21918925.943661131</c:v>
                </c:pt>
                <c:pt idx="2">
                  <c:v>21999330.599508502</c:v>
                </c:pt>
                <c:pt idx="3">
                  <c:v>22076447.518369567</c:v>
                </c:pt>
                <c:pt idx="4">
                  <c:v>22150145.842326809</c:v>
                </c:pt>
                <c:pt idx="5">
                  <c:v>22220291.245609995</c:v>
                </c:pt>
                <c:pt idx="6">
                  <c:v>22286745.854228899</c:v>
                </c:pt>
                <c:pt idx="7">
                  <c:v>22349368.16385648</c:v>
                </c:pt>
                <c:pt idx="8">
                  <c:v>22408012.955925655</c:v>
                </c:pt>
                <c:pt idx="9">
                  <c:v>22530997.223637842</c:v>
                </c:pt>
                <c:pt idx="10">
                  <c:v>22877738.646898251</c:v>
                </c:pt>
                <c:pt idx="11">
                  <c:v>23228919.95711372</c:v>
                </c:pt>
                <c:pt idx="12">
                  <c:v>23584583.3192208</c:v>
                </c:pt>
                <c:pt idx="13">
                  <c:v>23944770.963231936</c:v>
                </c:pt>
                <c:pt idx="14">
                  <c:v>24309525.173439939</c:v>
                </c:pt>
                <c:pt idx="15">
                  <c:v>24678888.277228855</c:v>
                </c:pt>
                <c:pt idx="16">
                  <c:v>25052902.633481052</c:v>
                </c:pt>
                <c:pt idx="17">
                  <c:v>25431610.620569624</c:v>
                </c:pt>
                <c:pt idx="18">
                  <c:v>25815054.623925656</c:v>
                </c:pt>
                <c:pt idx="19">
                  <c:v>26151516.033810724</c:v>
                </c:pt>
                <c:pt idx="20">
                  <c:v>26492362.725152329</c:v>
                </c:pt>
                <c:pt idx="21">
                  <c:v>26837651.853668448</c:v>
                </c:pt>
                <c:pt idx="22">
                  <c:v>27187441.32001809</c:v>
                </c:pt>
                <c:pt idx="23">
                  <c:v>27541789.779510513</c:v>
                </c:pt>
                <c:pt idx="24">
                  <c:v>27900756.651940983</c:v>
                </c:pt>
                <c:pt idx="25">
                  <c:v>28264402.131554715</c:v>
                </c:pt>
                <c:pt idx="26">
                  <c:v>28632787.197140727</c:v>
                </c:pt>
                <c:pt idx="27">
                  <c:v>29005973.622257192</c:v>
                </c:pt>
                <c:pt idx="28">
                  <c:v>29384023.985590085</c:v>
                </c:pt>
                <c:pt idx="29">
                  <c:v>29767001.68144688</c:v>
                </c:pt>
                <c:pt idx="30">
                  <c:v>30154970.930386923</c:v>
                </c:pt>
                <c:pt idx="31">
                  <c:v>30547996.789990488</c:v>
                </c:pt>
                <c:pt idx="32">
                  <c:v>30946145.165768035</c:v>
                </c:pt>
                <c:pt idx="33">
                  <c:v>31349482.822211813</c:v>
                </c:pt>
                <c:pt idx="34">
                  <c:v>31758077.393991377</c:v>
                </c:pt>
                <c:pt idx="35">
                  <c:v>32171997.39729511</c:v>
                </c:pt>
                <c:pt idx="36">
                  <c:v>32591312.241319504</c:v>
                </c:pt>
                <c:pt idx="37">
                  <c:v>33016092.239908222</c:v>
                </c:pt>
                <c:pt idx="38">
                  <c:v>33446408.623342846</c:v>
                </c:pt>
                <c:pt idx="39">
                  <c:v>33882333.550287306</c:v>
                </c:pt>
              </c:numCache>
            </c:numRef>
          </c:val>
        </c:ser>
        <c:ser>
          <c:idx val="5"/>
          <c:order val="4"/>
          <c:tx>
            <c:strRef>
              <c:f>'NW Baseline Energy by Use'!$A$21</c:f>
              <c:strCache>
                <c:ptCount val="1"/>
                <c:pt idx="0">
                  <c:v>Space Heating - Industrial</c:v>
                </c:pt>
              </c:strCache>
            </c:strRef>
          </c:tx>
          <c:cat>
            <c:numRef>
              <c:f>'NW Baseline Energy by Use'!$B$2:$AO$2</c:f>
              <c:numCache>
                <c:formatCode>General</c:formatCode>
                <c:ptCount val="40"/>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pt idx="19">
                  <c:v>2030</c:v>
                </c:pt>
                <c:pt idx="20">
                  <c:v>2031</c:v>
                </c:pt>
                <c:pt idx="21">
                  <c:v>2032</c:v>
                </c:pt>
                <c:pt idx="22">
                  <c:v>2033</c:v>
                </c:pt>
                <c:pt idx="23">
                  <c:v>2034</c:v>
                </c:pt>
                <c:pt idx="24">
                  <c:v>2035</c:v>
                </c:pt>
                <c:pt idx="25">
                  <c:v>2036</c:v>
                </c:pt>
                <c:pt idx="26">
                  <c:v>2037</c:v>
                </c:pt>
                <c:pt idx="27">
                  <c:v>2038</c:v>
                </c:pt>
                <c:pt idx="28">
                  <c:v>2039</c:v>
                </c:pt>
                <c:pt idx="29">
                  <c:v>2040</c:v>
                </c:pt>
                <c:pt idx="30">
                  <c:v>2041</c:v>
                </c:pt>
                <c:pt idx="31">
                  <c:v>2042</c:v>
                </c:pt>
                <c:pt idx="32">
                  <c:v>2043</c:v>
                </c:pt>
                <c:pt idx="33">
                  <c:v>2044</c:v>
                </c:pt>
                <c:pt idx="34">
                  <c:v>2045</c:v>
                </c:pt>
                <c:pt idx="35">
                  <c:v>2046</c:v>
                </c:pt>
                <c:pt idx="36">
                  <c:v>2047</c:v>
                </c:pt>
                <c:pt idx="37">
                  <c:v>2048</c:v>
                </c:pt>
                <c:pt idx="38">
                  <c:v>2049</c:v>
                </c:pt>
                <c:pt idx="39">
                  <c:v>2050</c:v>
                </c:pt>
              </c:numCache>
            </c:numRef>
          </c:cat>
          <c:val>
            <c:numRef>
              <c:f>'NW Baseline Energy by Use'!$B$21:$AO$21</c:f>
              <c:numCache>
                <c:formatCode>General</c:formatCode>
                <c:ptCount val="40"/>
                <c:pt idx="0">
                  <c:v>606149.77570091304</c:v>
                </c:pt>
                <c:pt idx="1">
                  <c:v>608469.53858293605</c:v>
                </c:pt>
                <c:pt idx="2">
                  <c:v>610701.5723955927</c:v>
                </c:pt>
                <c:pt idx="3">
                  <c:v>612842.33860635222</c:v>
                </c:pt>
                <c:pt idx="4">
                  <c:v>614888.20459850261</c:v>
                </c:pt>
                <c:pt idx="5">
                  <c:v>616835.44148771605</c:v>
                </c:pt>
                <c:pt idx="6">
                  <c:v>618680.22189105267</c:v>
                </c:pt>
                <c:pt idx="7">
                  <c:v>620418.61764739733</c:v>
                </c:pt>
                <c:pt idx="8">
                  <c:v>622046.59748830472</c:v>
                </c:pt>
                <c:pt idx="9">
                  <c:v>625460.64162623999</c:v>
                </c:pt>
                <c:pt idx="10">
                  <c:v>635086.18597823731</c:v>
                </c:pt>
                <c:pt idx="11">
                  <c:v>644834.9816233794</c:v>
                </c:pt>
                <c:pt idx="12">
                  <c:v>654708.19906060223</c:v>
                </c:pt>
                <c:pt idx="13">
                  <c:v>664707.01059534866</c:v>
                </c:pt>
                <c:pt idx="14">
                  <c:v>674832.5900398849</c:v>
                </c:pt>
                <c:pt idx="15">
                  <c:v>685086.11240269011</c:v>
                </c:pt>
                <c:pt idx="16">
                  <c:v>695468.7535666374</c:v>
                </c:pt>
                <c:pt idx="17">
                  <c:v>705981.68995566235</c:v>
                </c:pt>
                <c:pt idx="18">
                  <c:v>716626.09818963008</c:v>
                </c:pt>
                <c:pt idx="19">
                  <c:v>725966.26929792017</c:v>
                </c:pt>
                <c:pt idx="20">
                  <c:v>735428.17585033155</c:v>
                </c:pt>
                <c:pt idx="21">
                  <c:v>745013.40448999789</c:v>
                </c:pt>
                <c:pt idx="22">
                  <c:v>754723.56253962114</c:v>
                </c:pt>
                <c:pt idx="23">
                  <c:v>764560.27827099955</c:v>
                </c:pt>
                <c:pt idx="24">
                  <c:v>774525.20117806806</c:v>
                </c:pt>
                <c:pt idx="25">
                  <c:v>784620.00225349795</c:v>
                </c:pt>
                <c:pt idx="26">
                  <c:v>794846.37426890177</c:v>
                </c:pt>
                <c:pt idx="27">
                  <c:v>805206.03205868963</c:v>
                </c:pt>
                <c:pt idx="28">
                  <c:v>815700.71280762483</c:v>
                </c:pt>
                <c:pt idx="29">
                  <c:v>826332.17634212936</c:v>
                </c:pt>
                <c:pt idx="30">
                  <c:v>837102.20542538317</c:v>
                </c:pt>
                <c:pt idx="31">
                  <c:v>848012.60605627275</c:v>
                </c:pt>
                <c:pt idx="32">
                  <c:v>859065.20777223271</c:v>
                </c:pt>
                <c:pt idx="33">
                  <c:v>870261.86395603826</c:v>
                </c:pt>
                <c:pt idx="34">
                  <c:v>881604.45214659255</c:v>
                </c:pt>
                <c:pt idx="35">
                  <c:v>893094.87435376761</c:v>
                </c:pt>
                <c:pt idx="36">
                  <c:v>904735.05737734702</c:v>
                </c:pt>
                <c:pt idx="37">
                  <c:v>916526.95313012612</c:v>
                </c:pt>
                <c:pt idx="38">
                  <c:v>928472.53896522336</c:v>
                </c:pt>
                <c:pt idx="39">
                  <c:v>940573.81800765754</c:v>
                </c:pt>
              </c:numCache>
            </c:numRef>
          </c:val>
        </c:ser>
        <c:ser>
          <c:idx val="6"/>
          <c:order val="5"/>
          <c:tx>
            <c:strRef>
              <c:f>'NW Baseline Energy by Use'!$A$22</c:f>
              <c:strCache>
                <c:ptCount val="1"/>
                <c:pt idx="0">
                  <c:v>Water Heating - Industrial</c:v>
                </c:pt>
              </c:strCache>
            </c:strRef>
          </c:tx>
          <c:cat>
            <c:numRef>
              <c:f>'NW Baseline Energy by Use'!$B$2:$AO$2</c:f>
              <c:numCache>
                <c:formatCode>General</c:formatCode>
                <c:ptCount val="40"/>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pt idx="19">
                  <c:v>2030</c:v>
                </c:pt>
                <c:pt idx="20">
                  <c:v>2031</c:v>
                </c:pt>
                <c:pt idx="21">
                  <c:v>2032</c:v>
                </c:pt>
                <c:pt idx="22">
                  <c:v>2033</c:v>
                </c:pt>
                <c:pt idx="23">
                  <c:v>2034</c:v>
                </c:pt>
                <c:pt idx="24">
                  <c:v>2035</c:v>
                </c:pt>
                <c:pt idx="25">
                  <c:v>2036</c:v>
                </c:pt>
                <c:pt idx="26">
                  <c:v>2037</c:v>
                </c:pt>
                <c:pt idx="27">
                  <c:v>2038</c:v>
                </c:pt>
                <c:pt idx="28">
                  <c:v>2039</c:v>
                </c:pt>
                <c:pt idx="29">
                  <c:v>2040</c:v>
                </c:pt>
                <c:pt idx="30">
                  <c:v>2041</c:v>
                </c:pt>
                <c:pt idx="31">
                  <c:v>2042</c:v>
                </c:pt>
                <c:pt idx="32">
                  <c:v>2043</c:v>
                </c:pt>
                <c:pt idx="33">
                  <c:v>2044</c:v>
                </c:pt>
                <c:pt idx="34">
                  <c:v>2045</c:v>
                </c:pt>
                <c:pt idx="35">
                  <c:v>2046</c:v>
                </c:pt>
                <c:pt idx="36">
                  <c:v>2047</c:v>
                </c:pt>
                <c:pt idx="37">
                  <c:v>2048</c:v>
                </c:pt>
                <c:pt idx="38">
                  <c:v>2049</c:v>
                </c:pt>
                <c:pt idx="39">
                  <c:v>2050</c:v>
                </c:pt>
              </c:numCache>
            </c:numRef>
          </c:cat>
          <c:val>
            <c:numRef>
              <c:f>'NW Baseline Energy by Use'!$B$22:$AO$22</c:f>
              <c:numCache>
                <c:formatCode>General</c:formatCode>
                <c:ptCount val="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numCache>
            </c:numRef>
          </c:val>
        </c:ser>
        <c:ser>
          <c:idx val="7"/>
          <c:order val="6"/>
          <c:tx>
            <c:strRef>
              <c:f>'NW Baseline Energy by Use'!$A$23</c:f>
              <c:strCache>
                <c:ptCount val="1"/>
                <c:pt idx="0">
                  <c:v>Irrigation - Industrial</c:v>
                </c:pt>
              </c:strCache>
            </c:strRef>
          </c:tx>
          <c:cat>
            <c:numRef>
              <c:f>'NW Baseline Energy by Use'!$B$2:$AO$2</c:f>
              <c:numCache>
                <c:formatCode>General</c:formatCode>
                <c:ptCount val="40"/>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pt idx="19">
                  <c:v>2030</c:v>
                </c:pt>
                <c:pt idx="20">
                  <c:v>2031</c:v>
                </c:pt>
                <c:pt idx="21">
                  <c:v>2032</c:v>
                </c:pt>
                <c:pt idx="22">
                  <c:v>2033</c:v>
                </c:pt>
                <c:pt idx="23">
                  <c:v>2034</c:v>
                </c:pt>
                <c:pt idx="24">
                  <c:v>2035</c:v>
                </c:pt>
                <c:pt idx="25">
                  <c:v>2036</c:v>
                </c:pt>
                <c:pt idx="26">
                  <c:v>2037</c:v>
                </c:pt>
                <c:pt idx="27">
                  <c:v>2038</c:v>
                </c:pt>
                <c:pt idx="28">
                  <c:v>2039</c:v>
                </c:pt>
                <c:pt idx="29">
                  <c:v>2040</c:v>
                </c:pt>
                <c:pt idx="30">
                  <c:v>2041</c:v>
                </c:pt>
                <c:pt idx="31">
                  <c:v>2042</c:v>
                </c:pt>
                <c:pt idx="32">
                  <c:v>2043</c:v>
                </c:pt>
                <c:pt idx="33">
                  <c:v>2044</c:v>
                </c:pt>
                <c:pt idx="34">
                  <c:v>2045</c:v>
                </c:pt>
                <c:pt idx="35">
                  <c:v>2046</c:v>
                </c:pt>
                <c:pt idx="36">
                  <c:v>2047</c:v>
                </c:pt>
                <c:pt idx="37">
                  <c:v>2048</c:v>
                </c:pt>
                <c:pt idx="38">
                  <c:v>2049</c:v>
                </c:pt>
                <c:pt idx="39">
                  <c:v>2050</c:v>
                </c:pt>
              </c:numCache>
            </c:numRef>
          </c:cat>
          <c:val>
            <c:numRef>
              <c:f>'NW Baseline Energy by Use'!$B$23:$AO$23</c:f>
              <c:numCache>
                <c:formatCode>General</c:formatCode>
                <c:ptCount val="40"/>
                <c:pt idx="0">
                  <c:v>6791946.6522974465</c:v>
                </c:pt>
                <c:pt idx="1">
                  <c:v>6817939.7424086519</c:v>
                </c:pt>
                <c:pt idx="2">
                  <c:v>6842949.8227376565</c:v>
                </c:pt>
                <c:pt idx="3">
                  <c:v>6866937.2438031957</c:v>
                </c:pt>
                <c:pt idx="4">
                  <c:v>6889861.3019047873</c:v>
                </c:pt>
                <c:pt idx="5">
                  <c:v>6911680.2146572173</c:v>
                </c:pt>
                <c:pt idx="6">
                  <c:v>6932351.095992079</c:v>
                </c:pt>
                <c:pt idx="7">
                  <c:v>6951829.9306151224</c:v>
                </c:pt>
                <c:pt idx="8">
                  <c:v>6970071.5479079317</c:v>
                </c:pt>
                <c:pt idx="9">
                  <c:v>7008326.1288432004</c:v>
                </c:pt>
                <c:pt idx="10">
                  <c:v>7116180.9633393306</c:v>
                </c:pt>
                <c:pt idx="11">
                  <c:v>7225416.8363863677</c:v>
                </c:pt>
                <c:pt idx="12">
                  <c:v>7336046.8634990696</c:v>
                </c:pt>
                <c:pt idx="13">
                  <c:v>7448084.1804342214</c:v>
                </c:pt>
                <c:pt idx="14">
                  <c:v>7561541.9398326566</c:v>
                </c:pt>
                <c:pt idx="15">
                  <c:v>7676433.3077388527</c:v>
                </c:pt>
                <c:pt idx="16">
                  <c:v>7792771.4599949261</c:v>
                </c:pt>
                <c:pt idx="17">
                  <c:v>7910569.5785056315</c:v>
                </c:pt>
                <c:pt idx="18">
                  <c:v>8029840.8473711303</c:v>
                </c:pt>
                <c:pt idx="19">
                  <c:v>8134498.0565856015</c:v>
                </c:pt>
                <c:pt idx="20">
                  <c:v>8240519.3191666035</c:v>
                </c:pt>
                <c:pt idx="21">
                  <c:v>8347922.4135510027</c:v>
                </c:pt>
                <c:pt idx="22">
                  <c:v>8456725.3498915415</c:v>
                </c:pt>
                <c:pt idx="23">
                  <c:v>8566946.373076912</c:v>
                </c:pt>
                <c:pt idx="24">
                  <c:v>8678603.9657911938</c:v>
                </c:pt>
                <c:pt idx="25">
                  <c:v>8791716.8516131714</c:v>
                </c:pt>
                <c:pt idx="26">
                  <c:v>8906303.9981560446</c:v>
                </c:pt>
                <c:pt idx="27">
                  <c:v>9022384.6202480569</c:v>
                </c:pt>
                <c:pt idx="28">
                  <c:v>9139978.183154583</c:v>
                </c:pt>
                <c:pt idx="29">
                  <c:v>9259104.4058422074</c:v>
                </c:pt>
                <c:pt idx="30">
                  <c:v>9379783.2642853465</c:v>
                </c:pt>
                <c:pt idx="31">
                  <c:v>9502034.9948159847</c:v>
                </c:pt>
                <c:pt idx="32">
                  <c:v>9625880.0975170247</c:v>
                </c:pt>
                <c:pt idx="33">
                  <c:v>9751339.3396599218</c:v>
                </c:pt>
                <c:pt idx="34">
                  <c:v>9878433.7591870762</c:v>
                </c:pt>
                <c:pt idx="35">
                  <c:v>10007184.668239653</c:v>
                </c:pt>
                <c:pt idx="36">
                  <c:v>10137613.656731334</c:v>
                </c:pt>
                <c:pt idx="37">
                  <c:v>10269742.595968699</c:v>
                </c:pt>
                <c:pt idx="38">
                  <c:v>10403593.642318757</c:v>
                </c:pt>
                <c:pt idx="39">
                  <c:v>10539189.240924297</c:v>
                </c:pt>
              </c:numCache>
            </c:numRef>
          </c:val>
        </c:ser>
        <c:dLbls>
          <c:showLegendKey val="0"/>
          <c:showVal val="0"/>
          <c:showCatName val="0"/>
          <c:showSerName val="0"/>
          <c:showPercent val="0"/>
          <c:showBubbleSize val="0"/>
        </c:dLbls>
        <c:axId val="130339968"/>
        <c:axId val="130341504"/>
      </c:areaChart>
      <c:catAx>
        <c:axId val="130339968"/>
        <c:scaling>
          <c:orientation val="minMax"/>
        </c:scaling>
        <c:delete val="0"/>
        <c:axPos val="b"/>
        <c:numFmt formatCode="General" sourceLinked="1"/>
        <c:majorTickMark val="out"/>
        <c:minorTickMark val="none"/>
        <c:tickLblPos val="nextTo"/>
        <c:crossAx val="130341504"/>
        <c:crosses val="autoZero"/>
        <c:auto val="1"/>
        <c:lblAlgn val="ctr"/>
        <c:lblOffset val="100"/>
        <c:noMultiLvlLbl val="0"/>
      </c:catAx>
      <c:valAx>
        <c:axId val="130341504"/>
        <c:scaling>
          <c:orientation val="minMax"/>
          <c:max val="140000000"/>
        </c:scaling>
        <c:delete val="0"/>
        <c:axPos val="l"/>
        <c:majorGridlines/>
        <c:title>
          <c:tx>
            <c:rich>
              <a:bodyPr rot="-5400000" vert="horz"/>
              <a:lstStyle/>
              <a:p>
                <a:pPr>
                  <a:defRPr/>
                </a:pPr>
                <a:r>
                  <a:rPr lang="en-US"/>
                  <a:t>Total Consumption (MWh/yr)</a:t>
                </a:r>
              </a:p>
            </c:rich>
          </c:tx>
          <c:overlay val="0"/>
        </c:title>
        <c:numFmt formatCode="#,##0.00" sourceLinked="0"/>
        <c:majorTickMark val="out"/>
        <c:minorTickMark val="none"/>
        <c:tickLblPos val="nextTo"/>
        <c:crossAx val="130339968"/>
        <c:crosses val="autoZero"/>
        <c:crossBetween val="midCat"/>
      </c:valAx>
    </c:plotArea>
    <c:legend>
      <c:legendPos val="r"/>
      <c:layout>
        <c:manualLayout>
          <c:xMode val="edge"/>
          <c:yMode val="edge"/>
          <c:x val="1.8527777777777744E-2"/>
          <c:y val="0.70743191504731628"/>
          <c:w val="0.96480555555555558"/>
          <c:h val="0.28395554913433985"/>
        </c:manualLayout>
      </c:layout>
      <c:overlay val="0"/>
    </c:legend>
    <c:plotVisOnly val="1"/>
    <c:dispBlanksAs val="zero"/>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133350</xdr:colOff>
      <xdr:row>24</xdr:row>
      <xdr:rowOff>180975</xdr:rowOff>
    </xdr:from>
    <xdr:to>
      <xdr:col>2</xdr:col>
      <xdr:colOff>581025</xdr:colOff>
      <xdr:row>46</xdr:row>
      <xdr:rowOff>161925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xdr:colOff>
      <xdr:row>24</xdr:row>
      <xdr:rowOff>180975</xdr:rowOff>
    </xdr:from>
    <xdr:to>
      <xdr:col>10</xdr:col>
      <xdr:colOff>314325</xdr:colOff>
      <xdr:row>46</xdr:row>
      <xdr:rowOff>161925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352425</xdr:colOff>
      <xdr:row>25</xdr:row>
      <xdr:rowOff>0</xdr:rowOff>
    </xdr:from>
    <xdr:to>
      <xdr:col>18</xdr:col>
      <xdr:colOff>47625</xdr:colOff>
      <xdr:row>46</xdr:row>
      <xdr:rowOff>152400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sheetPr>
  <dimension ref="A1:AR32"/>
  <sheetViews>
    <sheetView zoomScale="70" zoomScaleNormal="70" workbookViewId="0">
      <pane xSplit="3" ySplit="2" topLeftCell="AA7" activePane="bottomRight" state="frozen"/>
      <selection pane="topRight" activeCell="D1" sqref="D1"/>
      <selection pane="bottomLeft" activeCell="A2" sqref="A2"/>
      <selection pane="bottomRight" activeCell="C14" sqref="C14"/>
    </sheetView>
  </sheetViews>
  <sheetFormatPr defaultRowHeight="14.4" outlineLevelCol="1"/>
  <cols>
    <col min="2" max="2" width="25.44140625" customWidth="1"/>
    <col min="3" max="3" width="39.109375" customWidth="1"/>
    <col min="4" max="4" width="32.44140625" style="40" customWidth="1" outlineLevel="1"/>
    <col min="5" max="5" width="32.44140625" style="40" customWidth="1"/>
    <col min="6" max="6" width="32.44140625" style="40" customWidth="1" outlineLevel="1"/>
    <col min="7" max="7" width="20.44140625" style="6" customWidth="1"/>
    <col min="8" max="8" width="20.44140625" style="6" customWidth="1" outlineLevel="1"/>
    <col min="9" max="9" width="38.109375" style="6" customWidth="1"/>
    <col min="10" max="10" width="27.109375" style="6" customWidth="1" outlineLevel="1"/>
    <col min="11" max="11" width="20" customWidth="1"/>
    <col min="12" max="12" width="20" customWidth="1" outlineLevel="1"/>
    <col min="13" max="13" width="22.6640625" style="6" customWidth="1"/>
    <col min="14" max="14" width="22.6640625" style="6" customWidth="1" outlineLevel="1"/>
    <col min="15" max="15" width="14.33203125" style="6" customWidth="1"/>
    <col min="16" max="16" width="14.33203125" style="6" customWidth="1" outlineLevel="1"/>
    <col min="17" max="17" width="28.44140625" style="6" bestFit="1" customWidth="1"/>
    <col min="18" max="18" width="28.44140625" style="6" customWidth="1" outlineLevel="1"/>
    <col min="19" max="19" width="37" customWidth="1"/>
    <col min="20" max="20" width="22.5546875" customWidth="1" outlineLevel="1"/>
    <col min="21" max="21" width="14.5546875" style="7" customWidth="1"/>
    <col min="22" max="22" width="14" style="7" customWidth="1" outlineLevel="1"/>
    <col min="23" max="23" width="50.88671875" customWidth="1"/>
    <col min="24" max="24" width="18.5546875" customWidth="1" outlineLevel="1"/>
    <col min="25" max="25" width="18.5546875" style="7" customWidth="1"/>
    <col min="26" max="26" width="18.5546875" customWidth="1" outlineLevel="1"/>
    <col min="27" max="27" width="22.5546875" bestFit="1" customWidth="1"/>
    <col min="28" max="28" width="22.5546875" customWidth="1" outlineLevel="1"/>
    <col min="29" max="29" width="9.5546875" style="6" customWidth="1"/>
    <col min="30" max="30" width="9.5546875" style="6" customWidth="1" outlineLevel="1"/>
    <col min="31" max="31" width="20.33203125" customWidth="1"/>
    <col min="32" max="32" width="20.33203125" customWidth="1" outlineLevel="1"/>
    <col min="33" max="33" width="20.33203125" style="35" customWidth="1"/>
    <col min="34" max="34" width="20.33203125" style="35" customWidth="1" outlineLevel="1"/>
    <col min="35" max="35" width="23.5546875" style="6" customWidth="1"/>
    <col min="36" max="36" width="16.5546875" style="6" customWidth="1" outlineLevel="1"/>
    <col min="37" max="37" width="15.88671875" style="6" bestFit="1" customWidth="1"/>
    <col min="38" max="38" width="15.6640625" customWidth="1" outlineLevel="1"/>
    <col min="39" max="39" width="18.5546875" customWidth="1"/>
    <col min="40" max="40" width="16" customWidth="1" outlineLevel="1"/>
    <col min="41" max="41" width="23" style="40" customWidth="1"/>
    <col min="42" max="42" width="16" style="40" customWidth="1" outlineLevel="1"/>
    <col min="43" max="43" width="19.6640625" customWidth="1"/>
    <col min="44" max="44" width="9.109375" outlineLevel="1"/>
  </cols>
  <sheetData>
    <row r="1" spans="1:43" s="40" customFormat="1">
      <c r="G1" s="6"/>
      <c r="H1" s="6"/>
      <c r="I1" s="6"/>
      <c r="J1" s="6"/>
      <c r="M1" s="6"/>
      <c r="N1" s="6"/>
      <c r="O1" s="6"/>
      <c r="P1" s="6"/>
      <c r="Q1" s="6"/>
      <c r="R1" s="6"/>
      <c r="U1" s="7"/>
      <c r="V1" s="7"/>
      <c r="Y1" s="7"/>
      <c r="AC1" s="6"/>
      <c r="AD1" s="6"/>
      <c r="AI1" s="6"/>
      <c r="AJ1" s="6"/>
      <c r="AK1" s="6"/>
    </row>
    <row r="2" spans="1:43" s="5" customFormat="1" ht="63.75" customHeight="1">
      <c r="A2" s="41" t="s">
        <v>10</v>
      </c>
      <c r="B2" s="41" t="s">
        <v>11</v>
      </c>
      <c r="C2" s="374" t="s">
        <v>12</v>
      </c>
      <c r="D2" s="375"/>
      <c r="E2" s="374" t="s">
        <v>167</v>
      </c>
      <c r="F2" s="375"/>
      <c r="G2" s="378" t="s">
        <v>13</v>
      </c>
      <c r="H2" s="378"/>
      <c r="I2" s="376" t="s">
        <v>170</v>
      </c>
      <c r="J2" s="377"/>
      <c r="K2" s="369" t="s">
        <v>14</v>
      </c>
      <c r="L2" s="369"/>
      <c r="M2" s="394" t="s">
        <v>38</v>
      </c>
      <c r="N2" s="394"/>
      <c r="O2" s="394" t="s">
        <v>31</v>
      </c>
      <c r="P2" s="394"/>
      <c r="Q2" s="378" t="s">
        <v>39</v>
      </c>
      <c r="R2" s="378"/>
      <c r="S2" s="369" t="s">
        <v>35</v>
      </c>
      <c r="T2" s="369"/>
      <c r="U2" s="370" t="s">
        <v>15</v>
      </c>
      <c r="V2" s="370"/>
      <c r="W2" s="369" t="s">
        <v>51</v>
      </c>
      <c r="X2" s="369"/>
      <c r="Y2" s="369" t="s">
        <v>34</v>
      </c>
      <c r="Z2" s="369"/>
      <c r="AA2" s="369" t="s">
        <v>100</v>
      </c>
      <c r="AB2" s="369"/>
      <c r="AC2" s="378" t="s">
        <v>16</v>
      </c>
      <c r="AD2" s="378"/>
      <c r="AE2" s="369" t="s">
        <v>36</v>
      </c>
      <c r="AF2" s="369"/>
      <c r="AG2" s="374" t="s">
        <v>91</v>
      </c>
      <c r="AH2" s="375"/>
      <c r="AI2" s="378" t="s">
        <v>17</v>
      </c>
      <c r="AJ2" s="378"/>
      <c r="AK2" s="378" t="s">
        <v>18</v>
      </c>
      <c r="AL2" s="376"/>
      <c r="AM2" s="41" t="s">
        <v>111</v>
      </c>
      <c r="AN2" s="41"/>
      <c r="AO2" s="41" t="s">
        <v>172</v>
      </c>
      <c r="AP2" s="41"/>
      <c r="AQ2" s="41" t="s">
        <v>136</v>
      </c>
    </row>
    <row r="3" spans="1:43" s="28" customFormat="1" ht="102" customHeight="1">
      <c r="A3" s="371" t="s">
        <v>82</v>
      </c>
      <c r="B3" s="371" t="s">
        <v>81</v>
      </c>
      <c r="C3" s="23" t="s">
        <v>84</v>
      </c>
      <c r="D3" s="23"/>
      <c r="E3" s="23"/>
      <c r="F3" s="23"/>
      <c r="G3" s="29" t="s">
        <v>9</v>
      </c>
      <c r="H3" s="24"/>
      <c r="I3" s="29" t="s">
        <v>9</v>
      </c>
      <c r="J3" s="29" t="s">
        <v>9</v>
      </c>
      <c r="K3" s="25" t="s">
        <v>9</v>
      </c>
      <c r="L3" s="25"/>
      <c r="M3" s="29" t="s">
        <v>9</v>
      </c>
      <c r="N3" s="24"/>
      <c r="O3" s="29" t="s">
        <v>9</v>
      </c>
      <c r="P3" s="24"/>
      <c r="Q3" s="30" t="s">
        <v>9</v>
      </c>
      <c r="R3" s="26"/>
      <c r="S3" s="1" t="s">
        <v>104</v>
      </c>
      <c r="T3" s="1" t="s">
        <v>90</v>
      </c>
      <c r="U3" s="38" t="s">
        <v>9</v>
      </c>
      <c r="V3" s="27"/>
      <c r="W3" s="1" t="s">
        <v>103</v>
      </c>
      <c r="X3" s="34" t="s">
        <v>89</v>
      </c>
      <c r="Y3" s="36" t="s">
        <v>9</v>
      </c>
      <c r="Z3" s="36"/>
      <c r="AA3" s="36" t="s">
        <v>9</v>
      </c>
      <c r="AB3" s="36"/>
      <c r="AC3" s="37" t="s">
        <v>9</v>
      </c>
      <c r="AD3" s="26"/>
      <c r="AE3" s="1" t="s">
        <v>9</v>
      </c>
      <c r="AF3" s="1"/>
      <c r="AG3" s="1" t="s">
        <v>9</v>
      </c>
      <c r="AH3" s="1" t="s">
        <v>92</v>
      </c>
      <c r="AI3" s="30" t="s">
        <v>102</v>
      </c>
      <c r="AJ3" s="32" t="s">
        <v>88</v>
      </c>
      <c r="AK3" s="33" t="s">
        <v>9</v>
      </c>
      <c r="AL3" s="31"/>
      <c r="AM3" s="42"/>
      <c r="AN3" s="42"/>
      <c r="AO3" s="42"/>
      <c r="AP3" s="42"/>
      <c r="AQ3" s="42"/>
    </row>
    <row r="4" spans="1:43" s="28" customFormat="1" ht="138" customHeight="1">
      <c r="A4" s="372"/>
      <c r="B4" s="372"/>
      <c r="C4" s="23" t="s">
        <v>85</v>
      </c>
      <c r="D4" s="23"/>
      <c r="E4" s="23"/>
      <c r="F4" s="23"/>
      <c r="G4" s="29" t="s">
        <v>9</v>
      </c>
      <c r="H4" s="24"/>
      <c r="I4" s="29" t="s">
        <v>9</v>
      </c>
      <c r="J4" s="29" t="s">
        <v>9</v>
      </c>
      <c r="K4" s="25" t="s">
        <v>9</v>
      </c>
      <c r="L4" s="25"/>
      <c r="M4" s="29" t="s">
        <v>9</v>
      </c>
      <c r="N4" s="24"/>
      <c r="O4" s="29" t="s">
        <v>9</v>
      </c>
      <c r="P4" s="24"/>
      <c r="Q4" s="30" t="s">
        <v>9</v>
      </c>
      <c r="R4" s="26"/>
      <c r="S4" s="1" t="s">
        <v>98</v>
      </c>
      <c r="T4" s="1"/>
      <c r="U4" s="38" t="s">
        <v>9</v>
      </c>
      <c r="V4" s="27"/>
      <c r="W4" s="1" t="s">
        <v>96</v>
      </c>
      <c r="X4" s="1" t="s">
        <v>97</v>
      </c>
      <c r="Y4" s="1" t="s">
        <v>9</v>
      </c>
      <c r="Z4" s="1"/>
      <c r="AA4" s="1" t="s">
        <v>9</v>
      </c>
      <c r="AB4" s="1"/>
      <c r="AC4" s="30" t="s">
        <v>9</v>
      </c>
      <c r="AD4" s="26"/>
      <c r="AE4" s="1" t="s">
        <v>9</v>
      </c>
      <c r="AF4" s="1"/>
      <c r="AG4" s="1" t="s">
        <v>95</v>
      </c>
      <c r="AH4" s="1"/>
      <c r="AI4" s="1" t="s">
        <v>94</v>
      </c>
      <c r="AJ4" s="30" t="s">
        <v>93</v>
      </c>
      <c r="AK4" s="30" t="s">
        <v>9</v>
      </c>
      <c r="AL4" s="32"/>
      <c r="AM4" s="42"/>
      <c r="AN4" s="42"/>
      <c r="AO4" s="42"/>
      <c r="AP4" s="42"/>
      <c r="AQ4" s="42"/>
    </row>
    <row r="5" spans="1:43" s="28" customFormat="1" ht="85.5" customHeight="1">
      <c r="A5" s="372"/>
      <c r="B5" s="372"/>
      <c r="C5" s="23" t="s">
        <v>0</v>
      </c>
      <c r="D5" s="23"/>
      <c r="E5" s="23"/>
      <c r="F5" s="23"/>
      <c r="G5" s="29" t="s">
        <v>9</v>
      </c>
      <c r="H5" s="24"/>
      <c r="I5" s="29" t="s">
        <v>9</v>
      </c>
      <c r="J5" s="29" t="s">
        <v>9</v>
      </c>
      <c r="K5" s="25" t="s">
        <v>9</v>
      </c>
      <c r="L5" s="25"/>
      <c r="M5" s="29" t="s">
        <v>9</v>
      </c>
      <c r="N5" s="24"/>
      <c r="O5" s="29" t="s">
        <v>9</v>
      </c>
      <c r="P5" s="24"/>
      <c r="Q5" s="30" t="s">
        <v>9</v>
      </c>
      <c r="R5" s="26"/>
      <c r="S5" s="1" t="s">
        <v>105</v>
      </c>
      <c r="T5" s="1" t="s">
        <v>99</v>
      </c>
      <c r="U5" s="38" t="s">
        <v>9</v>
      </c>
      <c r="V5" s="27"/>
      <c r="W5" s="1" t="s">
        <v>9</v>
      </c>
      <c r="X5" s="1"/>
      <c r="Y5" s="1" t="s">
        <v>9</v>
      </c>
      <c r="Z5" s="1"/>
      <c r="AA5" s="1" t="s">
        <v>9</v>
      </c>
      <c r="AB5" s="1"/>
      <c r="AC5" s="30" t="s">
        <v>9</v>
      </c>
      <c r="AD5" s="26"/>
      <c r="AE5" s="1" t="s">
        <v>9</v>
      </c>
      <c r="AF5" s="1"/>
      <c r="AG5" s="1" t="s">
        <v>9</v>
      </c>
      <c r="AH5" s="1"/>
      <c r="AI5" s="30" t="s">
        <v>101</v>
      </c>
      <c r="AJ5" s="30" t="s">
        <v>110</v>
      </c>
      <c r="AK5" s="30" t="s">
        <v>9</v>
      </c>
      <c r="AL5" s="32"/>
      <c r="AM5" s="42"/>
      <c r="AN5" s="42"/>
      <c r="AO5" s="42"/>
      <c r="AP5" s="42"/>
      <c r="AQ5" s="42"/>
    </row>
    <row r="6" spans="1:43" s="28" customFormat="1" ht="63.75" customHeight="1">
      <c r="A6" s="372"/>
      <c r="B6" s="372"/>
      <c r="C6" s="23" t="s">
        <v>83</v>
      </c>
      <c r="D6" s="23"/>
      <c r="E6" s="23"/>
      <c r="F6" s="23"/>
      <c r="G6" s="29" t="s">
        <v>9</v>
      </c>
      <c r="H6" s="24"/>
      <c r="I6" s="29" t="s">
        <v>9</v>
      </c>
      <c r="J6" s="29" t="s">
        <v>9</v>
      </c>
      <c r="K6" s="25" t="s">
        <v>9</v>
      </c>
      <c r="L6" s="25"/>
      <c r="M6" s="29" t="s">
        <v>9</v>
      </c>
      <c r="N6" s="24"/>
      <c r="O6" s="29" t="s">
        <v>9</v>
      </c>
      <c r="P6" s="24"/>
      <c r="Q6" s="30" t="s">
        <v>9</v>
      </c>
      <c r="R6" s="26"/>
      <c r="S6" s="1" t="s">
        <v>106</v>
      </c>
      <c r="T6" s="1" t="s">
        <v>107</v>
      </c>
      <c r="U6" s="38" t="s">
        <v>9</v>
      </c>
      <c r="V6" s="27"/>
      <c r="W6" s="1" t="s">
        <v>9</v>
      </c>
      <c r="X6" s="1"/>
      <c r="Y6" s="1" t="s">
        <v>9</v>
      </c>
      <c r="Z6" s="1"/>
      <c r="AA6" s="1" t="s">
        <v>9</v>
      </c>
      <c r="AB6" s="1"/>
      <c r="AC6" s="30" t="s">
        <v>9</v>
      </c>
      <c r="AD6" s="26"/>
      <c r="AE6" s="1" t="s">
        <v>9</v>
      </c>
      <c r="AF6" s="1"/>
      <c r="AG6" s="1" t="s">
        <v>9</v>
      </c>
      <c r="AH6" s="1"/>
      <c r="AI6" s="30" t="s">
        <v>108</v>
      </c>
      <c r="AJ6" s="30" t="s">
        <v>109</v>
      </c>
      <c r="AK6" s="30" t="s">
        <v>9</v>
      </c>
      <c r="AL6" s="32"/>
      <c r="AM6" s="30" t="s">
        <v>112</v>
      </c>
      <c r="AN6" s="42" t="s">
        <v>113</v>
      </c>
      <c r="AO6" s="42"/>
      <c r="AP6" s="42"/>
      <c r="AQ6" s="42"/>
    </row>
    <row r="7" spans="1:43" s="28" customFormat="1" ht="63.75" customHeight="1">
      <c r="A7" s="372"/>
      <c r="B7" s="372"/>
      <c r="C7" s="23" t="s">
        <v>114</v>
      </c>
      <c r="D7" s="23"/>
      <c r="E7" s="23"/>
      <c r="F7" s="23"/>
      <c r="G7" s="29" t="s">
        <v>9</v>
      </c>
      <c r="H7" s="24"/>
      <c r="I7" s="29" t="s">
        <v>9</v>
      </c>
      <c r="J7" s="29" t="s">
        <v>9</v>
      </c>
      <c r="K7" s="25" t="s">
        <v>9</v>
      </c>
      <c r="L7" s="25"/>
      <c r="M7" s="29" t="s">
        <v>9</v>
      </c>
      <c r="N7" s="24"/>
      <c r="O7" s="29" t="s">
        <v>9</v>
      </c>
      <c r="P7" s="24"/>
      <c r="Q7" s="30" t="s">
        <v>9</v>
      </c>
      <c r="R7" s="26"/>
      <c r="S7" s="1" t="s">
        <v>115</v>
      </c>
      <c r="T7" s="1" t="s">
        <v>116</v>
      </c>
      <c r="U7" s="38" t="s">
        <v>9</v>
      </c>
      <c r="V7" s="27"/>
      <c r="W7" s="1" t="s">
        <v>9</v>
      </c>
      <c r="X7" s="1"/>
      <c r="Y7" s="1" t="s">
        <v>9</v>
      </c>
      <c r="Z7" s="1"/>
      <c r="AA7" s="1" t="s">
        <v>9</v>
      </c>
      <c r="AB7" s="1"/>
      <c r="AC7" s="30" t="s">
        <v>9</v>
      </c>
      <c r="AD7" s="26"/>
      <c r="AE7" s="1" t="s">
        <v>9</v>
      </c>
      <c r="AF7" s="1"/>
      <c r="AG7" s="1" t="s">
        <v>9</v>
      </c>
      <c r="AH7" s="1"/>
      <c r="AI7" s="30" t="s">
        <v>117</v>
      </c>
      <c r="AJ7" s="30" t="s">
        <v>118</v>
      </c>
      <c r="AK7" s="30" t="s">
        <v>9</v>
      </c>
      <c r="AL7" s="32"/>
      <c r="AM7" s="42" t="s">
        <v>9</v>
      </c>
      <c r="AN7" s="42" t="s">
        <v>9</v>
      </c>
      <c r="AO7" s="42"/>
      <c r="AP7" s="42"/>
      <c r="AQ7" s="42"/>
    </row>
    <row r="8" spans="1:43" s="28" customFormat="1" ht="63.75" customHeight="1">
      <c r="A8" s="372"/>
      <c r="B8" s="372"/>
      <c r="C8" s="23" t="s">
        <v>86</v>
      </c>
      <c r="D8" s="23"/>
      <c r="E8" s="23"/>
      <c r="F8" s="23"/>
      <c r="G8" s="29" t="s">
        <v>9</v>
      </c>
      <c r="H8" s="24"/>
      <c r="I8" s="29" t="s">
        <v>9</v>
      </c>
      <c r="J8" s="29" t="s">
        <v>9</v>
      </c>
      <c r="K8" s="25" t="s">
        <v>9</v>
      </c>
      <c r="L8" s="25"/>
      <c r="M8" s="29" t="s">
        <v>9</v>
      </c>
      <c r="N8" s="24"/>
      <c r="O8" s="29" t="s">
        <v>9</v>
      </c>
      <c r="P8" s="24"/>
      <c r="Q8" s="30" t="s">
        <v>9</v>
      </c>
      <c r="R8" s="26"/>
      <c r="S8" s="1" t="s">
        <v>9</v>
      </c>
      <c r="T8" s="1" t="s">
        <v>9</v>
      </c>
      <c r="U8" s="38" t="s">
        <v>9</v>
      </c>
      <c r="V8" s="27"/>
      <c r="W8" s="1" t="s">
        <v>9</v>
      </c>
      <c r="X8" s="1"/>
      <c r="Y8" s="1" t="s">
        <v>9</v>
      </c>
      <c r="Z8" s="1"/>
      <c r="AA8" s="1" t="s">
        <v>9</v>
      </c>
      <c r="AB8" s="1"/>
      <c r="AC8" s="30" t="s">
        <v>9</v>
      </c>
      <c r="AD8" s="26"/>
      <c r="AE8" s="1" t="s">
        <v>9</v>
      </c>
      <c r="AF8" s="1"/>
      <c r="AG8" s="1" t="s">
        <v>9</v>
      </c>
      <c r="AH8" s="1"/>
      <c r="AI8" s="30" t="s">
        <v>119</v>
      </c>
      <c r="AJ8" s="30" t="s">
        <v>121</v>
      </c>
      <c r="AK8" s="30" t="s">
        <v>9</v>
      </c>
      <c r="AL8" s="32"/>
      <c r="AM8" s="42" t="s">
        <v>120</v>
      </c>
      <c r="AN8" s="42" t="s">
        <v>122</v>
      </c>
      <c r="AO8" s="42"/>
      <c r="AP8" s="42"/>
      <c r="AQ8" s="42"/>
    </row>
    <row r="9" spans="1:43" s="28" customFormat="1" ht="63.75" customHeight="1">
      <c r="A9" s="373"/>
      <c r="B9" s="373"/>
      <c r="C9" s="23" t="s">
        <v>87</v>
      </c>
      <c r="D9" s="23"/>
      <c r="E9" s="23"/>
      <c r="F9" s="23"/>
      <c r="G9" s="29" t="s">
        <v>9</v>
      </c>
      <c r="H9" s="24"/>
      <c r="I9" s="29" t="s">
        <v>9</v>
      </c>
      <c r="J9" s="29" t="s">
        <v>9</v>
      </c>
      <c r="K9" s="25" t="s">
        <v>9</v>
      </c>
      <c r="L9" s="25"/>
      <c r="M9" s="29" t="s">
        <v>9</v>
      </c>
      <c r="N9" s="24"/>
      <c r="O9" s="29" t="s">
        <v>9</v>
      </c>
      <c r="P9" s="24"/>
      <c r="Q9" s="30" t="s">
        <v>9</v>
      </c>
      <c r="R9" s="26"/>
      <c r="S9" s="1" t="s">
        <v>9</v>
      </c>
      <c r="T9" s="1" t="s">
        <v>9</v>
      </c>
      <c r="U9" s="38" t="s">
        <v>9</v>
      </c>
      <c r="V9" s="27"/>
      <c r="W9" s="1" t="s">
        <v>9</v>
      </c>
      <c r="X9" s="1"/>
      <c r="Y9" s="1" t="s">
        <v>9</v>
      </c>
      <c r="Z9" s="1"/>
      <c r="AA9" s="1" t="s">
        <v>9</v>
      </c>
      <c r="AB9" s="1"/>
      <c r="AC9" s="30" t="s">
        <v>9</v>
      </c>
      <c r="AD9" s="26"/>
      <c r="AE9" s="1" t="s">
        <v>9</v>
      </c>
      <c r="AF9" s="1"/>
      <c r="AG9" s="1" t="s">
        <v>9</v>
      </c>
      <c r="AH9" s="1"/>
      <c r="AI9" s="30" t="s">
        <v>123</v>
      </c>
      <c r="AJ9" s="30" t="s">
        <v>125</v>
      </c>
      <c r="AK9" s="30" t="s">
        <v>9</v>
      </c>
      <c r="AL9" s="32"/>
      <c r="AM9" s="42" t="s">
        <v>124</v>
      </c>
      <c r="AN9" s="42" t="s">
        <v>122</v>
      </c>
      <c r="AO9" s="42"/>
      <c r="AP9" s="42"/>
      <c r="AQ9" s="42"/>
    </row>
    <row r="10" spans="1:43" ht="60" customHeight="1">
      <c r="A10" s="393" t="e">
        <f>#REF!</f>
        <v>#REF!</v>
      </c>
      <c r="B10" s="393" t="e">
        <f>#REF!</f>
        <v>#REF!</v>
      </c>
      <c r="C10" s="4" t="s">
        <v>24</v>
      </c>
      <c r="D10" s="4"/>
      <c r="E10" s="4"/>
      <c r="F10" s="4"/>
      <c r="G10" s="8">
        <v>0.05</v>
      </c>
      <c r="H10" s="8" t="s">
        <v>57</v>
      </c>
      <c r="I10" s="8" t="s">
        <v>9</v>
      </c>
      <c r="J10" s="8" t="s">
        <v>9</v>
      </c>
      <c r="K10" s="4" t="s">
        <v>23</v>
      </c>
      <c r="L10" s="4" t="s">
        <v>58</v>
      </c>
      <c r="M10" s="8">
        <v>0.05</v>
      </c>
      <c r="N10" s="8" t="s">
        <v>59</v>
      </c>
      <c r="O10" s="8" t="s">
        <v>9</v>
      </c>
      <c r="P10" s="8" t="s">
        <v>9</v>
      </c>
      <c r="Q10" s="9">
        <v>0.15</v>
      </c>
      <c r="R10" s="9" t="s">
        <v>60</v>
      </c>
      <c r="S10" s="10" t="s">
        <v>20</v>
      </c>
      <c r="T10" s="10" t="s">
        <v>61</v>
      </c>
      <c r="U10" s="11">
        <v>25</v>
      </c>
      <c r="V10" s="11" t="s">
        <v>62</v>
      </c>
      <c r="W10" s="10" t="s">
        <v>21</v>
      </c>
      <c r="X10" s="10" t="s">
        <v>63</v>
      </c>
      <c r="Y10" s="11" t="s">
        <v>9</v>
      </c>
      <c r="Z10" s="10" t="s">
        <v>9</v>
      </c>
      <c r="AA10" s="12">
        <v>7</v>
      </c>
      <c r="AB10" s="12" t="s">
        <v>64</v>
      </c>
      <c r="AC10" s="9">
        <v>1</v>
      </c>
      <c r="AD10" s="9" t="s">
        <v>65</v>
      </c>
      <c r="AE10" s="10" t="s">
        <v>22</v>
      </c>
      <c r="AF10" s="10" t="s">
        <v>66</v>
      </c>
      <c r="AG10" s="10"/>
      <c r="AH10" s="10"/>
      <c r="AI10" s="9" t="s">
        <v>19</v>
      </c>
      <c r="AJ10" s="9" t="s">
        <v>67</v>
      </c>
      <c r="AK10" s="9">
        <v>0.94</v>
      </c>
      <c r="AL10" s="39" t="s">
        <v>68</v>
      </c>
      <c r="AM10" s="2"/>
      <c r="AN10" s="2"/>
      <c r="AO10" s="2"/>
      <c r="AP10" s="2"/>
      <c r="AQ10" s="2"/>
    </row>
    <row r="11" spans="1:43" ht="96" customHeight="1">
      <c r="A11" s="393"/>
      <c r="B11" s="393"/>
      <c r="C11" s="4" t="s">
        <v>25</v>
      </c>
      <c r="D11" s="4"/>
      <c r="E11" s="4"/>
      <c r="F11" s="4"/>
      <c r="G11" s="8">
        <v>0.05</v>
      </c>
      <c r="H11" s="8" t="s">
        <v>69</v>
      </c>
      <c r="I11" s="8" t="s">
        <v>9</v>
      </c>
      <c r="J11" s="8" t="s">
        <v>9</v>
      </c>
      <c r="K11" s="4" t="s">
        <v>26</v>
      </c>
      <c r="L11" s="4" t="s">
        <v>58</v>
      </c>
      <c r="M11" s="8">
        <v>0.05</v>
      </c>
      <c r="N11" s="8" t="s">
        <v>59</v>
      </c>
      <c r="O11" s="8" t="s">
        <v>9</v>
      </c>
      <c r="P11" s="8" t="s">
        <v>9</v>
      </c>
      <c r="Q11" s="13">
        <v>0.15</v>
      </c>
      <c r="R11" s="13" t="s">
        <v>60</v>
      </c>
      <c r="S11" s="9" t="s">
        <v>27</v>
      </c>
      <c r="T11" s="10" t="s">
        <v>61</v>
      </c>
      <c r="U11" s="11">
        <v>25</v>
      </c>
      <c r="V11" s="11" t="s">
        <v>70</v>
      </c>
      <c r="W11" s="10" t="s">
        <v>28</v>
      </c>
      <c r="X11" s="10" t="s">
        <v>63</v>
      </c>
      <c r="Y11" s="11" t="s">
        <v>9</v>
      </c>
      <c r="Z11" s="10" t="s">
        <v>9</v>
      </c>
      <c r="AA11" s="10" t="s">
        <v>9</v>
      </c>
      <c r="AB11" s="10" t="s">
        <v>9</v>
      </c>
      <c r="AC11" s="9" t="s">
        <v>9</v>
      </c>
      <c r="AD11" s="9" t="s">
        <v>9</v>
      </c>
      <c r="AE11" s="10" t="s">
        <v>29</v>
      </c>
      <c r="AF11" s="10" t="s">
        <v>71</v>
      </c>
      <c r="AG11" s="10"/>
      <c r="AH11" s="10"/>
      <c r="AI11" s="9" t="s">
        <v>30</v>
      </c>
      <c r="AJ11" s="9" t="s">
        <v>72</v>
      </c>
      <c r="AK11" s="9">
        <v>0.94</v>
      </c>
      <c r="AL11" s="39" t="s">
        <v>68</v>
      </c>
      <c r="AM11" s="2"/>
      <c r="AN11" s="2"/>
      <c r="AO11" s="2"/>
      <c r="AP11" s="2"/>
      <c r="AQ11" s="2"/>
    </row>
    <row r="12" spans="1:43" ht="72.75" customHeight="1">
      <c r="A12" s="393"/>
      <c r="B12" s="393"/>
      <c r="C12" s="4" t="s">
        <v>37</v>
      </c>
      <c r="D12" s="4"/>
      <c r="E12" s="4"/>
      <c r="F12" s="4"/>
      <c r="G12" s="8" t="s">
        <v>9</v>
      </c>
      <c r="H12" s="8" t="s">
        <v>9</v>
      </c>
      <c r="I12" s="8" t="s">
        <v>9</v>
      </c>
      <c r="J12" s="8" t="s">
        <v>9</v>
      </c>
      <c r="K12" s="4" t="s">
        <v>9</v>
      </c>
      <c r="L12" s="4" t="s">
        <v>9</v>
      </c>
      <c r="M12" s="8">
        <v>0.15</v>
      </c>
      <c r="N12" s="8" t="s">
        <v>40</v>
      </c>
      <c r="O12" s="8" t="s">
        <v>9</v>
      </c>
      <c r="P12" s="8" t="s">
        <v>9</v>
      </c>
      <c r="Q12" s="9" t="s">
        <v>9</v>
      </c>
      <c r="R12" s="9" t="s">
        <v>9</v>
      </c>
      <c r="S12" s="12">
        <v>515</v>
      </c>
      <c r="T12" s="12" t="s">
        <v>41</v>
      </c>
      <c r="U12" s="11">
        <v>25</v>
      </c>
      <c r="V12" s="11" t="s">
        <v>42</v>
      </c>
      <c r="W12" s="10" t="s">
        <v>33</v>
      </c>
      <c r="X12" s="10" t="s">
        <v>52</v>
      </c>
      <c r="Y12" s="11">
        <v>400000</v>
      </c>
      <c r="Z12" s="10" t="s">
        <v>53</v>
      </c>
      <c r="AA12" s="12">
        <v>7</v>
      </c>
      <c r="AB12" s="12" t="s">
        <v>43</v>
      </c>
      <c r="AC12" s="9">
        <v>1</v>
      </c>
      <c r="AD12" s="9" t="s">
        <v>44</v>
      </c>
      <c r="AE12" s="10">
        <v>15</v>
      </c>
      <c r="AF12" s="10" t="s">
        <v>45</v>
      </c>
      <c r="AG12" s="10"/>
      <c r="AH12" s="10"/>
      <c r="AI12" s="9">
        <v>0.05</v>
      </c>
      <c r="AJ12" s="9" t="s">
        <v>46</v>
      </c>
      <c r="AK12" s="9">
        <v>1</v>
      </c>
      <c r="AL12" s="39" t="s">
        <v>47</v>
      </c>
      <c r="AM12" s="2"/>
      <c r="AN12" s="2"/>
      <c r="AO12" s="2"/>
      <c r="AP12" s="2"/>
      <c r="AQ12" s="2"/>
    </row>
    <row r="13" spans="1:43" ht="45" customHeight="1">
      <c r="A13" s="393"/>
      <c r="B13" s="393"/>
      <c r="C13" s="14" t="s">
        <v>73</v>
      </c>
      <c r="D13" s="14"/>
      <c r="E13" s="14"/>
      <c r="F13" s="14"/>
      <c r="G13" s="15" t="s">
        <v>9</v>
      </c>
      <c r="H13" s="15" t="s">
        <v>9</v>
      </c>
      <c r="I13" s="15" t="s">
        <v>9</v>
      </c>
      <c r="J13" s="15" t="s">
        <v>9</v>
      </c>
      <c r="K13" s="14" t="s">
        <v>9</v>
      </c>
      <c r="L13" s="14" t="s">
        <v>9</v>
      </c>
      <c r="M13" s="15">
        <v>0.15</v>
      </c>
      <c r="N13" s="8" t="s">
        <v>40</v>
      </c>
      <c r="O13" s="15" t="s">
        <v>9</v>
      </c>
      <c r="P13" s="15" t="s">
        <v>9</v>
      </c>
      <c r="Q13" s="16" t="s">
        <v>9</v>
      </c>
      <c r="R13" s="16" t="s">
        <v>9</v>
      </c>
      <c r="S13" s="21">
        <v>500</v>
      </c>
      <c r="T13" s="3" t="s">
        <v>48</v>
      </c>
      <c r="U13" s="17" t="s">
        <v>49</v>
      </c>
      <c r="V13" s="17" t="s">
        <v>50</v>
      </c>
      <c r="W13" s="3" t="s">
        <v>33</v>
      </c>
      <c r="X13" s="3" t="s">
        <v>52</v>
      </c>
      <c r="Y13" s="17">
        <v>400000</v>
      </c>
      <c r="Z13" s="3" t="s">
        <v>53</v>
      </c>
      <c r="AA13" s="22">
        <v>7</v>
      </c>
      <c r="AB13" s="12" t="s">
        <v>43</v>
      </c>
      <c r="AC13" s="16" t="s">
        <v>9</v>
      </c>
      <c r="AD13" s="16" t="s">
        <v>9</v>
      </c>
      <c r="AE13" s="3" t="s">
        <v>54</v>
      </c>
      <c r="AF13" s="3" t="s">
        <v>55</v>
      </c>
      <c r="AG13" s="3"/>
      <c r="AH13" s="3"/>
      <c r="AI13" s="16">
        <v>0.02</v>
      </c>
      <c r="AJ13" s="16" t="s">
        <v>56</v>
      </c>
      <c r="AK13" s="16">
        <v>1</v>
      </c>
      <c r="AL13" s="39" t="s">
        <v>47</v>
      </c>
      <c r="AM13" s="2"/>
      <c r="AN13" s="2"/>
      <c r="AO13" s="2"/>
      <c r="AP13" s="2"/>
      <c r="AQ13" s="2"/>
    </row>
    <row r="14" spans="1:43" ht="63.75" customHeight="1">
      <c r="A14" s="393"/>
      <c r="B14" s="393"/>
      <c r="C14" s="14" t="s">
        <v>74</v>
      </c>
      <c r="D14" s="14"/>
      <c r="E14" s="14"/>
      <c r="F14" s="14"/>
      <c r="G14" s="15" t="s">
        <v>9</v>
      </c>
      <c r="H14" s="15" t="s">
        <v>9</v>
      </c>
      <c r="I14" s="15" t="s">
        <v>9</v>
      </c>
      <c r="J14" s="15" t="s">
        <v>9</v>
      </c>
      <c r="K14" s="14" t="s">
        <v>9</v>
      </c>
      <c r="L14" s="14" t="s">
        <v>9</v>
      </c>
      <c r="M14" s="15">
        <v>0.05</v>
      </c>
      <c r="N14" s="15" t="s">
        <v>75</v>
      </c>
      <c r="O14" s="15" t="s">
        <v>32</v>
      </c>
      <c r="P14" s="15" t="s">
        <v>76</v>
      </c>
      <c r="Q14" s="18" t="s">
        <v>9</v>
      </c>
      <c r="R14" s="18" t="s">
        <v>9</v>
      </c>
      <c r="S14" s="19" t="s">
        <v>33</v>
      </c>
      <c r="T14" s="19" t="s">
        <v>77</v>
      </c>
      <c r="U14" s="19" t="s">
        <v>33</v>
      </c>
      <c r="V14" s="19" t="s">
        <v>77</v>
      </c>
      <c r="W14" s="19" t="s">
        <v>33</v>
      </c>
      <c r="X14" s="19" t="s">
        <v>77</v>
      </c>
      <c r="Y14" s="20" t="s">
        <v>33</v>
      </c>
      <c r="Z14" s="19" t="s">
        <v>77</v>
      </c>
      <c r="AA14" s="2" t="s">
        <v>9</v>
      </c>
      <c r="AB14" s="2" t="s">
        <v>9</v>
      </c>
      <c r="AC14" s="18" t="s">
        <v>9</v>
      </c>
      <c r="AD14" s="18" t="s">
        <v>9</v>
      </c>
      <c r="AE14" s="18">
        <v>0.3</v>
      </c>
      <c r="AF14" s="16" t="s">
        <v>78</v>
      </c>
      <c r="AG14" s="16"/>
      <c r="AH14" s="16"/>
      <c r="AI14" s="18">
        <v>0.2</v>
      </c>
      <c r="AJ14" s="18" t="s">
        <v>79</v>
      </c>
      <c r="AK14" s="16">
        <v>0.95</v>
      </c>
      <c r="AL14" s="39" t="s">
        <v>80</v>
      </c>
      <c r="AM14" s="2"/>
      <c r="AN14" s="2"/>
      <c r="AO14" s="2"/>
      <c r="AP14" s="2"/>
      <c r="AQ14" s="2"/>
    </row>
    <row r="15" spans="1:43" ht="120" customHeight="1">
      <c r="A15" s="387" t="e">
        <f>#REF!</f>
        <v>#REF!</v>
      </c>
      <c r="B15" s="390" t="e">
        <f>#REF!</f>
        <v>#REF!</v>
      </c>
      <c r="C15" s="43" t="s">
        <v>126</v>
      </c>
      <c r="D15" s="43" t="s">
        <v>131</v>
      </c>
      <c r="E15" s="43"/>
      <c r="F15" s="43"/>
      <c r="G15" s="44" t="s">
        <v>9</v>
      </c>
      <c r="H15" s="44"/>
      <c r="I15" s="44" t="s">
        <v>9</v>
      </c>
      <c r="J15" s="44" t="s">
        <v>9</v>
      </c>
      <c r="K15" s="43" t="s">
        <v>9</v>
      </c>
      <c r="L15" s="43"/>
      <c r="M15" s="47" t="s">
        <v>142</v>
      </c>
      <c r="N15" s="47"/>
      <c r="O15" s="47" t="s">
        <v>142</v>
      </c>
      <c r="P15" s="47"/>
      <c r="Q15" s="47" t="s">
        <v>142</v>
      </c>
      <c r="R15" s="47"/>
      <c r="S15" s="48" t="s">
        <v>142</v>
      </c>
      <c r="T15" s="2" t="s">
        <v>143</v>
      </c>
      <c r="U15" s="49" t="s">
        <v>142</v>
      </c>
      <c r="V15" s="2" t="s">
        <v>143</v>
      </c>
      <c r="W15" s="381" t="s">
        <v>144</v>
      </c>
      <c r="X15" s="2"/>
      <c r="Y15" s="45" t="s">
        <v>9</v>
      </c>
      <c r="Z15" s="2"/>
      <c r="AA15" s="2" t="s">
        <v>9</v>
      </c>
      <c r="AB15" s="2"/>
      <c r="AC15" s="18" t="s">
        <v>9</v>
      </c>
      <c r="AD15" s="18"/>
      <c r="AE15" s="2" t="s">
        <v>9</v>
      </c>
      <c r="AF15" s="2"/>
      <c r="AG15" s="2" t="s">
        <v>9</v>
      </c>
      <c r="AH15" s="2"/>
      <c r="AI15" s="47" t="s">
        <v>142</v>
      </c>
      <c r="AJ15" s="18"/>
      <c r="AK15" s="18"/>
      <c r="AL15" s="2"/>
      <c r="AM15" s="2"/>
      <c r="AN15" s="2"/>
      <c r="AO15" s="2"/>
      <c r="AP15" s="2"/>
      <c r="AQ15" s="3" t="s">
        <v>137</v>
      </c>
    </row>
    <row r="16" spans="1:43">
      <c r="A16" s="388"/>
      <c r="B16" s="391"/>
      <c r="C16" s="2" t="s">
        <v>127</v>
      </c>
      <c r="D16" s="2" t="s">
        <v>132</v>
      </c>
      <c r="E16" s="2"/>
      <c r="F16" s="2"/>
      <c r="G16" s="18" t="s">
        <v>9</v>
      </c>
      <c r="H16" s="18"/>
      <c r="I16" s="18" t="s">
        <v>9</v>
      </c>
      <c r="J16" s="18" t="s">
        <v>9</v>
      </c>
      <c r="K16" s="2" t="s">
        <v>9</v>
      </c>
      <c r="L16" s="2"/>
      <c r="M16" s="47" t="s">
        <v>142</v>
      </c>
      <c r="N16" s="47"/>
      <c r="O16" s="47" t="s">
        <v>142</v>
      </c>
      <c r="P16" s="47"/>
      <c r="Q16" s="47" t="s">
        <v>142</v>
      </c>
      <c r="R16" s="47"/>
      <c r="S16" s="48" t="s">
        <v>142</v>
      </c>
      <c r="T16" s="2" t="s">
        <v>143</v>
      </c>
      <c r="U16" s="49" t="s">
        <v>142</v>
      </c>
      <c r="V16" s="2" t="s">
        <v>143</v>
      </c>
      <c r="W16" s="382"/>
      <c r="X16" s="2"/>
      <c r="Y16" s="45" t="s">
        <v>9</v>
      </c>
      <c r="Z16" s="2"/>
      <c r="AA16" s="2" t="s">
        <v>9</v>
      </c>
      <c r="AB16" s="2"/>
      <c r="AC16" s="18" t="s">
        <v>9</v>
      </c>
      <c r="AD16" s="18"/>
      <c r="AE16" s="2" t="s">
        <v>9</v>
      </c>
      <c r="AF16" s="2"/>
      <c r="AG16" s="2" t="s">
        <v>9</v>
      </c>
      <c r="AH16" s="2"/>
      <c r="AI16" s="47" t="s">
        <v>142</v>
      </c>
      <c r="AJ16" s="18"/>
      <c r="AK16" s="18"/>
      <c r="AL16" s="2"/>
      <c r="AM16" s="2"/>
      <c r="AN16" s="2"/>
      <c r="AO16" s="2"/>
      <c r="AP16" s="2"/>
      <c r="AQ16" s="2" t="s">
        <v>138</v>
      </c>
    </row>
    <row r="17" spans="1:43" ht="28.8">
      <c r="A17" s="388"/>
      <c r="B17" s="391"/>
      <c r="C17" s="2" t="s">
        <v>128</v>
      </c>
      <c r="D17" s="2" t="s">
        <v>133</v>
      </c>
      <c r="E17" s="2"/>
      <c r="F17" s="2"/>
      <c r="G17" s="18" t="s">
        <v>9</v>
      </c>
      <c r="H17" s="18"/>
      <c r="I17" s="18" t="s">
        <v>9</v>
      </c>
      <c r="J17" s="18" t="s">
        <v>9</v>
      </c>
      <c r="K17" s="2" t="s">
        <v>9</v>
      </c>
      <c r="L17" s="2"/>
      <c r="M17" s="47" t="s">
        <v>142</v>
      </c>
      <c r="N17" s="47"/>
      <c r="O17" s="47" t="s">
        <v>142</v>
      </c>
      <c r="P17" s="47"/>
      <c r="Q17" s="47" t="s">
        <v>142</v>
      </c>
      <c r="R17" s="47"/>
      <c r="S17" s="48" t="s">
        <v>142</v>
      </c>
      <c r="T17" s="2" t="s">
        <v>143</v>
      </c>
      <c r="U17" s="49" t="s">
        <v>142</v>
      </c>
      <c r="V17" s="2" t="s">
        <v>143</v>
      </c>
      <c r="W17" s="382"/>
      <c r="X17" s="2"/>
      <c r="Y17" s="45" t="s">
        <v>9</v>
      </c>
      <c r="Z17" s="2"/>
      <c r="AA17" s="2" t="s">
        <v>9</v>
      </c>
      <c r="AB17" s="2"/>
      <c r="AC17" s="18" t="s">
        <v>9</v>
      </c>
      <c r="AD17" s="18"/>
      <c r="AE17" s="2" t="s">
        <v>9</v>
      </c>
      <c r="AF17" s="2"/>
      <c r="AG17" s="2" t="s">
        <v>9</v>
      </c>
      <c r="AH17" s="2"/>
      <c r="AI17" s="47" t="s">
        <v>142</v>
      </c>
      <c r="AJ17" s="18"/>
      <c r="AK17" s="18"/>
      <c r="AL17" s="2"/>
      <c r="AM17" s="2"/>
      <c r="AN17" s="2"/>
      <c r="AO17" s="2"/>
      <c r="AP17" s="2"/>
      <c r="AQ17" s="3" t="s">
        <v>141</v>
      </c>
    </row>
    <row r="18" spans="1:43" ht="57.6">
      <c r="A18" s="388"/>
      <c r="B18" s="391"/>
      <c r="C18" s="2" t="s">
        <v>129</v>
      </c>
      <c r="D18" s="2" t="s">
        <v>134</v>
      </c>
      <c r="E18" s="2"/>
      <c r="F18" s="2"/>
      <c r="G18" s="18" t="s">
        <v>9</v>
      </c>
      <c r="H18" s="18"/>
      <c r="I18" s="18" t="s">
        <v>9</v>
      </c>
      <c r="J18" s="18" t="s">
        <v>9</v>
      </c>
      <c r="K18" s="2" t="s">
        <v>9</v>
      </c>
      <c r="L18" s="2"/>
      <c r="M18" s="47" t="s">
        <v>142</v>
      </c>
      <c r="N18" s="47"/>
      <c r="O18" s="47" t="s">
        <v>142</v>
      </c>
      <c r="P18" s="47"/>
      <c r="Q18" s="47" t="s">
        <v>142</v>
      </c>
      <c r="R18" s="47"/>
      <c r="S18" s="48" t="s">
        <v>142</v>
      </c>
      <c r="T18" s="2" t="s">
        <v>143</v>
      </c>
      <c r="U18" s="49" t="s">
        <v>142</v>
      </c>
      <c r="V18" s="2" t="s">
        <v>143</v>
      </c>
      <c r="W18" s="382"/>
      <c r="X18" s="2"/>
      <c r="Y18" s="45" t="s">
        <v>9</v>
      </c>
      <c r="Z18" s="2"/>
      <c r="AA18" s="2" t="s">
        <v>9</v>
      </c>
      <c r="AB18" s="2"/>
      <c r="AC18" s="18" t="s">
        <v>9</v>
      </c>
      <c r="AD18" s="18"/>
      <c r="AE18" s="2" t="s">
        <v>9</v>
      </c>
      <c r="AF18" s="2"/>
      <c r="AG18" s="2" t="s">
        <v>9</v>
      </c>
      <c r="AH18" s="2"/>
      <c r="AI18" s="47" t="s">
        <v>142</v>
      </c>
      <c r="AJ18" s="18"/>
      <c r="AK18" s="18"/>
      <c r="AL18" s="2"/>
      <c r="AM18" s="2"/>
      <c r="AN18" s="2"/>
      <c r="AO18" s="2"/>
      <c r="AP18" s="2"/>
      <c r="AQ18" s="3" t="s">
        <v>140</v>
      </c>
    </row>
    <row r="19" spans="1:43" ht="28.8">
      <c r="A19" s="389"/>
      <c r="B19" s="392"/>
      <c r="C19" s="46" t="s">
        <v>130</v>
      </c>
      <c r="D19" s="46" t="s">
        <v>135</v>
      </c>
      <c r="E19" s="46"/>
      <c r="F19" s="46"/>
      <c r="G19" s="18" t="s">
        <v>9</v>
      </c>
      <c r="H19" s="18"/>
      <c r="I19" s="18" t="s">
        <v>9</v>
      </c>
      <c r="J19" s="18" t="s">
        <v>9</v>
      </c>
      <c r="K19" s="2" t="s">
        <v>9</v>
      </c>
      <c r="L19" s="2"/>
      <c r="M19" s="47" t="s">
        <v>142</v>
      </c>
      <c r="N19" s="47"/>
      <c r="O19" s="47" t="s">
        <v>142</v>
      </c>
      <c r="P19" s="47"/>
      <c r="Q19" s="47" t="s">
        <v>142</v>
      </c>
      <c r="R19" s="47"/>
      <c r="S19" s="48" t="s">
        <v>142</v>
      </c>
      <c r="T19" s="2" t="s">
        <v>143</v>
      </c>
      <c r="U19" s="49" t="s">
        <v>142</v>
      </c>
      <c r="V19" s="2" t="s">
        <v>143</v>
      </c>
      <c r="W19" s="383"/>
      <c r="X19" s="2"/>
      <c r="Y19" s="45" t="s">
        <v>9</v>
      </c>
      <c r="Z19" s="2"/>
      <c r="AA19" s="2" t="s">
        <v>9</v>
      </c>
      <c r="AB19" s="2"/>
      <c r="AC19" s="18" t="s">
        <v>9</v>
      </c>
      <c r="AD19" s="18"/>
      <c r="AE19" s="2" t="s">
        <v>9</v>
      </c>
      <c r="AF19" s="2"/>
      <c r="AG19" s="2" t="s">
        <v>9</v>
      </c>
      <c r="AH19" s="2"/>
      <c r="AI19" s="47" t="s">
        <v>142</v>
      </c>
      <c r="AJ19" s="18"/>
      <c r="AK19" s="18"/>
      <c r="AL19" s="2"/>
      <c r="AM19" s="2"/>
      <c r="AN19" s="2"/>
      <c r="AO19" s="2"/>
      <c r="AP19" s="2"/>
      <c r="AQ19" s="3" t="s">
        <v>139</v>
      </c>
    </row>
    <row r="20" spans="1:43" ht="54.75" customHeight="1">
      <c r="A20" s="384" t="e">
        <f>#REF!</f>
        <v>#REF!</v>
      </c>
      <c r="B20" s="381" t="e">
        <f>#REF!</f>
        <v>#REF!</v>
      </c>
      <c r="C20" s="46" t="s">
        <v>145</v>
      </c>
      <c r="D20" s="50" t="s">
        <v>149</v>
      </c>
      <c r="E20" s="50"/>
      <c r="F20" s="50"/>
      <c r="G20" s="18"/>
      <c r="H20" s="18"/>
      <c r="I20" s="18" t="s">
        <v>9</v>
      </c>
      <c r="J20" s="18" t="s">
        <v>9</v>
      </c>
      <c r="K20" s="2"/>
      <c r="L20" s="2"/>
      <c r="M20" s="18"/>
      <c r="N20" s="18"/>
      <c r="O20" s="18"/>
      <c r="P20" s="18"/>
      <c r="Q20" s="18"/>
      <c r="R20" s="18"/>
      <c r="S20" s="2"/>
      <c r="T20" s="2"/>
      <c r="U20" s="45"/>
      <c r="V20" s="45"/>
      <c r="W20" s="2"/>
      <c r="X20" s="2"/>
      <c r="Y20" s="45"/>
      <c r="Z20" s="2"/>
      <c r="AA20" s="2"/>
      <c r="AB20" s="2"/>
      <c r="AC20" s="18"/>
      <c r="AD20" s="18"/>
      <c r="AE20" s="2"/>
      <c r="AF20" s="2"/>
      <c r="AG20" s="2"/>
      <c r="AH20" s="2"/>
      <c r="AI20" s="18"/>
      <c r="AJ20" s="18"/>
      <c r="AK20" s="18"/>
      <c r="AL20" s="2"/>
      <c r="AM20" s="2"/>
      <c r="AN20" s="2"/>
      <c r="AO20" s="2"/>
      <c r="AP20" s="2"/>
      <c r="AQ20" s="2"/>
    </row>
    <row r="21" spans="1:43" ht="49.5" customHeight="1">
      <c r="A21" s="385"/>
      <c r="B21" s="382"/>
      <c r="C21" s="46" t="s">
        <v>146</v>
      </c>
      <c r="D21" s="50" t="s">
        <v>150</v>
      </c>
      <c r="E21" s="50"/>
      <c r="F21" s="50"/>
      <c r="G21" s="18"/>
      <c r="H21" s="18"/>
      <c r="I21" s="18" t="s">
        <v>9</v>
      </c>
      <c r="J21" s="18" t="s">
        <v>9</v>
      </c>
      <c r="K21" s="2"/>
      <c r="L21" s="2"/>
      <c r="M21" s="18"/>
      <c r="N21" s="18"/>
      <c r="O21" s="18"/>
      <c r="P21" s="18"/>
      <c r="Q21" s="18"/>
      <c r="R21" s="18"/>
      <c r="S21" s="2"/>
      <c r="T21" s="2"/>
      <c r="U21" s="45"/>
      <c r="V21" s="45"/>
      <c r="W21" s="2"/>
      <c r="X21" s="2"/>
      <c r="Y21" s="45"/>
      <c r="Z21" s="2"/>
      <c r="AA21" s="2"/>
      <c r="AB21" s="2"/>
      <c r="AC21" s="18"/>
      <c r="AD21" s="18"/>
      <c r="AE21" s="2"/>
      <c r="AF21" s="2"/>
      <c r="AG21" s="2"/>
      <c r="AH21" s="2"/>
      <c r="AI21" s="18"/>
      <c r="AJ21" s="18"/>
      <c r="AK21" s="18"/>
      <c r="AL21" s="2"/>
      <c r="AM21" s="2"/>
      <c r="AN21" s="2"/>
      <c r="AO21" s="2"/>
      <c r="AP21" s="2"/>
      <c r="AQ21" s="2"/>
    </row>
    <row r="22" spans="1:43" ht="38.25" customHeight="1">
      <c r="A22" s="385"/>
      <c r="B22" s="382"/>
      <c r="C22" s="46" t="s">
        <v>147</v>
      </c>
      <c r="D22" s="50" t="s">
        <v>151</v>
      </c>
      <c r="E22" s="50"/>
      <c r="F22" s="50"/>
      <c r="G22" s="18"/>
      <c r="H22" s="18"/>
      <c r="I22" s="18" t="s">
        <v>9</v>
      </c>
      <c r="J22" s="18" t="s">
        <v>9</v>
      </c>
      <c r="K22" s="2"/>
      <c r="L22" s="2"/>
      <c r="M22" s="18"/>
      <c r="N22" s="18"/>
      <c r="O22" s="18"/>
      <c r="P22" s="18"/>
      <c r="Q22" s="18"/>
      <c r="R22" s="18"/>
      <c r="S22" s="2"/>
      <c r="T22" s="2"/>
      <c r="U22" s="45"/>
      <c r="V22" s="45"/>
      <c r="W22" s="2"/>
      <c r="X22" s="2"/>
      <c r="Y22" s="45"/>
      <c r="Z22" s="2"/>
      <c r="AA22" s="2"/>
      <c r="AB22" s="2"/>
      <c r="AC22" s="18"/>
      <c r="AD22" s="18"/>
      <c r="AE22" s="2"/>
      <c r="AF22" s="2"/>
      <c r="AG22" s="2"/>
      <c r="AH22" s="2"/>
      <c r="AI22" s="18"/>
      <c r="AJ22" s="18"/>
      <c r="AK22" s="18"/>
      <c r="AL22" s="2"/>
      <c r="AM22" s="2"/>
      <c r="AN22" s="2"/>
      <c r="AO22" s="2"/>
      <c r="AP22" s="2"/>
      <c r="AQ22" s="2"/>
    </row>
    <row r="23" spans="1:43" ht="48" customHeight="1">
      <c r="A23" s="385"/>
      <c r="B23" s="382"/>
      <c r="C23" s="46" t="s">
        <v>148</v>
      </c>
      <c r="D23" s="50" t="s">
        <v>152</v>
      </c>
      <c r="E23" s="50"/>
      <c r="F23" s="50"/>
      <c r="G23" s="18"/>
      <c r="H23" s="18"/>
      <c r="I23" s="18" t="s">
        <v>9</v>
      </c>
      <c r="J23" s="18" t="s">
        <v>9</v>
      </c>
      <c r="K23" s="2"/>
      <c r="L23" s="2"/>
      <c r="M23" s="18"/>
      <c r="N23" s="18"/>
      <c r="O23" s="18"/>
      <c r="P23" s="18"/>
      <c r="Q23" s="18"/>
      <c r="R23" s="18"/>
      <c r="S23" s="2"/>
      <c r="T23" s="2"/>
      <c r="U23" s="45"/>
      <c r="V23" s="45"/>
      <c r="W23" s="2"/>
      <c r="X23" s="2"/>
      <c r="Y23" s="45"/>
      <c r="Z23" s="2"/>
      <c r="AA23" s="2"/>
      <c r="AB23" s="2"/>
      <c r="AC23" s="18"/>
      <c r="AD23" s="18"/>
      <c r="AE23" s="2"/>
      <c r="AF23" s="2"/>
      <c r="AG23" s="2"/>
      <c r="AH23" s="2"/>
      <c r="AI23" s="18"/>
      <c r="AJ23" s="18"/>
      <c r="AK23" s="18"/>
      <c r="AL23" s="2"/>
      <c r="AM23" s="2"/>
      <c r="AN23" s="2"/>
      <c r="AO23" s="2"/>
      <c r="AP23" s="2"/>
      <c r="AQ23" s="2"/>
    </row>
    <row r="24" spans="1:43" ht="55.5" customHeight="1">
      <c r="A24" s="385"/>
      <c r="B24" s="382"/>
      <c r="C24" s="46" t="s">
        <v>153</v>
      </c>
      <c r="D24" s="50" t="s">
        <v>156</v>
      </c>
      <c r="E24" s="50"/>
      <c r="F24" s="50"/>
      <c r="G24" s="18" t="s">
        <v>155</v>
      </c>
      <c r="H24" s="16" t="s">
        <v>154</v>
      </c>
      <c r="I24" s="16" t="s">
        <v>9</v>
      </c>
      <c r="J24" s="16" t="s">
        <v>9</v>
      </c>
      <c r="K24" s="2"/>
      <c r="L24" s="2"/>
      <c r="M24" s="18"/>
      <c r="N24" s="18"/>
      <c r="O24" s="18"/>
      <c r="P24" s="18"/>
      <c r="Q24" s="18"/>
      <c r="R24" s="18"/>
      <c r="S24" s="2"/>
      <c r="T24" s="2"/>
      <c r="U24" s="45"/>
      <c r="V24" s="45"/>
      <c r="W24" s="2"/>
      <c r="X24" s="2"/>
      <c r="Y24" s="45"/>
      <c r="Z24" s="2"/>
      <c r="AA24" s="2"/>
      <c r="AB24" s="2"/>
      <c r="AC24" s="18"/>
      <c r="AD24" s="18"/>
      <c r="AE24" s="2"/>
      <c r="AF24" s="2"/>
      <c r="AG24" s="2"/>
      <c r="AH24" s="2"/>
      <c r="AI24" s="18"/>
      <c r="AJ24" s="18"/>
      <c r="AK24" s="18"/>
      <c r="AL24" s="2"/>
      <c r="AM24" s="2"/>
      <c r="AN24" s="2"/>
      <c r="AO24" s="2"/>
      <c r="AP24" s="2"/>
      <c r="AQ24" s="2"/>
    </row>
    <row r="25" spans="1:43" ht="64.5" customHeight="1">
      <c r="A25" s="385"/>
      <c r="B25" s="382"/>
      <c r="C25" s="46" t="s">
        <v>157</v>
      </c>
      <c r="D25" s="50" t="s">
        <v>158</v>
      </c>
      <c r="E25" s="50"/>
      <c r="F25" s="50"/>
      <c r="G25" s="18"/>
      <c r="H25" s="18"/>
      <c r="I25" s="18" t="s">
        <v>9</v>
      </c>
      <c r="J25" s="18" t="s">
        <v>9</v>
      </c>
      <c r="K25" s="2"/>
      <c r="L25" s="2"/>
      <c r="M25" s="18"/>
      <c r="N25" s="18"/>
      <c r="O25" s="18"/>
      <c r="P25" s="18"/>
      <c r="Q25" s="18"/>
      <c r="R25" s="18"/>
      <c r="S25" s="2"/>
      <c r="T25" s="2"/>
      <c r="U25" s="45"/>
      <c r="V25" s="45"/>
      <c r="W25" s="2"/>
      <c r="X25" s="2"/>
      <c r="Y25" s="45"/>
      <c r="Z25" s="2"/>
      <c r="AA25" s="2"/>
      <c r="AB25" s="2"/>
      <c r="AC25" s="18"/>
      <c r="AD25" s="18"/>
      <c r="AE25" s="2"/>
      <c r="AF25" s="2"/>
      <c r="AG25" s="2"/>
      <c r="AH25" s="2"/>
      <c r="AI25" s="18"/>
      <c r="AJ25" s="18"/>
      <c r="AK25" s="18"/>
      <c r="AL25" s="2"/>
      <c r="AM25" s="2"/>
      <c r="AN25" s="2"/>
      <c r="AO25" s="2"/>
      <c r="AP25" s="2"/>
      <c r="AQ25" s="2"/>
    </row>
    <row r="26" spans="1:43" ht="60" customHeight="1">
      <c r="A26" s="385"/>
      <c r="B26" s="382"/>
      <c r="C26" s="46" t="s">
        <v>159</v>
      </c>
      <c r="D26" s="50" t="s">
        <v>160</v>
      </c>
      <c r="E26" s="50"/>
      <c r="F26" s="50"/>
      <c r="G26" s="18"/>
      <c r="H26" s="18"/>
      <c r="I26" s="18" t="s">
        <v>9</v>
      </c>
      <c r="J26" s="18" t="s">
        <v>9</v>
      </c>
      <c r="K26" s="2"/>
      <c r="L26" s="2"/>
      <c r="M26" s="18"/>
      <c r="N26" s="18"/>
      <c r="O26" s="18"/>
      <c r="P26" s="18"/>
      <c r="Q26" s="18"/>
      <c r="R26" s="18"/>
      <c r="S26" s="2"/>
      <c r="T26" s="2"/>
      <c r="U26" s="45"/>
      <c r="V26" s="45"/>
      <c r="W26" s="2"/>
      <c r="X26" s="2"/>
      <c r="Y26" s="45"/>
      <c r="Z26" s="2"/>
      <c r="AA26" s="2"/>
      <c r="AB26" s="2"/>
      <c r="AC26" s="18"/>
      <c r="AD26" s="18"/>
      <c r="AE26" s="2"/>
      <c r="AF26" s="2"/>
      <c r="AG26" s="2"/>
      <c r="AH26" s="2"/>
      <c r="AI26" s="18"/>
      <c r="AJ26" s="18"/>
      <c r="AK26" s="18"/>
      <c r="AL26" s="2"/>
      <c r="AM26" s="2"/>
      <c r="AN26" s="2"/>
      <c r="AO26" s="2"/>
      <c r="AP26" s="2"/>
      <c r="AQ26" s="2"/>
    </row>
    <row r="27" spans="1:43" ht="139.5" customHeight="1">
      <c r="A27" s="386"/>
      <c r="B27" s="383"/>
      <c r="C27" s="51" t="s">
        <v>161</v>
      </c>
      <c r="D27" s="3" t="s">
        <v>162</v>
      </c>
      <c r="E27" s="3"/>
      <c r="F27" s="3"/>
      <c r="G27" s="18"/>
      <c r="H27" s="18"/>
      <c r="I27" s="18" t="s">
        <v>9</v>
      </c>
      <c r="J27" s="18" t="s">
        <v>9</v>
      </c>
      <c r="K27" s="2"/>
      <c r="L27" s="2"/>
      <c r="M27" s="18"/>
      <c r="N27" s="18"/>
      <c r="O27" s="18"/>
      <c r="P27" s="18"/>
      <c r="Q27" s="18"/>
      <c r="R27" s="18"/>
      <c r="S27" s="2"/>
      <c r="T27" s="2"/>
      <c r="U27" s="45"/>
      <c r="V27" s="45"/>
      <c r="W27" s="2"/>
      <c r="X27" s="2"/>
      <c r="Y27" s="45"/>
      <c r="Z27" s="2"/>
      <c r="AA27" s="2"/>
      <c r="AB27" s="2"/>
      <c r="AC27" s="18"/>
      <c r="AD27" s="18"/>
      <c r="AE27" s="2"/>
      <c r="AF27" s="2"/>
      <c r="AG27" s="2"/>
      <c r="AH27" s="2"/>
      <c r="AI27" s="18"/>
      <c r="AJ27" s="18"/>
      <c r="AK27" s="18"/>
      <c r="AL27" s="2"/>
      <c r="AM27" s="2"/>
      <c r="AN27" s="2"/>
      <c r="AO27" s="2"/>
      <c r="AP27" s="2"/>
      <c r="AQ27" s="2"/>
    </row>
    <row r="28" spans="1:43">
      <c r="A28" s="52" t="e">
        <f>#REF!</f>
        <v>#REF!</v>
      </c>
      <c r="B28" s="2" t="e">
        <f>#REF!</f>
        <v>#REF!</v>
      </c>
      <c r="C28" s="2"/>
      <c r="D28" s="2"/>
      <c r="E28" s="2"/>
      <c r="F28" s="2"/>
      <c r="G28" s="18"/>
      <c r="H28" s="18"/>
      <c r="I28" s="18"/>
      <c r="J28" s="18"/>
      <c r="K28" s="2"/>
      <c r="L28" s="2"/>
      <c r="M28" s="18"/>
      <c r="N28" s="18"/>
      <c r="O28" s="18"/>
      <c r="P28" s="18"/>
      <c r="Q28" s="18"/>
      <c r="R28" s="18"/>
      <c r="S28" s="2"/>
      <c r="T28" s="2"/>
      <c r="U28" s="45"/>
      <c r="V28" s="45"/>
      <c r="W28" s="2"/>
      <c r="X28" s="2"/>
      <c r="Y28" s="45"/>
      <c r="Z28" s="2"/>
      <c r="AA28" s="2"/>
      <c r="AB28" s="2"/>
      <c r="AC28" s="18"/>
      <c r="AD28" s="18"/>
      <c r="AE28" s="2"/>
      <c r="AF28" s="2"/>
      <c r="AG28" s="2"/>
      <c r="AH28" s="2"/>
      <c r="AI28" s="18"/>
      <c r="AJ28" s="18"/>
      <c r="AK28" s="18"/>
      <c r="AL28" s="2"/>
      <c r="AM28" s="2"/>
      <c r="AN28" s="2"/>
      <c r="AO28" s="2"/>
      <c r="AP28" s="2"/>
      <c r="AQ28" s="2"/>
    </row>
    <row r="29" spans="1:43">
      <c r="A29" s="379" t="e">
        <f>#REF!</f>
        <v>#REF!</v>
      </c>
      <c r="B29" s="380" t="e">
        <f>#REF!</f>
        <v>#REF!</v>
      </c>
      <c r="C29" s="2" t="s">
        <v>163</v>
      </c>
      <c r="D29" s="2"/>
      <c r="E29" s="2"/>
      <c r="F29" s="2"/>
      <c r="G29" s="18"/>
      <c r="H29" s="18"/>
      <c r="I29" s="18"/>
      <c r="J29" s="18"/>
      <c r="K29" s="2"/>
      <c r="L29" s="2"/>
      <c r="M29" s="18"/>
      <c r="N29" s="18"/>
      <c r="O29" s="18"/>
      <c r="P29" s="18"/>
      <c r="Q29" s="18"/>
      <c r="R29" s="18"/>
      <c r="S29" s="2"/>
      <c r="T29" s="2"/>
      <c r="U29" s="45"/>
      <c r="V29" s="45"/>
      <c r="W29" s="2"/>
      <c r="X29" s="2"/>
      <c r="Y29" s="45"/>
      <c r="Z29" s="2"/>
      <c r="AA29" s="2"/>
      <c r="AB29" s="2"/>
      <c r="AC29" s="18"/>
      <c r="AD29" s="18"/>
      <c r="AE29" s="2"/>
      <c r="AF29" s="2"/>
      <c r="AG29" s="2"/>
      <c r="AH29" s="2"/>
      <c r="AI29" s="18"/>
      <c r="AJ29" s="18"/>
      <c r="AK29" s="18"/>
      <c r="AL29" s="2"/>
      <c r="AM29" s="2"/>
      <c r="AN29" s="2"/>
      <c r="AO29" s="2"/>
      <c r="AP29" s="2"/>
      <c r="AQ29" s="2"/>
    </row>
    <row r="30" spans="1:43">
      <c r="A30" s="379"/>
      <c r="B30" s="380"/>
      <c r="C30" s="46" t="s">
        <v>164</v>
      </c>
      <c r="D30" s="2"/>
      <c r="E30" s="2"/>
      <c r="F30" s="2"/>
      <c r="G30" s="18"/>
      <c r="H30" s="18"/>
      <c r="I30" s="18"/>
      <c r="J30" s="18"/>
      <c r="K30" s="2"/>
      <c r="L30" s="2"/>
      <c r="M30" s="18"/>
      <c r="N30" s="18"/>
      <c r="O30" s="18"/>
      <c r="P30" s="18"/>
      <c r="Q30" s="18"/>
      <c r="R30" s="18"/>
      <c r="S30" s="2"/>
      <c r="T30" s="2"/>
      <c r="U30" s="45"/>
      <c r="V30" s="45"/>
      <c r="W30" s="2"/>
      <c r="X30" s="2"/>
      <c r="Y30" s="45"/>
      <c r="Z30" s="2"/>
      <c r="AA30" s="2"/>
      <c r="AB30" s="2"/>
      <c r="AC30" s="18"/>
      <c r="AD30" s="18"/>
      <c r="AE30" s="2"/>
      <c r="AF30" s="2"/>
      <c r="AG30" s="2"/>
      <c r="AH30" s="2"/>
      <c r="AI30" s="18"/>
      <c r="AJ30" s="18"/>
      <c r="AK30" s="18"/>
      <c r="AL30" s="2"/>
      <c r="AM30" s="2"/>
      <c r="AN30" s="2"/>
      <c r="AO30" s="2"/>
      <c r="AP30" s="2"/>
      <c r="AQ30" s="2"/>
    </row>
    <row r="31" spans="1:43" ht="197.25" customHeight="1">
      <c r="A31" s="379"/>
      <c r="B31" s="380"/>
      <c r="C31" s="46" t="s">
        <v>165</v>
      </c>
      <c r="D31" s="2"/>
      <c r="E31" s="3" t="s">
        <v>174</v>
      </c>
      <c r="F31" s="3" t="s">
        <v>169</v>
      </c>
      <c r="G31" s="18"/>
      <c r="H31" s="18"/>
      <c r="I31" s="3" t="s">
        <v>175</v>
      </c>
      <c r="J31" s="18"/>
      <c r="K31" s="2"/>
      <c r="L31" s="2"/>
      <c r="M31" s="18"/>
      <c r="N31" s="18"/>
      <c r="O31" s="18"/>
      <c r="P31" s="18"/>
      <c r="Q31" s="18"/>
      <c r="R31" s="18"/>
      <c r="S31" s="2"/>
      <c r="T31" s="2"/>
      <c r="U31" s="45"/>
      <c r="V31" s="45"/>
      <c r="W31" s="2"/>
      <c r="X31" s="2"/>
      <c r="Y31" s="45"/>
      <c r="Z31" s="2"/>
      <c r="AA31" s="2"/>
      <c r="AB31" s="2"/>
      <c r="AC31" s="18"/>
      <c r="AD31" s="18"/>
      <c r="AE31" s="2"/>
      <c r="AF31" s="2"/>
      <c r="AG31" s="2"/>
      <c r="AH31" s="2"/>
      <c r="AI31" s="18"/>
      <c r="AJ31" s="18"/>
      <c r="AK31" s="18"/>
      <c r="AL31" s="2"/>
      <c r="AM31" s="2"/>
      <c r="AN31" s="2"/>
      <c r="AO31" s="10" t="s">
        <v>176</v>
      </c>
      <c r="AP31" s="2"/>
      <c r="AQ31" s="2"/>
    </row>
    <row r="32" spans="1:43" ht="175.5" customHeight="1">
      <c r="A32" s="379"/>
      <c r="B32" s="380"/>
      <c r="C32" s="46" t="s">
        <v>166</v>
      </c>
      <c r="D32" s="2"/>
      <c r="E32" s="3" t="s">
        <v>168</v>
      </c>
      <c r="F32" s="3" t="s">
        <v>169</v>
      </c>
      <c r="G32" s="18"/>
      <c r="H32" s="18"/>
      <c r="I32" s="16" t="s">
        <v>171</v>
      </c>
      <c r="J32" s="18"/>
      <c r="K32" s="2"/>
      <c r="L32" s="2"/>
      <c r="M32" s="18"/>
      <c r="N32" s="18"/>
      <c r="O32" s="18"/>
      <c r="P32" s="18"/>
      <c r="Q32" s="18"/>
      <c r="R32" s="18"/>
      <c r="S32" s="2"/>
      <c r="T32" s="2"/>
      <c r="U32" s="45"/>
      <c r="V32" s="45"/>
      <c r="W32" s="2"/>
      <c r="X32" s="2"/>
      <c r="Y32" s="45"/>
      <c r="Z32" s="2"/>
      <c r="AA32" s="2"/>
      <c r="AB32" s="2"/>
      <c r="AC32" s="18"/>
      <c r="AD32" s="18"/>
      <c r="AE32" s="2"/>
      <c r="AF32" s="2"/>
      <c r="AG32" s="2"/>
      <c r="AH32" s="2"/>
      <c r="AI32" s="18"/>
      <c r="AJ32" s="18"/>
      <c r="AK32" s="18"/>
      <c r="AL32" s="2"/>
      <c r="AM32" s="2"/>
      <c r="AN32" s="2"/>
      <c r="AO32" s="10" t="s">
        <v>173</v>
      </c>
      <c r="AP32" s="2"/>
      <c r="AQ32" s="2"/>
    </row>
  </sheetData>
  <mergeCells count="29">
    <mergeCell ref="AA2:AB2"/>
    <mergeCell ref="A29:A32"/>
    <mergeCell ref="B29:B32"/>
    <mergeCell ref="B20:B27"/>
    <mergeCell ref="A20:A27"/>
    <mergeCell ref="W15:W19"/>
    <mergeCell ref="A15:A19"/>
    <mergeCell ref="B15:B19"/>
    <mergeCell ref="A10:A14"/>
    <mergeCell ref="B10:B14"/>
    <mergeCell ref="G2:H2"/>
    <mergeCell ref="K2:L2"/>
    <mergeCell ref="Y2:Z2"/>
    <mergeCell ref="Q2:R2"/>
    <mergeCell ref="O2:P2"/>
    <mergeCell ref="M2:N2"/>
    <mergeCell ref="AG2:AH2"/>
    <mergeCell ref="AK2:AL2"/>
    <mergeCell ref="AI2:AJ2"/>
    <mergeCell ref="AE2:AF2"/>
    <mergeCell ref="AC2:AD2"/>
    <mergeCell ref="W2:X2"/>
    <mergeCell ref="U2:V2"/>
    <mergeCell ref="S2:T2"/>
    <mergeCell ref="B3:B9"/>
    <mergeCell ref="A3:A9"/>
    <mergeCell ref="C2:D2"/>
    <mergeCell ref="E2:F2"/>
    <mergeCell ref="I2:J2"/>
  </mergeCells>
  <conditionalFormatting sqref="G2:I2 K2:XFD2 A3:B20 C3:XFD32 A28:B29 A33:XFD1048576 A2:E2">
    <cfRule type="cellIs" dxfId="2" priority="1" operator="equal">
      <formula>"?"</formula>
    </cfRule>
    <cfRule type="cellIs" dxfId="1" priority="3" operator="equal">
      <formula>" "</formula>
    </cfRule>
  </conditionalFormatting>
  <conditionalFormatting sqref="V15:V19">
    <cfRule type="cellIs" dxfId="0" priority="2" operator="equal">
      <formula>" "</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W121"/>
  <sheetViews>
    <sheetView workbookViewId="0">
      <selection activeCell="F29" sqref="F29"/>
    </sheetView>
  </sheetViews>
  <sheetFormatPr defaultRowHeight="13.2"/>
  <cols>
    <col min="1" max="1" width="33.88671875" style="76" customWidth="1"/>
    <col min="2" max="2" width="41.88671875" style="76" customWidth="1"/>
    <col min="3" max="3" width="19.88671875" style="76" bestFit="1" customWidth="1"/>
    <col min="4" max="4" width="15" style="76" customWidth="1"/>
    <col min="5" max="5" width="17" style="76" bestFit="1" customWidth="1"/>
    <col min="6" max="7" width="12.88671875" style="76" customWidth="1"/>
    <col min="8" max="8" width="13.6640625" style="76" customWidth="1"/>
    <col min="9" max="23" width="12.88671875" style="76" customWidth="1"/>
    <col min="24" max="255" width="9.109375" style="76"/>
    <col min="256" max="256" width="33.88671875" style="76" customWidth="1"/>
    <col min="257" max="257" width="19.33203125" style="76" customWidth="1"/>
    <col min="258" max="279" width="12.88671875" style="76" customWidth="1"/>
    <col min="280" max="511" width="9.109375" style="76"/>
    <col min="512" max="512" width="33.88671875" style="76" customWidth="1"/>
    <col min="513" max="513" width="19.33203125" style="76" customWidth="1"/>
    <col min="514" max="535" width="12.88671875" style="76" customWidth="1"/>
    <col min="536" max="767" width="9.109375" style="76"/>
    <col min="768" max="768" width="33.88671875" style="76" customWidth="1"/>
    <col min="769" max="769" width="19.33203125" style="76" customWidth="1"/>
    <col min="770" max="791" width="12.88671875" style="76" customWidth="1"/>
    <col min="792" max="1023" width="9.109375" style="76"/>
    <col min="1024" max="1024" width="33.88671875" style="76" customWidth="1"/>
    <col min="1025" max="1025" width="19.33203125" style="76" customWidth="1"/>
    <col min="1026" max="1047" width="12.88671875" style="76" customWidth="1"/>
    <col min="1048" max="1279" width="9.109375" style="76"/>
    <col min="1280" max="1280" width="33.88671875" style="76" customWidth="1"/>
    <col min="1281" max="1281" width="19.33203125" style="76" customWidth="1"/>
    <col min="1282" max="1303" width="12.88671875" style="76" customWidth="1"/>
    <col min="1304" max="1535" width="9.109375" style="76"/>
    <col min="1536" max="1536" width="33.88671875" style="76" customWidth="1"/>
    <col min="1537" max="1537" width="19.33203125" style="76" customWidth="1"/>
    <col min="1538" max="1559" width="12.88671875" style="76" customWidth="1"/>
    <col min="1560" max="1791" width="9.109375" style="76"/>
    <col min="1792" max="1792" width="33.88671875" style="76" customWidth="1"/>
    <col min="1793" max="1793" width="19.33203125" style="76" customWidth="1"/>
    <col min="1794" max="1815" width="12.88671875" style="76" customWidth="1"/>
    <col min="1816" max="2047" width="9.109375" style="76"/>
    <col min="2048" max="2048" width="33.88671875" style="76" customWidth="1"/>
    <col min="2049" max="2049" width="19.33203125" style="76" customWidth="1"/>
    <col min="2050" max="2071" width="12.88671875" style="76" customWidth="1"/>
    <col min="2072" max="2303" width="9.109375" style="76"/>
    <col min="2304" max="2304" width="33.88671875" style="76" customWidth="1"/>
    <col min="2305" max="2305" width="19.33203125" style="76" customWidth="1"/>
    <col min="2306" max="2327" width="12.88671875" style="76" customWidth="1"/>
    <col min="2328" max="2559" width="9.109375" style="76"/>
    <col min="2560" max="2560" width="33.88671875" style="76" customWidth="1"/>
    <col min="2561" max="2561" width="19.33203125" style="76" customWidth="1"/>
    <col min="2562" max="2583" width="12.88671875" style="76" customWidth="1"/>
    <col min="2584" max="2815" width="9.109375" style="76"/>
    <col min="2816" max="2816" width="33.88671875" style="76" customWidth="1"/>
    <col min="2817" max="2817" width="19.33203125" style="76" customWidth="1"/>
    <col min="2818" max="2839" width="12.88671875" style="76" customWidth="1"/>
    <col min="2840" max="3071" width="9.109375" style="76"/>
    <col min="3072" max="3072" width="33.88671875" style="76" customWidth="1"/>
    <col min="3073" max="3073" width="19.33203125" style="76" customWidth="1"/>
    <col min="3074" max="3095" width="12.88671875" style="76" customWidth="1"/>
    <col min="3096" max="3327" width="9.109375" style="76"/>
    <col min="3328" max="3328" width="33.88671875" style="76" customWidth="1"/>
    <col min="3329" max="3329" width="19.33203125" style="76" customWidth="1"/>
    <col min="3330" max="3351" width="12.88671875" style="76" customWidth="1"/>
    <col min="3352" max="3583" width="9.109375" style="76"/>
    <col min="3584" max="3584" width="33.88671875" style="76" customWidth="1"/>
    <col min="3585" max="3585" width="19.33203125" style="76" customWidth="1"/>
    <col min="3586" max="3607" width="12.88671875" style="76" customWidth="1"/>
    <col min="3608" max="3839" width="9.109375" style="76"/>
    <col min="3840" max="3840" width="33.88671875" style="76" customWidth="1"/>
    <col min="3841" max="3841" width="19.33203125" style="76" customWidth="1"/>
    <col min="3842" max="3863" width="12.88671875" style="76" customWidth="1"/>
    <col min="3864" max="4095" width="9.109375" style="76"/>
    <col min="4096" max="4096" width="33.88671875" style="76" customWidth="1"/>
    <col min="4097" max="4097" width="19.33203125" style="76" customWidth="1"/>
    <col min="4098" max="4119" width="12.88671875" style="76" customWidth="1"/>
    <col min="4120" max="4351" width="9.109375" style="76"/>
    <col min="4352" max="4352" width="33.88671875" style="76" customWidth="1"/>
    <col min="4353" max="4353" width="19.33203125" style="76" customWidth="1"/>
    <col min="4354" max="4375" width="12.88671875" style="76" customWidth="1"/>
    <col min="4376" max="4607" width="9.109375" style="76"/>
    <col min="4608" max="4608" width="33.88671875" style="76" customWidth="1"/>
    <col min="4609" max="4609" width="19.33203125" style="76" customWidth="1"/>
    <col min="4610" max="4631" width="12.88671875" style="76" customWidth="1"/>
    <col min="4632" max="4863" width="9.109375" style="76"/>
    <col min="4864" max="4864" width="33.88671875" style="76" customWidth="1"/>
    <col min="4865" max="4865" width="19.33203125" style="76" customWidth="1"/>
    <col min="4866" max="4887" width="12.88671875" style="76" customWidth="1"/>
    <col min="4888" max="5119" width="9.109375" style="76"/>
    <col min="5120" max="5120" width="33.88671875" style="76" customWidth="1"/>
    <col min="5121" max="5121" width="19.33203125" style="76" customWidth="1"/>
    <col min="5122" max="5143" width="12.88671875" style="76" customWidth="1"/>
    <col min="5144" max="5375" width="9.109375" style="76"/>
    <col min="5376" max="5376" width="33.88671875" style="76" customWidth="1"/>
    <col min="5377" max="5377" width="19.33203125" style="76" customWidth="1"/>
    <col min="5378" max="5399" width="12.88671875" style="76" customWidth="1"/>
    <col min="5400" max="5631" width="9.109375" style="76"/>
    <col min="5632" max="5632" width="33.88671875" style="76" customWidth="1"/>
    <col min="5633" max="5633" width="19.33203125" style="76" customWidth="1"/>
    <col min="5634" max="5655" width="12.88671875" style="76" customWidth="1"/>
    <col min="5656" max="5887" width="9.109375" style="76"/>
    <col min="5888" max="5888" width="33.88671875" style="76" customWidth="1"/>
    <col min="5889" max="5889" width="19.33203125" style="76" customWidth="1"/>
    <col min="5890" max="5911" width="12.88671875" style="76" customWidth="1"/>
    <col min="5912" max="6143" width="9.109375" style="76"/>
    <col min="6144" max="6144" width="33.88671875" style="76" customWidth="1"/>
    <col min="6145" max="6145" width="19.33203125" style="76" customWidth="1"/>
    <col min="6146" max="6167" width="12.88671875" style="76" customWidth="1"/>
    <col min="6168" max="6399" width="9.109375" style="76"/>
    <col min="6400" max="6400" width="33.88671875" style="76" customWidth="1"/>
    <col min="6401" max="6401" width="19.33203125" style="76" customWidth="1"/>
    <col min="6402" max="6423" width="12.88671875" style="76" customWidth="1"/>
    <col min="6424" max="6655" width="9.109375" style="76"/>
    <col min="6656" max="6656" width="33.88671875" style="76" customWidth="1"/>
    <col min="6657" max="6657" width="19.33203125" style="76" customWidth="1"/>
    <col min="6658" max="6679" width="12.88671875" style="76" customWidth="1"/>
    <col min="6680" max="6911" width="9.109375" style="76"/>
    <col min="6912" max="6912" width="33.88671875" style="76" customWidth="1"/>
    <col min="6913" max="6913" width="19.33203125" style="76" customWidth="1"/>
    <col min="6914" max="6935" width="12.88671875" style="76" customWidth="1"/>
    <col min="6936" max="7167" width="9.109375" style="76"/>
    <col min="7168" max="7168" width="33.88671875" style="76" customWidth="1"/>
    <col min="7169" max="7169" width="19.33203125" style="76" customWidth="1"/>
    <col min="7170" max="7191" width="12.88671875" style="76" customWidth="1"/>
    <col min="7192" max="7423" width="9.109375" style="76"/>
    <col min="7424" max="7424" width="33.88671875" style="76" customWidth="1"/>
    <col min="7425" max="7425" width="19.33203125" style="76" customWidth="1"/>
    <col min="7426" max="7447" width="12.88671875" style="76" customWidth="1"/>
    <col min="7448" max="7679" width="9.109375" style="76"/>
    <col min="7680" max="7680" width="33.88671875" style="76" customWidth="1"/>
    <col min="7681" max="7681" width="19.33203125" style="76" customWidth="1"/>
    <col min="7682" max="7703" width="12.88671875" style="76" customWidth="1"/>
    <col min="7704" max="7935" width="9.109375" style="76"/>
    <col min="7936" max="7936" width="33.88671875" style="76" customWidth="1"/>
    <col min="7937" max="7937" width="19.33203125" style="76" customWidth="1"/>
    <col min="7938" max="7959" width="12.88671875" style="76" customWidth="1"/>
    <col min="7960" max="8191" width="9.109375" style="76"/>
    <col min="8192" max="8192" width="33.88671875" style="76" customWidth="1"/>
    <col min="8193" max="8193" width="19.33203125" style="76" customWidth="1"/>
    <col min="8194" max="8215" width="12.88671875" style="76" customWidth="1"/>
    <col min="8216" max="8447" width="9.109375" style="76"/>
    <col min="8448" max="8448" width="33.88671875" style="76" customWidth="1"/>
    <col min="8449" max="8449" width="19.33203125" style="76" customWidth="1"/>
    <col min="8450" max="8471" width="12.88671875" style="76" customWidth="1"/>
    <col min="8472" max="8703" width="9.109375" style="76"/>
    <col min="8704" max="8704" width="33.88671875" style="76" customWidth="1"/>
    <col min="8705" max="8705" width="19.33203125" style="76" customWidth="1"/>
    <col min="8706" max="8727" width="12.88671875" style="76" customWidth="1"/>
    <col min="8728" max="8959" width="9.109375" style="76"/>
    <col min="8960" max="8960" width="33.88671875" style="76" customWidth="1"/>
    <col min="8961" max="8961" width="19.33203125" style="76" customWidth="1"/>
    <col min="8962" max="8983" width="12.88671875" style="76" customWidth="1"/>
    <col min="8984" max="9215" width="9.109375" style="76"/>
    <col min="9216" max="9216" width="33.88671875" style="76" customWidth="1"/>
    <col min="9217" max="9217" width="19.33203125" style="76" customWidth="1"/>
    <col min="9218" max="9239" width="12.88671875" style="76" customWidth="1"/>
    <col min="9240" max="9471" width="9.109375" style="76"/>
    <col min="9472" max="9472" width="33.88671875" style="76" customWidth="1"/>
    <col min="9473" max="9473" width="19.33203125" style="76" customWidth="1"/>
    <col min="9474" max="9495" width="12.88671875" style="76" customWidth="1"/>
    <col min="9496" max="9727" width="9.109375" style="76"/>
    <col min="9728" max="9728" width="33.88671875" style="76" customWidth="1"/>
    <col min="9729" max="9729" width="19.33203125" style="76" customWidth="1"/>
    <col min="9730" max="9751" width="12.88671875" style="76" customWidth="1"/>
    <col min="9752" max="9983" width="9.109375" style="76"/>
    <col min="9984" max="9984" width="33.88671875" style="76" customWidth="1"/>
    <col min="9985" max="9985" width="19.33203125" style="76" customWidth="1"/>
    <col min="9986" max="10007" width="12.88671875" style="76" customWidth="1"/>
    <col min="10008" max="10239" width="9.109375" style="76"/>
    <col min="10240" max="10240" width="33.88671875" style="76" customWidth="1"/>
    <col min="10241" max="10241" width="19.33203125" style="76" customWidth="1"/>
    <col min="10242" max="10263" width="12.88671875" style="76" customWidth="1"/>
    <col min="10264" max="10495" width="9.109375" style="76"/>
    <col min="10496" max="10496" width="33.88671875" style="76" customWidth="1"/>
    <col min="10497" max="10497" width="19.33203125" style="76" customWidth="1"/>
    <col min="10498" max="10519" width="12.88671875" style="76" customWidth="1"/>
    <col min="10520" max="10751" width="9.109375" style="76"/>
    <col min="10752" max="10752" width="33.88671875" style="76" customWidth="1"/>
    <col min="10753" max="10753" width="19.33203125" style="76" customWidth="1"/>
    <col min="10754" max="10775" width="12.88671875" style="76" customWidth="1"/>
    <col min="10776" max="11007" width="9.109375" style="76"/>
    <col min="11008" max="11008" width="33.88671875" style="76" customWidth="1"/>
    <col min="11009" max="11009" width="19.33203125" style="76" customWidth="1"/>
    <col min="11010" max="11031" width="12.88671875" style="76" customWidth="1"/>
    <col min="11032" max="11263" width="9.109375" style="76"/>
    <col min="11264" max="11264" width="33.88671875" style="76" customWidth="1"/>
    <col min="11265" max="11265" width="19.33203125" style="76" customWidth="1"/>
    <col min="11266" max="11287" width="12.88671875" style="76" customWidth="1"/>
    <col min="11288" max="11519" width="9.109375" style="76"/>
    <col min="11520" max="11520" width="33.88671875" style="76" customWidth="1"/>
    <col min="11521" max="11521" width="19.33203125" style="76" customWidth="1"/>
    <col min="11522" max="11543" width="12.88671875" style="76" customWidth="1"/>
    <col min="11544" max="11775" width="9.109375" style="76"/>
    <col min="11776" max="11776" width="33.88671875" style="76" customWidth="1"/>
    <col min="11777" max="11777" width="19.33203125" style="76" customWidth="1"/>
    <col min="11778" max="11799" width="12.88671875" style="76" customWidth="1"/>
    <col min="11800" max="12031" width="9.109375" style="76"/>
    <col min="12032" max="12032" width="33.88671875" style="76" customWidth="1"/>
    <col min="12033" max="12033" width="19.33203125" style="76" customWidth="1"/>
    <col min="12034" max="12055" width="12.88671875" style="76" customWidth="1"/>
    <col min="12056" max="12287" width="9.109375" style="76"/>
    <col min="12288" max="12288" width="33.88671875" style="76" customWidth="1"/>
    <col min="12289" max="12289" width="19.33203125" style="76" customWidth="1"/>
    <col min="12290" max="12311" width="12.88671875" style="76" customWidth="1"/>
    <col min="12312" max="12543" width="9.109375" style="76"/>
    <col min="12544" max="12544" width="33.88671875" style="76" customWidth="1"/>
    <col min="12545" max="12545" width="19.33203125" style="76" customWidth="1"/>
    <col min="12546" max="12567" width="12.88671875" style="76" customWidth="1"/>
    <col min="12568" max="12799" width="9.109375" style="76"/>
    <col min="12800" max="12800" width="33.88671875" style="76" customWidth="1"/>
    <col min="12801" max="12801" width="19.33203125" style="76" customWidth="1"/>
    <col min="12802" max="12823" width="12.88671875" style="76" customWidth="1"/>
    <col min="12824" max="13055" width="9.109375" style="76"/>
    <col min="13056" max="13056" width="33.88671875" style="76" customWidth="1"/>
    <col min="13057" max="13057" width="19.33203125" style="76" customWidth="1"/>
    <col min="13058" max="13079" width="12.88671875" style="76" customWidth="1"/>
    <col min="13080" max="13311" width="9.109375" style="76"/>
    <col min="13312" max="13312" width="33.88671875" style="76" customWidth="1"/>
    <col min="13313" max="13313" width="19.33203125" style="76" customWidth="1"/>
    <col min="13314" max="13335" width="12.88671875" style="76" customWidth="1"/>
    <col min="13336" max="13567" width="9.109375" style="76"/>
    <col min="13568" max="13568" width="33.88671875" style="76" customWidth="1"/>
    <col min="13569" max="13569" width="19.33203125" style="76" customWidth="1"/>
    <col min="13570" max="13591" width="12.88671875" style="76" customWidth="1"/>
    <col min="13592" max="13823" width="9.109375" style="76"/>
    <col min="13824" max="13824" width="33.88671875" style="76" customWidth="1"/>
    <col min="13825" max="13825" width="19.33203125" style="76" customWidth="1"/>
    <col min="13826" max="13847" width="12.88671875" style="76" customWidth="1"/>
    <col min="13848" max="14079" width="9.109375" style="76"/>
    <col min="14080" max="14080" width="33.88671875" style="76" customWidth="1"/>
    <col min="14081" max="14081" width="19.33203125" style="76" customWidth="1"/>
    <col min="14082" max="14103" width="12.88671875" style="76" customWidth="1"/>
    <col min="14104" max="14335" width="9.109375" style="76"/>
    <col min="14336" max="14336" width="33.88671875" style="76" customWidth="1"/>
    <col min="14337" max="14337" width="19.33203125" style="76" customWidth="1"/>
    <col min="14338" max="14359" width="12.88671875" style="76" customWidth="1"/>
    <col min="14360" max="14591" width="9.109375" style="76"/>
    <col min="14592" max="14592" width="33.88671875" style="76" customWidth="1"/>
    <col min="14593" max="14593" width="19.33203125" style="76" customWidth="1"/>
    <col min="14594" max="14615" width="12.88671875" style="76" customWidth="1"/>
    <col min="14616" max="14847" width="9.109375" style="76"/>
    <col min="14848" max="14848" width="33.88671875" style="76" customWidth="1"/>
    <col min="14849" max="14849" width="19.33203125" style="76" customWidth="1"/>
    <col min="14850" max="14871" width="12.88671875" style="76" customWidth="1"/>
    <col min="14872" max="15103" width="9.109375" style="76"/>
    <col min="15104" max="15104" width="33.88671875" style="76" customWidth="1"/>
    <col min="15105" max="15105" width="19.33203125" style="76" customWidth="1"/>
    <col min="15106" max="15127" width="12.88671875" style="76" customWidth="1"/>
    <col min="15128" max="15359" width="9.109375" style="76"/>
    <col min="15360" max="15360" width="33.88671875" style="76" customWidth="1"/>
    <col min="15361" max="15361" width="19.33203125" style="76" customWidth="1"/>
    <col min="15362" max="15383" width="12.88671875" style="76" customWidth="1"/>
    <col min="15384" max="15615" width="9.109375" style="76"/>
    <col min="15616" max="15616" width="33.88671875" style="76" customWidth="1"/>
    <col min="15617" max="15617" width="19.33203125" style="76" customWidth="1"/>
    <col min="15618" max="15639" width="12.88671875" style="76" customWidth="1"/>
    <col min="15640" max="15871" width="9.109375" style="76"/>
    <col min="15872" max="15872" width="33.88671875" style="76" customWidth="1"/>
    <col min="15873" max="15873" width="19.33203125" style="76" customWidth="1"/>
    <col min="15874" max="15895" width="12.88671875" style="76" customWidth="1"/>
    <col min="15896" max="16127" width="9.109375" style="76"/>
    <col min="16128" max="16128" width="33.88671875" style="76" customWidth="1"/>
    <col min="16129" max="16129" width="19.33203125" style="76" customWidth="1"/>
    <col min="16130" max="16151" width="12.88671875" style="76" customWidth="1"/>
    <col min="16152" max="16384" width="9.109375" style="76"/>
  </cols>
  <sheetData>
    <row r="1" spans="1:23" ht="16.2" thickBot="1">
      <c r="A1" s="494" t="s">
        <v>304</v>
      </c>
      <c r="B1" s="495"/>
      <c r="C1" s="495"/>
      <c r="D1" s="495"/>
      <c r="E1" s="495"/>
      <c r="F1" s="495"/>
      <c r="G1" s="495"/>
      <c r="H1" s="495"/>
      <c r="I1" s="495"/>
      <c r="J1" s="495"/>
      <c r="K1" s="495"/>
      <c r="L1" s="495"/>
      <c r="M1" s="495"/>
      <c r="N1" s="495"/>
      <c r="O1" s="495"/>
      <c r="P1" s="495"/>
      <c r="Q1" s="495"/>
      <c r="R1" s="495"/>
      <c r="S1" s="495"/>
      <c r="T1" s="495"/>
      <c r="U1" s="495"/>
      <c r="V1" s="495"/>
      <c r="W1" s="496"/>
    </row>
    <row r="2" spans="1:23" ht="16.2" thickBot="1">
      <c r="A2" s="181" t="s">
        <v>235</v>
      </c>
      <c r="B2" s="182"/>
      <c r="C2" s="182"/>
      <c r="D2" s="182"/>
      <c r="E2" s="182"/>
      <c r="F2" s="182"/>
      <c r="G2" s="182"/>
      <c r="H2" s="182"/>
      <c r="I2" s="182"/>
      <c r="J2" s="182"/>
      <c r="K2" s="182"/>
      <c r="L2" s="182"/>
      <c r="M2" s="183"/>
      <c r="N2" s="183"/>
      <c r="O2" s="183"/>
      <c r="P2" s="183"/>
      <c r="Q2" s="183"/>
      <c r="R2" s="183"/>
      <c r="S2" s="183"/>
      <c r="T2" s="183"/>
      <c r="U2" s="183"/>
      <c r="V2" s="183"/>
      <c r="W2" s="184"/>
    </row>
    <row r="3" spans="1:23" ht="15.6">
      <c r="A3" s="154" t="s">
        <v>233</v>
      </c>
      <c r="B3" s="155"/>
      <c r="C3" s="155"/>
      <c r="D3" s="156"/>
      <c r="E3" s="156"/>
      <c r="F3" s="156"/>
      <c r="G3" s="156"/>
      <c r="H3" s="156"/>
      <c r="I3" s="156"/>
      <c r="J3" s="156"/>
      <c r="K3" s="156"/>
      <c r="L3" s="156"/>
      <c r="M3" s="157"/>
      <c r="N3" s="157"/>
      <c r="O3" s="157"/>
      <c r="P3" s="157"/>
      <c r="Q3" s="157"/>
      <c r="R3" s="157"/>
      <c r="S3" s="157"/>
      <c r="T3" s="157"/>
      <c r="U3" s="157"/>
      <c r="V3" s="157"/>
      <c r="W3" s="158"/>
    </row>
    <row r="4" spans="1:23">
      <c r="A4" s="159"/>
      <c r="B4" s="160"/>
      <c r="C4" s="498" t="s">
        <v>230</v>
      </c>
      <c r="D4" s="498"/>
      <c r="E4" s="498"/>
      <c r="F4" s="498"/>
      <c r="G4" s="498"/>
      <c r="H4" s="498"/>
      <c r="I4" s="498"/>
      <c r="J4" s="498"/>
      <c r="K4" s="498"/>
      <c r="L4" s="498"/>
      <c r="M4" s="498"/>
      <c r="N4" s="498"/>
      <c r="O4" s="498"/>
      <c r="P4" s="498"/>
      <c r="Q4" s="498"/>
      <c r="R4" s="498"/>
      <c r="S4" s="498"/>
      <c r="T4" s="498"/>
      <c r="U4" s="498"/>
      <c r="V4" s="498"/>
      <c r="W4" s="499"/>
    </row>
    <row r="5" spans="1:23">
      <c r="A5" s="159"/>
      <c r="B5" s="161" t="s">
        <v>1</v>
      </c>
      <c r="C5" s="162">
        <v>2015</v>
      </c>
      <c r="D5" s="162">
        <v>2016</v>
      </c>
      <c r="E5" s="162">
        <v>2017</v>
      </c>
      <c r="F5" s="162">
        <v>2018</v>
      </c>
      <c r="G5" s="162">
        <v>2019</v>
      </c>
      <c r="H5" s="162">
        <v>2020</v>
      </c>
      <c r="I5" s="162">
        <v>2021</v>
      </c>
      <c r="J5" s="162">
        <v>2022</v>
      </c>
      <c r="K5" s="162">
        <v>2023</v>
      </c>
      <c r="L5" s="162">
        <v>2024</v>
      </c>
      <c r="M5" s="162">
        <v>2025</v>
      </c>
      <c r="N5" s="162">
        <v>2026</v>
      </c>
      <c r="O5" s="162">
        <v>2027</v>
      </c>
      <c r="P5" s="162">
        <v>2028</v>
      </c>
      <c r="Q5" s="162">
        <v>2029</v>
      </c>
      <c r="R5" s="162">
        <v>2030</v>
      </c>
      <c r="S5" s="162">
        <v>2031</v>
      </c>
      <c r="T5" s="162">
        <v>2032</v>
      </c>
      <c r="U5" s="162">
        <v>2033</v>
      </c>
      <c r="V5" s="162">
        <v>2034</v>
      </c>
      <c r="W5" s="163">
        <v>2035</v>
      </c>
    </row>
    <row r="6" spans="1:23" ht="13.8" thickBot="1">
      <c r="A6" s="164"/>
      <c r="B6" s="165" t="s">
        <v>234</v>
      </c>
      <c r="C6" s="171">
        <f>'NW Customers'!F3</f>
        <v>6249711</v>
      </c>
      <c r="D6" s="171">
        <f>'NW Customers'!G3</f>
        <v>6345977</v>
      </c>
      <c r="E6" s="171">
        <f>'NW Customers'!H3</f>
        <v>6441457</v>
      </c>
      <c r="F6" s="171">
        <f>'NW Customers'!I3</f>
        <v>6536223</v>
      </c>
      <c r="G6" s="171">
        <f>'NW Customers'!J3</f>
        <v>6630423</v>
      </c>
      <c r="H6" s="171">
        <f>'NW Customers'!K3</f>
        <v>6724196</v>
      </c>
      <c r="I6" s="171">
        <f>'NW Customers'!L3</f>
        <v>6816156</v>
      </c>
      <c r="J6" s="171">
        <f>'NW Customers'!M3</f>
        <v>6907512</v>
      </c>
      <c r="K6" s="171">
        <f>'NW Customers'!N3</f>
        <v>6998378</v>
      </c>
      <c r="L6" s="171">
        <f>'NW Customers'!O3</f>
        <v>7088375</v>
      </c>
      <c r="M6" s="171">
        <f>'NW Customers'!P3</f>
        <v>7177924</v>
      </c>
      <c r="N6" s="171">
        <f>'NW Customers'!Q3</f>
        <v>7266466</v>
      </c>
      <c r="O6" s="171">
        <f>'NW Customers'!R3</f>
        <v>7353492</v>
      </c>
      <c r="P6" s="171">
        <f>'NW Customers'!S3</f>
        <v>7438640</v>
      </c>
      <c r="Q6" s="171">
        <f>'NW Customers'!T3</f>
        <v>7522347</v>
      </c>
      <c r="R6" s="171">
        <f>'NW Customers'!U3</f>
        <v>7605304</v>
      </c>
      <c r="S6" s="171">
        <f>'NW Customers'!V3</f>
        <v>7689175.8559417697</v>
      </c>
      <c r="T6" s="171">
        <f>'NW Customers'!W3</f>
        <v>7773972.6569244107</v>
      </c>
      <c r="U6" s="171">
        <f>'NW Customers'!X3</f>
        <v>7859704.6033103568</v>
      </c>
      <c r="V6" s="171">
        <f>'NW Customers'!Y3</f>
        <v>7946382.0079523949</v>
      </c>
      <c r="W6" s="172">
        <f>'NW Customers'!Z3</f>
        <v>8034015.2974342164</v>
      </c>
    </row>
    <row r="7" spans="1:23" s="230" customFormat="1" ht="16.2" thickBot="1">
      <c r="A7" s="242"/>
      <c r="B7" s="242"/>
      <c r="C7" s="242"/>
      <c r="D7" s="243"/>
      <c r="E7" s="243"/>
      <c r="F7" s="243"/>
      <c r="G7" s="243"/>
      <c r="H7" s="243"/>
      <c r="I7" s="243"/>
      <c r="J7" s="243"/>
      <c r="K7" s="243"/>
      <c r="L7" s="243"/>
    </row>
    <row r="8" spans="1:23" ht="15.6">
      <c r="A8" s="154" t="s">
        <v>292</v>
      </c>
      <c r="B8" s="155"/>
      <c r="C8" s="155"/>
      <c r="D8" s="156"/>
      <c r="E8" s="156"/>
      <c r="F8" s="156"/>
      <c r="G8" s="156"/>
      <c r="H8" s="156"/>
      <c r="I8" s="156"/>
      <c r="J8" s="156"/>
      <c r="K8" s="156"/>
      <c r="L8" s="156"/>
      <c r="M8" s="157"/>
      <c r="N8" s="157"/>
      <c r="O8" s="157"/>
      <c r="P8" s="157"/>
      <c r="Q8" s="157"/>
      <c r="R8" s="157"/>
      <c r="S8" s="157"/>
      <c r="T8" s="157"/>
      <c r="U8" s="157"/>
      <c r="V8" s="157"/>
      <c r="W8" s="158"/>
    </row>
    <row r="9" spans="1:23" ht="15.6">
      <c r="A9" s="188"/>
      <c r="B9" s="161" t="s">
        <v>241</v>
      </c>
      <c r="C9" s="177">
        <f>KeyAssumptions!K4</f>
        <v>0.33</v>
      </c>
      <c r="D9" s="166"/>
      <c r="E9" s="166"/>
      <c r="F9" s="166"/>
      <c r="G9" s="166"/>
      <c r="H9" s="166"/>
      <c r="I9" s="166"/>
      <c r="J9" s="166"/>
      <c r="K9" s="166"/>
      <c r="L9" s="166"/>
      <c r="M9" s="167"/>
      <c r="N9" s="167"/>
      <c r="O9" s="167"/>
      <c r="P9" s="167"/>
      <c r="Q9" s="167"/>
      <c r="R9" s="167"/>
      <c r="S9" s="167"/>
      <c r="T9" s="167"/>
      <c r="U9" s="167"/>
      <c r="V9" s="167"/>
      <c r="W9" s="168"/>
    </row>
    <row r="10" spans="1:23" ht="15.6">
      <c r="A10" s="188"/>
      <c r="B10" s="161" t="s">
        <v>207</v>
      </c>
      <c r="C10" s="177">
        <f>KeyAssumptions!L4</f>
        <v>0.25</v>
      </c>
      <c r="D10" s="166"/>
      <c r="E10" s="166"/>
      <c r="F10" s="166"/>
      <c r="G10" s="166"/>
      <c r="H10" s="166"/>
      <c r="I10" s="166"/>
      <c r="J10" s="166"/>
      <c r="K10" s="166"/>
      <c r="L10" s="166"/>
      <c r="M10" s="167"/>
      <c r="N10" s="167"/>
      <c r="O10" s="167"/>
      <c r="P10" s="167"/>
      <c r="Q10" s="167"/>
      <c r="R10" s="167"/>
      <c r="S10" s="167"/>
      <c r="T10" s="167"/>
      <c r="U10" s="167"/>
      <c r="V10" s="167"/>
      <c r="W10" s="168"/>
    </row>
    <row r="11" spans="1:23" ht="15.75" customHeight="1">
      <c r="A11" s="188"/>
      <c r="B11" s="191" t="s">
        <v>355</v>
      </c>
      <c r="C11" s="177">
        <v>0.95</v>
      </c>
      <c r="D11" s="166"/>
      <c r="E11" s="166"/>
      <c r="F11" s="166"/>
      <c r="G11" s="166"/>
      <c r="H11" s="166"/>
      <c r="I11" s="166"/>
      <c r="J11" s="166"/>
      <c r="K11" s="166"/>
      <c r="L11" s="166"/>
      <c r="M11" s="167"/>
      <c r="N11" s="167"/>
      <c r="O11" s="167"/>
      <c r="P11" s="167"/>
      <c r="Q11" s="167"/>
      <c r="R11" s="167"/>
      <c r="S11" s="167"/>
      <c r="T11" s="167"/>
      <c r="U11" s="167"/>
      <c r="V11" s="167"/>
      <c r="W11" s="168"/>
    </row>
    <row r="12" spans="1:23" ht="15.6">
      <c r="A12" s="188"/>
      <c r="B12" s="160"/>
      <c r="C12" s="160"/>
      <c r="D12" s="166"/>
      <c r="E12" s="166"/>
      <c r="F12" s="166"/>
      <c r="G12" s="166"/>
      <c r="H12" s="166"/>
      <c r="I12" s="166"/>
      <c r="J12" s="166"/>
      <c r="K12" s="166"/>
      <c r="L12" s="166"/>
      <c r="M12" s="167"/>
      <c r="N12" s="167"/>
      <c r="O12" s="167"/>
      <c r="P12" s="167"/>
      <c r="Q12" s="167"/>
      <c r="R12" s="167"/>
      <c r="S12" s="167"/>
      <c r="T12" s="167"/>
      <c r="U12" s="167"/>
      <c r="V12" s="167"/>
      <c r="W12" s="168"/>
    </row>
    <row r="13" spans="1:23">
      <c r="A13" s="159"/>
      <c r="B13" s="161" t="s">
        <v>1</v>
      </c>
      <c r="C13" s="162">
        <v>2015</v>
      </c>
      <c r="D13" s="162">
        <v>2016</v>
      </c>
      <c r="E13" s="162">
        <v>2017</v>
      </c>
      <c r="F13" s="162">
        <v>2018</v>
      </c>
      <c r="G13" s="162">
        <v>2019</v>
      </c>
      <c r="H13" s="162">
        <v>2020</v>
      </c>
      <c r="I13" s="162">
        <v>2021</v>
      </c>
      <c r="J13" s="162">
        <v>2022</v>
      </c>
      <c r="K13" s="162">
        <v>2023</v>
      </c>
      <c r="L13" s="162">
        <v>2024</v>
      </c>
      <c r="M13" s="162">
        <v>2025</v>
      </c>
      <c r="N13" s="162">
        <v>2026</v>
      </c>
      <c r="O13" s="162">
        <v>2027</v>
      </c>
      <c r="P13" s="162">
        <v>2028</v>
      </c>
      <c r="Q13" s="162">
        <v>2029</v>
      </c>
      <c r="R13" s="162">
        <v>2030</v>
      </c>
      <c r="S13" s="162">
        <v>2031</v>
      </c>
      <c r="T13" s="162">
        <v>2032</v>
      </c>
      <c r="U13" s="162">
        <v>2033</v>
      </c>
      <c r="V13" s="162">
        <v>2034</v>
      </c>
      <c r="W13" s="163">
        <v>2035</v>
      </c>
    </row>
    <row r="14" spans="1:23">
      <c r="A14" s="159"/>
      <c r="B14" s="161" t="s">
        <v>231</v>
      </c>
      <c r="C14" s="177">
        <v>0.05</v>
      </c>
      <c r="D14" s="177">
        <v>0.2</v>
      </c>
      <c r="E14" s="177">
        <v>0.2</v>
      </c>
      <c r="F14" s="177">
        <v>0.2</v>
      </c>
      <c r="G14" s="177">
        <v>0.2</v>
      </c>
      <c r="H14" s="177">
        <v>0.15</v>
      </c>
      <c r="I14" s="177">
        <v>0</v>
      </c>
      <c r="J14" s="177">
        <v>0</v>
      </c>
      <c r="K14" s="177">
        <v>0</v>
      </c>
      <c r="L14" s="177">
        <v>0</v>
      </c>
      <c r="M14" s="177">
        <v>0</v>
      </c>
      <c r="N14" s="177">
        <v>0</v>
      </c>
      <c r="O14" s="177">
        <v>0</v>
      </c>
      <c r="P14" s="177">
        <v>0</v>
      </c>
      <c r="Q14" s="177">
        <v>0</v>
      </c>
      <c r="R14" s="177">
        <v>0</v>
      </c>
      <c r="S14" s="177">
        <v>0</v>
      </c>
      <c r="T14" s="177">
        <v>0</v>
      </c>
      <c r="U14" s="177">
        <v>0</v>
      </c>
      <c r="V14" s="177">
        <v>0</v>
      </c>
      <c r="W14" s="225">
        <v>0</v>
      </c>
    </row>
    <row r="15" spans="1:23">
      <c r="A15" s="159"/>
      <c r="B15" s="161" t="s">
        <v>237</v>
      </c>
      <c r="C15" s="177">
        <f>C14</f>
        <v>0.05</v>
      </c>
      <c r="D15" s="177">
        <f>C15+D14</f>
        <v>0.25</v>
      </c>
      <c r="E15" s="177">
        <f t="shared" ref="E15:H15" si="0">D15+E14</f>
        <v>0.45</v>
      </c>
      <c r="F15" s="177">
        <f t="shared" si="0"/>
        <v>0.65</v>
      </c>
      <c r="G15" s="177">
        <f t="shared" si="0"/>
        <v>0.85000000000000009</v>
      </c>
      <c r="H15" s="177">
        <f t="shared" si="0"/>
        <v>1</v>
      </c>
      <c r="I15" s="177">
        <f t="shared" ref="I15" si="1">H15+I14</f>
        <v>1</v>
      </c>
      <c r="J15" s="177">
        <f t="shared" ref="J15" si="2">I15+J14</f>
        <v>1</v>
      </c>
      <c r="K15" s="177">
        <f t="shared" ref="K15" si="3">J15+K14</f>
        <v>1</v>
      </c>
      <c r="L15" s="177">
        <f t="shared" ref="L15" si="4">K15+L14</f>
        <v>1</v>
      </c>
      <c r="M15" s="177">
        <f t="shared" ref="M15" si="5">L15+M14</f>
        <v>1</v>
      </c>
      <c r="N15" s="177">
        <f t="shared" ref="N15" si="6">M15+N14</f>
        <v>1</v>
      </c>
      <c r="O15" s="177">
        <f t="shared" ref="O15" si="7">N15+O14</f>
        <v>1</v>
      </c>
      <c r="P15" s="177">
        <f t="shared" ref="P15" si="8">O15+P14</f>
        <v>1</v>
      </c>
      <c r="Q15" s="177">
        <f t="shared" ref="Q15" si="9">P15+Q14</f>
        <v>1</v>
      </c>
      <c r="R15" s="177">
        <f t="shared" ref="R15" si="10">Q15+R14</f>
        <v>1</v>
      </c>
      <c r="S15" s="177">
        <f t="shared" ref="S15" si="11">R15+S14</f>
        <v>1</v>
      </c>
      <c r="T15" s="177">
        <f t="shared" ref="T15" si="12">S15+T14</f>
        <v>1</v>
      </c>
      <c r="U15" s="177">
        <f t="shared" ref="U15" si="13">T15+U14</f>
        <v>1</v>
      </c>
      <c r="V15" s="177">
        <f t="shared" ref="V15" si="14">U15+V14</f>
        <v>1</v>
      </c>
      <c r="W15" s="225">
        <f t="shared" ref="W15" si="15">V15+W14</f>
        <v>1</v>
      </c>
    </row>
    <row r="16" spans="1:23">
      <c r="A16" s="159"/>
      <c r="B16" s="161" t="s">
        <v>232</v>
      </c>
      <c r="C16" s="177">
        <v>0.01</v>
      </c>
      <c r="D16" s="177">
        <v>0.01</v>
      </c>
      <c r="E16" s="177">
        <v>0.01</v>
      </c>
      <c r="F16" s="177">
        <v>0.01</v>
      </c>
      <c r="G16" s="177">
        <v>0.01</v>
      </c>
      <c r="H16" s="177">
        <v>0.01</v>
      </c>
      <c r="I16" s="177">
        <v>0.01</v>
      </c>
      <c r="J16" s="177">
        <v>0.01</v>
      </c>
      <c r="K16" s="177">
        <v>0.01</v>
      </c>
      <c r="L16" s="177">
        <v>0.01</v>
      </c>
      <c r="M16" s="177">
        <v>0.01</v>
      </c>
      <c r="N16" s="177">
        <v>0.01</v>
      </c>
      <c r="O16" s="177">
        <v>0.01</v>
      </c>
      <c r="P16" s="177">
        <v>0.01</v>
      </c>
      <c r="Q16" s="177">
        <v>0.01</v>
      </c>
      <c r="R16" s="177">
        <v>0.01</v>
      </c>
      <c r="S16" s="177">
        <v>0.01</v>
      </c>
      <c r="T16" s="177">
        <v>0.01</v>
      </c>
      <c r="U16" s="177">
        <v>0.01</v>
      </c>
      <c r="V16" s="177">
        <v>0.01</v>
      </c>
      <c r="W16" s="225">
        <v>0.01</v>
      </c>
    </row>
    <row r="17" spans="1:23" ht="15" customHeight="1" thickBot="1">
      <c r="A17" s="164"/>
      <c r="B17" s="165" t="s">
        <v>236</v>
      </c>
      <c r="C17" s="226">
        <v>0.5</v>
      </c>
      <c r="D17" s="226">
        <f>C17-0.05</f>
        <v>0.45</v>
      </c>
      <c r="E17" s="226">
        <f>D17-0.05</f>
        <v>0.4</v>
      </c>
      <c r="F17" s="226">
        <f t="shared" ref="F17:G17" si="16">E17-0.05</f>
        <v>0.35000000000000003</v>
      </c>
      <c r="G17" s="226">
        <f t="shared" si="16"/>
        <v>0.30000000000000004</v>
      </c>
      <c r="H17" s="368">
        <v>0.3</v>
      </c>
      <c r="I17" s="226">
        <f>H17</f>
        <v>0.3</v>
      </c>
      <c r="J17" s="226">
        <f t="shared" ref="J17:W17" si="17">I17</f>
        <v>0.3</v>
      </c>
      <c r="K17" s="226">
        <f t="shared" si="17"/>
        <v>0.3</v>
      </c>
      <c r="L17" s="226">
        <f t="shared" si="17"/>
        <v>0.3</v>
      </c>
      <c r="M17" s="226">
        <f t="shared" si="17"/>
        <v>0.3</v>
      </c>
      <c r="N17" s="226">
        <f t="shared" si="17"/>
        <v>0.3</v>
      </c>
      <c r="O17" s="226">
        <f t="shared" si="17"/>
        <v>0.3</v>
      </c>
      <c r="P17" s="226">
        <f t="shared" si="17"/>
        <v>0.3</v>
      </c>
      <c r="Q17" s="226">
        <f t="shared" si="17"/>
        <v>0.3</v>
      </c>
      <c r="R17" s="226">
        <f t="shared" si="17"/>
        <v>0.3</v>
      </c>
      <c r="S17" s="226">
        <f t="shared" si="17"/>
        <v>0.3</v>
      </c>
      <c r="T17" s="226">
        <f t="shared" si="17"/>
        <v>0.3</v>
      </c>
      <c r="U17" s="226">
        <f t="shared" si="17"/>
        <v>0.3</v>
      </c>
      <c r="V17" s="226">
        <f t="shared" si="17"/>
        <v>0.3</v>
      </c>
      <c r="W17" s="227">
        <f t="shared" si="17"/>
        <v>0.3</v>
      </c>
    </row>
    <row r="18" spans="1:23" s="230" customFormat="1" ht="16.2" thickBot="1">
      <c r="A18" s="240"/>
      <c r="B18" s="240"/>
      <c r="C18" s="240"/>
      <c r="D18" s="241"/>
      <c r="E18" s="241"/>
      <c r="F18" s="241"/>
      <c r="G18" s="241"/>
      <c r="H18" s="241"/>
      <c r="I18" s="241"/>
      <c r="J18" s="241"/>
      <c r="K18" s="241"/>
      <c r="L18" s="241"/>
      <c r="M18" s="78"/>
      <c r="N18" s="78"/>
      <c r="O18" s="78"/>
      <c r="P18" s="78"/>
      <c r="Q18" s="78"/>
      <c r="R18" s="78"/>
      <c r="S18" s="78"/>
      <c r="T18" s="78"/>
      <c r="U18" s="78"/>
      <c r="V18" s="78"/>
      <c r="W18" s="78"/>
    </row>
    <row r="19" spans="1:23" ht="15.6">
      <c r="A19" s="154" t="s">
        <v>293</v>
      </c>
      <c r="B19" s="155"/>
      <c r="C19" s="155"/>
      <c r="D19" s="156"/>
      <c r="E19" s="156"/>
      <c r="F19" s="156"/>
      <c r="G19" s="156"/>
      <c r="H19" s="156"/>
      <c r="I19" s="156"/>
      <c r="J19" s="156"/>
      <c r="K19" s="156"/>
      <c r="L19" s="156"/>
      <c r="M19" s="157"/>
      <c r="N19" s="157"/>
      <c r="O19" s="157"/>
      <c r="P19" s="157"/>
      <c r="Q19" s="157"/>
      <c r="R19" s="157"/>
      <c r="S19" s="157"/>
      <c r="T19" s="157"/>
      <c r="U19" s="157"/>
      <c r="V19" s="157"/>
      <c r="W19" s="158"/>
    </row>
    <row r="20" spans="1:23" ht="15.6">
      <c r="A20" s="188"/>
      <c r="B20" s="161" t="s">
        <v>241</v>
      </c>
      <c r="C20" s="176">
        <f>KeyAssumptions!K6</f>
        <v>0.35</v>
      </c>
      <c r="D20" s="166"/>
      <c r="E20" s="166"/>
      <c r="F20" s="166"/>
      <c r="G20" s="166"/>
      <c r="H20" s="166"/>
      <c r="I20" s="166"/>
      <c r="J20" s="166"/>
      <c r="K20" s="166"/>
      <c r="L20" s="166"/>
      <c r="M20" s="167"/>
      <c r="N20" s="167"/>
      <c r="O20" s="167"/>
      <c r="P20" s="167"/>
      <c r="Q20" s="167"/>
      <c r="R20" s="167"/>
      <c r="S20" s="167"/>
      <c r="T20" s="167"/>
      <c r="U20" s="167"/>
      <c r="V20" s="167"/>
      <c r="W20" s="168"/>
    </row>
    <row r="21" spans="1:23" ht="15.6">
      <c r="A21" s="188"/>
      <c r="B21" s="161" t="s">
        <v>207</v>
      </c>
      <c r="C21" s="177">
        <f>KeyAssumptions!L6</f>
        <v>0.25</v>
      </c>
      <c r="D21" s="166"/>
      <c r="E21" s="166"/>
      <c r="F21" s="166"/>
      <c r="G21" s="166"/>
      <c r="H21" s="166"/>
      <c r="I21" s="166"/>
      <c r="J21" s="166"/>
      <c r="K21" s="166"/>
      <c r="L21" s="166"/>
      <c r="M21" s="167"/>
      <c r="N21" s="167"/>
      <c r="O21" s="167"/>
      <c r="P21" s="167"/>
      <c r="Q21" s="167"/>
      <c r="R21" s="167"/>
      <c r="S21" s="167"/>
      <c r="T21" s="167"/>
      <c r="U21" s="167"/>
      <c r="V21" s="167"/>
      <c r="W21" s="168"/>
    </row>
    <row r="22" spans="1:23" ht="15.75" customHeight="1">
      <c r="A22" s="188"/>
      <c r="B22" s="191" t="s">
        <v>355</v>
      </c>
      <c r="C22" s="177">
        <v>0.95</v>
      </c>
      <c r="D22" s="166"/>
      <c r="E22" s="166"/>
      <c r="F22" s="166"/>
      <c r="G22" s="166"/>
      <c r="H22" s="166"/>
      <c r="I22" s="166"/>
      <c r="J22" s="166"/>
      <c r="K22" s="166"/>
      <c r="L22" s="166"/>
      <c r="M22" s="167"/>
      <c r="N22" s="167"/>
      <c r="O22" s="167"/>
      <c r="P22" s="167"/>
      <c r="Q22" s="167"/>
      <c r="R22" s="167"/>
      <c r="S22" s="167"/>
      <c r="T22" s="167"/>
      <c r="U22" s="167"/>
      <c r="V22" s="167"/>
      <c r="W22" s="168"/>
    </row>
    <row r="23" spans="1:23" ht="15.6">
      <c r="A23" s="188"/>
      <c r="B23" s="160"/>
      <c r="C23" s="160"/>
      <c r="D23" s="166"/>
      <c r="E23" s="166"/>
      <c r="F23" s="166"/>
      <c r="G23" s="166"/>
      <c r="H23" s="166"/>
      <c r="I23" s="166"/>
      <c r="J23" s="166"/>
      <c r="K23" s="166"/>
      <c r="L23" s="166"/>
      <c r="M23" s="167"/>
      <c r="N23" s="167"/>
      <c r="O23" s="167"/>
      <c r="P23" s="167"/>
      <c r="Q23" s="167"/>
      <c r="R23" s="167"/>
      <c r="S23" s="167"/>
      <c r="T23" s="167"/>
      <c r="U23" s="167"/>
      <c r="V23" s="167"/>
      <c r="W23" s="168"/>
    </row>
    <row r="24" spans="1:23">
      <c r="A24" s="159"/>
      <c r="B24" s="161" t="s">
        <v>1</v>
      </c>
      <c r="C24" s="162">
        <v>2015</v>
      </c>
      <c r="D24" s="162">
        <v>2016</v>
      </c>
      <c r="E24" s="162">
        <v>2017</v>
      </c>
      <c r="F24" s="162">
        <v>2018</v>
      </c>
      <c r="G24" s="162">
        <v>2019</v>
      </c>
      <c r="H24" s="162">
        <v>2020</v>
      </c>
      <c r="I24" s="162">
        <v>2021</v>
      </c>
      <c r="J24" s="162">
        <v>2022</v>
      </c>
      <c r="K24" s="162">
        <v>2023</v>
      </c>
      <c r="L24" s="162">
        <v>2024</v>
      </c>
      <c r="M24" s="162">
        <v>2025</v>
      </c>
      <c r="N24" s="162">
        <v>2026</v>
      </c>
      <c r="O24" s="162">
        <v>2027</v>
      </c>
      <c r="P24" s="162">
        <v>2028</v>
      </c>
      <c r="Q24" s="162">
        <v>2029</v>
      </c>
      <c r="R24" s="162">
        <v>2030</v>
      </c>
      <c r="S24" s="162">
        <v>2031</v>
      </c>
      <c r="T24" s="162">
        <v>2032</v>
      </c>
      <c r="U24" s="162">
        <v>2033</v>
      </c>
      <c r="V24" s="162">
        <v>2034</v>
      </c>
      <c r="W24" s="163">
        <v>2035</v>
      </c>
    </row>
    <row r="25" spans="1:23">
      <c r="A25" s="159"/>
      <c r="B25" s="161" t="s">
        <v>231</v>
      </c>
      <c r="C25" s="177">
        <v>0.05</v>
      </c>
      <c r="D25" s="177">
        <v>0.2</v>
      </c>
      <c r="E25" s="177">
        <v>0.2</v>
      </c>
      <c r="F25" s="177">
        <v>0.2</v>
      </c>
      <c r="G25" s="177">
        <v>0.2</v>
      </c>
      <c r="H25" s="177">
        <v>0.15</v>
      </c>
      <c r="I25" s="177">
        <v>0</v>
      </c>
      <c r="J25" s="177">
        <v>0</v>
      </c>
      <c r="K25" s="177">
        <v>0</v>
      </c>
      <c r="L25" s="177">
        <v>0</v>
      </c>
      <c r="M25" s="177">
        <v>0</v>
      </c>
      <c r="N25" s="177">
        <v>0</v>
      </c>
      <c r="O25" s="177">
        <v>0</v>
      </c>
      <c r="P25" s="177">
        <v>0</v>
      </c>
      <c r="Q25" s="177">
        <v>0</v>
      </c>
      <c r="R25" s="177">
        <v>0</v>
      </c>
      <c r="S25" s="177">
        <v>0</v>
      </c>
      <c r="T25" s="177">
        <v>0</v>
      </c>
      <c r="U25" s="177">
        <v>0</v>
      </c>
      <c r="V25" s="177">
        <v>0</v>
      </c>
      <c r="W25" s="225">
        <v>0</v>
      </c>
    </row>
    <row r="26" spans="1:23">
      <c r="A26" s="159"/>
      <c r="B26" s="161" t="s">
        <v>237</v>
      </c>
      <c r="C26" s="177">
        <f>C25</f>
        <v>0.05</v>
      </c>
      <c r="D26" s="177">
        <f>C26+D25</f>
        <v>0.25</v>
      </c>
      <c r="E26" s="177">
        <f t="shared" ref="E26" si="18">D26+E25</f>
        <v>0.45</v>
      </c>
      <c r="F26" s="177">
        <f t="shared" ref="F26" si="19">E26+F25</f>
        <v>0.65</v>
      </c>
      <c r="G26" s="177">
        <f t="shared" ref="G26" si="20">F26+G25</f>
        <v>0.85000000000000009</v>
      </c>
      <c r="H26" s="177">
        <f t="shared" ref="H26" si="21">G26+H25</f>
        <v>1</v>
      </c>
      <c r="I26" s="177">
        <f t="shared" ref="I26" si="22">H26+I25</f>
        <v>1</v>
      </c>
      <c r="J26" s="177">
        <f t="shared" ref="J26" si="23">I26+J25</f>
        <v>1</v>
      </c>
      <c r="K26" s="177">
        <f t="shared" ref="K26" si="24">J26+K25</f>
        <v>1</v>
      </c>
      <c r="L26" s="177">
        <f t="shared" ref="L26" si="25">K26+L25</f>
        <v>1</v>
      </c>
      <c r="M26" s="177">
        <f t="shared" ref="M26" si="26">L26+M25</f>
        <v>1</v>
      </c>
      <c r="N26" s="177">
        <f t="shared" ref="N26" si="27">M26+N25</f>
        <v>1</v>
      </c>
      <c r="O26" s="177">
        <f t="shared" ref="O26" si="28">N26+O25</f>
        <v>1</v>
      </c>
      <c r="P26" s="177">
        <f t="shared" ref="P26" si="29">O26+P25</f>
        <v>1</v>
      </c>
      <c r="Q26" s="177">
        <f t="shared" ref="Q26" si="30">P26+Q25</f>
        <v>1</v>
      </c>
      <c r="R26" s="177">
        <f t="shared" ref="R26" si="31">Q26+R25</f>
        <v>1</v>
      </c>
      <c r="S26" s="177">
        <f t="shared" ref="S26" si="32">R26+S25</f>
        <v>1</v>
      </c>
      <c r="T26" s="177">
        <f t="shared" ref="T26" si="33">S26+T25</f>
        <v>1</v>
      </c>
      <c r="U26" s="177">
        <f t="shared" ref="U26" si="34">T26+U25</f>
        <v>1</v>
      </c>
      <c r="V26" s="177">
        <f t="shared" ref="V26" si="35">U26+V25</f>
        <v>1</v>
      </c>
      <c r="W26" s="225">
        <f t="shared" ref="W26" si="36">V26+W25</f>
        <v>1</v>
      </c>
    </row>
    <row r="27" spans="1:23">
      <c r="A27" s="159"/>
      <c r="B27" s="161" t="s">
        <v>232</v>
      </c>
      <c r="C27" s="177">
        <v>0.01</v>
      </c>
      <c r="D27" s="177">
        <v>0.01</v>
      </c>
      <c r="E27" s="177">
        <v>0.01</v>
      </c>
      <c r="F27" s="177">
        <v>0.01</v>
      </c>
      <c r="G27" s="177">
        <v>0.01</v>
      </c>
      <c r="H27" s="177">
        <v>0.01</v>
      </c>
      <c r="I27" s="177">
        <v>0.01</v>
      </c>
      <c r="J27" s="177">
        <v>0.01</v>
      </c>
      <c r="K27" s="177">
        <v>0.01</v>
      </c>
      <c r="L27" s="177">
        <v>0.01</v>
      </c>
      <c r="M27" s="177">
        <v>0.01</v>
      </c>
      <c r="N27" s="177">
        <v>0.01</v>
      </c>
      <c r="O27" s="177">
        <v>0.01</v>
      </c>
      <c r="P27" s="177">
        <v>0.01</v>
      </c>
      <c r="Q27" s="177">
        <v>0.01</v>
      </c>
      <c r="R27" s="177">
        <v>0.01</v>
      </c>
      <c r="S27" s="177">
        <v>0.01</v>
      </c>
      <c r="T27" s="177">
        <v>0.01</v>
      </c>
      <c r="U27" s="177">
        <v>0.01</v>
      </c>
      <c r="V27" s="177">
        <v>0.01</v>
      </c>
      <c r="W27" s="225">
        <v>0.01</v>
      </c>
    </row>
    <row r="28" spans="1:23" ht="13.8" thickBot="1">
      <c r="A28" s="164"/>
      <c r="B28" s="165" t="s">
        <v>236</v>
      </c>
      <c r="C28" s="226">
        <v>0.5</v>
      </c>
      <c r="D28" s="226">
        <f>C28-0.05</f>
        <v>0.45</v>
      </c>
      <c r="E28" s="226">
        <f t="shared" ref="E28:G28" si="37">D28-0.05</f>
        <v>0.4</v>
      </c>
      <c r="F28" s="226">
        <f t="shared" si="37"/>
        <v>0.35000000000000003</v>
      </c>
      <c r="G28" s="226">
        <f t="shared" si="37"/>
        <v>0.30000000000000004</v>
      </c>
      <c r="H28" s="226">
        <v>0.3</v>
      </c>
      <c r="I28" s="226">
        <f>H28</f>
        <v>0.3</v>
      </c>
      <c r="J28" s="226">
        <f t="shared" ref="J28:W28" si="38">I28</f>
        <v>0.3</v>
      </c>
      <c r="K28" s="226">
        <f t="shared" si="38"/>
        <v>0.3</v>
      </c>
      <c r="L28" s="226">
        <f t="shared" si="38"/>
        <v>0.3</v>
      </c>
      <c r="M28" s="226">
        <f t="shared" si="38"/>
        <v>0.3</v>
      </c>
      <c r="N28" s="226">
        <f t="shared" si="38"/>
        <v>0.3</v>
      </c>
      <c r="O28" s="226">
        <f t="shared" si="38"/>
        <v>0.3</v>
      </c>
      <c r="P28" s="226">
        <f t="shared" si="38"/>
        <v>0.3</v>
      </c>
      <c r="Q28" s="226">
        <f t="shared" si="38"/>
        <v>0.3</v>
      </c>
      <c r="R28" s="226">
        <f t="shared" si="38"/>
        <v>0.3</v>
      </c>
      <c r="S28" s="226">
        <f t="shared" si="38"/>
        <v>0.3</v>
      </c>
      <c r="T28" s="226">
        <f t="shared" si="38"/>
        <v>0.3</v>
      </c>
      <c r="U28" s="226">
        <f t="shared" si="38"/>
        <v>0.3</v>
      </c>
      <c r="V28" s="226">
        <f t="shared" si="38"/>
        <v>0.3</v>
      </c>
      <c r="W28" s="227">
        <f t="shared" si="38"/>
        <v>0.3</v>
      </c>
    </row>
    <row r="29" spans="1:23" s="230" customFormat="1" ht="16.2" thickBot="1">
      <c r="A29" s="240"/>
      <c r="B29" s="240"/>
      <c r="C29" s="240"/>
      <c r="D29" s="241"/>
      <c r="E29" s="241"/>
      <c r="F29" s="241"/>
      <c r="G29" s="241"/>
      <c r="H29" s="241"/>
      <c r="I29" s="241"/>
      <c r="J29" s="241"/>
      <c r="K29" s="241"/>
      <c r="L29" s="241"/>
      <c r="M29" s="78"/>
      <c r="N29" s="78"/>
      <c r="O29" s="78"/>
      <c r="P29" s="78"/>
      <c r="Q29" s="78"/>
      <c r="R29" s="78"/>
      <c r="S29" s="78"/>
      <c r="T29" s="78"/>
      <c r="U29" s="78"/>
      <c r="V29" s="78"/>
      <c r="W29" s="78"/>
    </row>
    <row r="30" spans="1:23" ht="15.6">
      <c r="A30" s="154" t="s">
        <v>294</v>
      </c>
      <c r="B30" s="155"/>
      <c r="C30" s="155"/>
      <c r="D30" s="156"/>
      <c r="E30" s="156"/>
      <c r="F30" s="156"/>
      <c r="G30" s="156"/>
      <c r="H30" s="156"/>
      <c r="I30" s="156"/>
      <c r="J30" s="156"/>
      <c r="K30" s="156"/>
      <c r="L30" s="156"/>
      <c r="M30" s="157"/>
      <c r="N30" s="157"/>
      <c r="O30" s="157"/>
      <c r="P30" s="157"/>
      <c r="Q30" s="157"/>
      <c r="R30" s="157"/>
      <c r="S30" s="157"/>
      <c r="T30" s="157"/>
      <c r="U30" s="157"/>
      <c r="V30" s="157"/>
      <c r="W30" s="158"/>
    </row>
    <row r="31" spans="1:23" ht="15.6">
      <c r="A31" s="188"/>
      <c r="B31" s="161" t="s">
        <v>241</v>
      </c>
      <c r="C31" s="176">
        <f>KeyAssumptions!K7</f>
        <v>0.17499999999999999</v>
      </c>
      <c r="D31" s="166"/>
      <c r="E31" s="166"/>
      <c r="F31" s="166"/>
      <c r="G31" s="166"/>
      <c r="H31" s="166"/>
      <c r="I31" s="166"/>
      <c r="J31" s="166"/>
      <c r="K31" s="166"/>
      <c r="L31" s="166"/>
      <c r="M31" s="167"/>
      <c r="N31" s="167"/>
      <c r="O31" s="167"/>
      <c r="P31" s="167"/>
      <c r="Q31" s="167"/>
      <c r="R31" s="167"/>
      <c r="S31" s="167"/>
      <c r="T31" s="167"/>
      <c r="U31" s="167"/>
      <c r="V31" s="167"/>
      <c r="W31" s="168"/>
    </row>
    <row r="32" spans="1:23" ht="15.6">
      <c r="A32" s="188"/>
      <c r="B32" s="161" t="s">
        <v>207</v>
      </c>
      <c r="C32" s="177">
        <f>KeyAssumptions!L7</f>
        <v>0.25</v>
      </c>
      <c r="D32" s="166"/>
      <c r="E32" s="166"/>
      <c r="F32" s="166"/>
      <c r="G32" s="166"/>
      <c r="H32" s="166"/>
      <c r="I32" s="166"/>
      <c r="J32" s="166"/>
      <c r="K32" s="166"/>
      <c r="L32" s="166"/>
      <c r="M32" s="167"/>
      <c r="N32" s="167"/>
      <c r="O32" s="167"/>
      <c r="P32" s="167"/>
      <c r="Q32" s="167"/>
      <c r="R32" s="167"/>
      <c r="S32" s="167"/>
      <c r="T32" s="167"/>
      <c r="U32" s="167"/>
      <c r="V32" s="167"/>
      <c r="W32" s="168"/>
    </row>
    <row r="33" spans="1:23" ht="15.75" customHeight="1">
      <c r="A33" s="188"/>
      <c r="B33" s="191" t="s">
        <v>355</v>
      </c>
      <c r="C33" s="177">
        <v>0.95</v>
      </c>
      <c r="D33" s="166"/>
      <c r="E33" s="166"/>
      <c r="F33" s="166"/>
      <c r="G33" s="166"/>
      <c r="H33" s="166"/>
      <c r="I33" s="166"/>
      <c r="J33" s="166"/>
      <c r="K33" s="166"/>
      <c r="L33" s="166"/>
      <c r="M33" s="167"/>
      <c r="N33" s="167"/>
      <c r="O33" s="167"/>
      <c r="P33" s="167"/>
      <c r="Q33" s="167"/>
      <c r="R33" s="167"/>
      <c r="S33" s="167"/>
      <c r="T33" s="167"/>
      <c r="U33" s="167"/>
      <c r="V33" s="167"/>
      <c r="W33" s="168"/>
    </row>
    <row r="34" spans="1:23" ht="15.6">
      <c r="A34" s="188"/>
      <c r="B34" s="160"/>
      <c r="C34" s="160"/>
      <c r="D34" s="166"/>
      <c r="E34" s="166"/>
      <c r="F34" s="166"/>
      <c r="G34" s="166"/>
      <c r="H34" s="166"/>
      <c r="I34" s="166"/>
      <c r="J34" s="166"/>
      <c r="K34" s="166"/>
      <c r="L34" s="166"/>
      <c r="M34" s="167"/>
      <c r="N34" s="167"/>
      <c r="O34" s="167"/>
      <c r="P34" s="167"/>
      <c r="Q34" s="167"/>
      <c r="R34" s="167"/>
      <c r="S34" s="167"/>
      <c r="T34" s="167"/>
      <c r="U34" s="167"/>
      <c r="V34" s="167"/>
      <c r="W34" s="168"/>
    </row>
    <row r="35" spans="1:23">
      <c r="A35" s="159"/>
      <c r="B35" s="161" t="s">
        <v>1</v>
      </c>
      <c r="C35" s="162">
        <v>2015</v>
      </c>
      <c r="D35" s="162">
        <v>2016</v>
      </c>
      <c r="E35" s="162">
        <v>2017</v>
      </c>
      <c r="F35" s="162">
        <v>2018</v>
      </c>
      <c r="G35" s="162">
        <v>2019</v>
      </c>
      <c r="H35" s="162">
        <v>2020</v>
      </c>
      <c r="I35" s="162">
        <v>2021</v>
      </c>
      <c r="J35" s="162">
        <v>2022</v>
      </c>
      <c r="K35" s="162">
        <v>2023</v>
      </c>
      <c r="L35" s="162">
        <v>2024</v>
      </c>
      <c r="M35" s="162">
        <v>2025</v>
      </c>
      <c r="N35" s="162">
        <v>2026</v>
      </c>
      <c r="O35" s="162">
        <v>2027</v>
      </c>
      <c r="P35" s="162">
        <v>2028</v>
      </c>
      <c r="Q35" s="162">
        <v>2029</v>
      </c>
      <c r="R35" s="162">
        <v>2030</v>
      </c>
      <c r="S35" s="162">
        <v>2031</v>
      </c>
      <c r="T35" s="162">
        <v>2032</v>
      </c>
      <c r="U35" s="162">
        <v>2033</v>
      </c>
      <c r="V35" s="162">
        <v>2034</v>
      </c>
      <c r="W35" s="163">
        <v>2035</v>
      </c>
    </row>
    <row r="36" spans="1:23">
      <c r="A36" s="159"/>
      <c r="B36" s="161" t="s">
        <v>231</v>
      </c>
      <c r="C36" s="177">
        <v>0.05</v>
      </c>
      <c r="D36" s="177">
        <v>0.2</v>
      </c>
      <c r="E36" s="177">
        <v>0.2</v>
      </c>
      <c r="F36" s="177">
        <v>0.2</v>
      </c>
      <c r="G36" s="177">
        <v>0.2</v>
      </c>
      <c r="H36" s="177">
        <v>0.15</v>
      </c>
      <c r="I36" s="177">
        <v>0</v>
      </c>
      <c r="J36" s="177">
        <v>0</v>
      </c>
      <c r="K36" s="177">
        <v>0</v>
      </c>
      <c r="L36" s="177">
        <v>0</v>
      </c>
      <c r="M36" s="177">
        <v>0</v>
      </c>
      <c r="N36" s="177">
        <v>0</v>
      </c>
      <c r="O36" s="177">
        <v>0</v>
      </c>
      <c r="P36" s="177">
        <v>0</v>
      </c>
      <c r="Q36" s="177">
        <v>0</v>
      </c>
      <c r="R36" s="177">
        <v>0</v>
      </c>
      <c r="S36" s="177">
        <v>0</v>
      </c>
      <c r="T36" s="177">
        <v>0</v>
      </c>
      <c r="U36" s="177">
        <v>0</v>
      </c>
      <c r="V36" s="177">
        <v>0</v>
      </c>
      <c r="W36" s="225">
        <v>0</v>
      </c>
    </row>
    <row r="37" spans="1:23">
      <c r="A37" s="159"/>
      <c r="B37" s="161" t="s">
        <v>237</v>
      </c>
      <c r="C37" s="177">
        <f>C36</f>
        <v>0.05</v>
      </c>
      <c r="D37" s="177">
        <f>C37+D36</f>
        <v>0.25</v>
      </c>
      <c r="E37" s="177">
        <f t="shared" ref="E37" si="39">D37+E36</f>
        <v>0.45</v>
      </c>
      <c r="F37" s="177">
        <f t="shared" ref="F37" si="40">E37+F36</f>
        <v>0.65</v>
      </c>
      <c r="G37" s="177">
        <f t="shared" ref="G37" si="41">F37+G36</f>
        <v>0.85000000000000009</v>
      </c>
      <c r="H37" s="177">
        <f t="shared" ref="H37" si="42">G37+H36</f>
        <v>1</v>
      </c>
      <c r="I37" s="177">
        <f t="shared" ref="I37" si="43">H37+I36</f>
        <v>1</v>
      </c>
      <c r="J37" s="177">
        <f t="shared" ref="J37" si="44">I37+J36</f>
        <v>1</v>
      </c>
      <c r="K37" s="177">
        <f t="shared" ref="K37" si="45">J37+K36</f>
        <v>1</v>
      </c>
      <c r="L37" s="177">
        <f t="shared" ref="L37" si="46">K37+L36</f>
        <v>1</v>
      </c>
      <c r="M37" s="177">
        <f t="shared" ref="M37" si="47">L37+M36</f>
        <v>1</v>
      </c>
      <c r="N37" s="177">
        <f t="shared" ref="N37" si="48">M37+N36</f>
        <v>1</v>
      </c>
      <c r="O37" s="177">
        <f t="shared" ref="O37" si="49">N37+O36</f>
        <v>1</v>
      </c>
      <c r="P37" s="177">
        <f t="shared" ref="P37" si="50">O37+P36</f>
        <v>1</v>
      </c>
      <c r="Q37" s="177">
        <f t="shared" ref="Q37" si="51">P37+Q36</f>
        <v>1</v>
      </c>
      <c r="R37" s="177">
        <f t="shared" ref="R37" si="52">Q37+R36</f>
        <v>1</v>
      </c>
      <c r="S37" s="177">
        <f t="shared" ref="S37" si="53">R37+S36</f>
        <v>1</v>
      </c>
      <c r="T37" s="177">
        <f t="shared" ref="T37" si="54">S37+T36</f>
        <v>1</v>
      </c>
      <c r="U37" s="177">
        <f t="shared" ref="U37" si="55">T37+U36</f>
        <v>1</v>
      </c>
      <c r="V37" s="177">
        <f t="shared" ref="V37" si="56">U37+V36</f>
        <v>1</v>
      </c>
      <c r="W37" s="225">
        <f t="shared" ref="W37" si="57">V37+W36</f>
        <v>1</v>
      </c>
    </row>
    <row r="38" spans="1:23">
      <c r="A38" s="159"/>
      <c r="B38" s="161" t="s">
        <v>232</v>
      </c>
      <c r="C38" s="177">
        <v>0.01</v>
      </c>
      <c r="D38" s="177">
        <v>0.01</v>
      </c>
      <c r="E38" s="177">
        <v>0.01</v>
      </c>
      <c r="F38" s="177">
        <v>0.01</v>
      </c>
      <c r="G38" s="177">
        <v>0.01</v>
      </c>
      <c r="H38" s="177">
        <v>0.01</v>
      </c>
      <c r="I38" s="177">
        <v>0.01</v>
      </c>
      <c r="J38" s="177">
        <v>0.01</v>
      </c>
      <c r="K38" s="177">
        <v>0.01</v>
      </c>
      <c r="L38" s="177">
        <v>0.01</v>
      </c>
      <c r="M38" s="177">
        <v>0.01</v>
      </c>
      <c r="N38" s="177">
        <v>0.01</v>
      </c>
      <c r="O38" s="177">
        <v>0.01</v>
      </c>
      <c r="P38" s="177">
        <v>0.01</v>
      </c>
      <c r="Q38" s="177">
        <v>0.01</v>
      </c>
      <c r="R38" s="177">
        <v>0.01</v>
      </c>
      <c r="S38" s="177">
        <v>0.01</v>
      </c>
      <c r="T38" s="177">
        <v>0.01</v>
      </c>
      <c r="U38" s="177">
        <v>0.01</v>
      </c>
      <c r="V38" s="177">
        <v>0.01</v>
      </c>
      <c r="W38" s="225">
        <v>0.01</v>
      </c>
    </row>
    <row r="39" spans="1:23" ht="13.8" thickBot="1">
      <c r="A39" s="164"/>
      <c r="B39" s="165" t="s">
        <v>236</v>
      </c>
      <c r="C39" s="226">
        <v>0.1</v>
      </c>
      <c r="D39" s="226">
        <f>C39-0.01</f>
        <v>9.0000000000000011E-2</v>
      </c>
      <c r="E39" s="226">
        <f t="shared" ref="E39:F39" si="58">D39-0.01</f>
        <v>8.0000000000000016E-2</v>
      </c>
      <c r="F39" s="226">
        <f t="shared" si="58"/>
        <v>7.0000000000000021E-2</v>
      </c>
      <c r="G39" s="226">
        <v>0.06</v>
      </c>
      <c r="H39" s="226">
        <v>0.06</v>
      </c>
      <c r="I39" s="226">
        <f>H39</f>
        <v>0.06</v>
      </c>
      <c r="J39" s="226">
        <f t="shared" ref="J39:W39" si="59">I39</f>
        <v>0.06</v>
      </c>
      <c r="K39" s="226">
        <f t="shared" si="59"/>
        <v>0.06</v>
      </c>
      <c r="L39" s="226">
        <f t="shared" si="59"/>
        <v>0.06</v>
      </c>
      <c r="M39" s="226">
        <f t="shared" si="59"/>
        <v>0.06</v>
      </c>
      <c r="N39" s="226">
        <f t="shared" si="59"/>
        <v>0.06</v>
      </c>
      <c r="O39" s="226">
        <f t="shared" si="59"/>
        <v>0.06</v>
      </c>
      <c r="P39" s="226">
        <f t="shared" si="59"/>
        <v>0.06</v>
      </c>
      <c r="Q39" s="226">
        <f t="shared" si="59"/>
        <v>0.06</v>
      </c>
      <c r="R39" s="226">
        <f t="shared" si="59"/>
        <v>0.06</v>
      </c>
      <c r="S39" s="226">
        <f t="shared" si="59"/>
        <v>0.06</v>
      </c>
      <c r="T39" s="226">
        <f t="shared" si="59"/>
        <v>0.06</v>
      </c>
      <c r="U39" s="226">
        <f t="shared" si="59"/>
        <v>0.06</v>
      </c>
      <c r="V39" s="226">
        <f t="shared" si="59"/>
        <v>0.06</v>
      </c>
      <c r="W39" s="227">
        <f t="shared" si="59"/>
        <v>0.06</v>
      </c>
    </row>
    <row r="40" spans="1:23" s="230" customFormat="1" ht="16.2" thickBot="1">
      <c r="A40" s="240"/>
      <c r="B40" s="240"/>
      <c r="C40" s="240"/>
      <c r="D40" s="241"/>
      <c r="E40" s="241"/>
      <c r="F40" s="241"/>
      <c r="G40" s="241"/>
      <c r="H40" s="241"/>
      <c r="I40" s="241"/>
      <c r="J40" s="241"/>
      <c r="K40" s="241"/>
      <c r="L40" s="241"/>
      <c r="M40" s="78"/>
      <c r="N40" s="78"/>
      <c r="O40" s="78"/>
      <c r="P40" s="78"/>
      <c r="Q40" s="78"/>
      <c r="R40" s="78"/>
      <c r="S40" s="78"/>
      <c r="T40" s="78"/>
      <c r="U40" s="78"/>
      <c r="V40" s="78"/>
      <c r="W40" s="78"/>
    </row>
    <row r="41" spans="1:23" ht="15.6">
      <c r="A41" s="154" t="s">
        <v>295</v>
      </c>
      <c r="B41" s="155"/>
      <c r="C41" s="155"/>
      <c r="D41" s="156"/>
      <c r="E41" s="156"/>
      <c r="F41" s="156"/>
      <c r="G41" s="156"/>
      <c r="H41" s="156"/>
      <c r="I41" s="156"/>
      <c r="J41" s="156"/>
      <c r="K41" s="156"/>
      <c r="L41" s="156"/>
      <c r="M41" s="157"/>
      <c r="N41" s="157"/>
      <c r="O41" s="157"/>
      <c r="P41" s="157"/>
      <c r="Q41" s="157"/>
      <c r="R41" s="157"/>
      <c r="S41" s="157"/>
      <c r="T41" s="157"/>
      <c r="U41" s="157"/>
      <c r="V41" s="157"/>
      <c r="W41" s="158"/>
    </row>
    <row r="42" spans="1:23" ht="15.6">
      <c r="A42" s="188"/>
      <c r="B42" s="161" t="s">
        <v>241</v>
      </c>
      <c r="C42" s="176">
        <f>KeyAssumptions!K5</f>
        <v>0.56999999999999995</v>
      </c>
      <c r="D42" s="166"/>
      <c r="E42" s="166"/>
      <c r="F42" s="166"/>
      <c r="G42" s="166"/>
      <c r="H42" s="166"/>
      <c r="I42" s="166"/>
      <c r="J42" s="166"/>
      <c r="K42" s="166"/>
      <c r="L42" s="166"/>
      <c r="M42" s="167"/>
      <c r="N42" s="167"/>
      <c r="O42" s="167"/>
      <c r="P42" s="167"/>
      <c r="Q42" s="167"/>
      <c r="R42" s="167"/>
      <c r="S42" s="167"/>
      <c r="T42" s="167"/>
      <c r="U42" s="167"/>
      <c r="V42" s="167"/>
      <c r="W42" s="168"/>
    </row>
    <row r="43" spans="1:23" ht="15.6">
      <c r="A43" s="188"/>
      <c r="B43" s="161" t="s">
        <v>207</v>
      </c>
      <c r="C43" s="177">
        <f>KeyAssumptions!L5</f>
        <v>0.25</v>
      </c>
      <c r="D43" s="166"/>
      <c r="E43" s="166"/>
      <c r="F43" s="166"/>
      <c r="G43" s="166"/>
      <c r="H43" s="166"/>
      <c r="I43" s="166"/>
      <c r="J43" s="166"/>
      <c r="K43" s="166"/>
      <c r="L43" s="166"/>
      <c r="M43" s="167"/>
      <c r="N43" s="167"/>
      <c r="O43" s="167"/>
      <c r="P43" s="167"/>
      <c r="Q43" s="167"/>
      <c r="R43" s="167"/>
      <c r="S43" s="167"/>
      <c r="T43" s="167"/>
      <c r="U43" s="167"/>
      <c r="V43" s="167"/>
      <c r="W43" s="168"/>
    </row>
    <row r="44" spans="1:23" ht="15.75" customHeight="1">
      <c r="A44" s="188"/>
      <c r="B44" s="191" t="s">
        <v>355</v>
      </c>
      <c r="C44" s="177">
        <v>0.95</v>
      </c>
      <c r="D44" s="166"/>
      <c r="E44" s="166"/>
      <c r="F44" s="166"/>
      <c r="G44" s="166"/>
      <c r="H44" s="166"/>
      <c r="I44" s="166"/>
      <c r="J44" s="166"/>
      <c r="K44" s="166"/>
      <c r="L44" s="166"/>
      <c r="M44" s="167"/>
      <c r="N44" s="167"/>
      <c r="O44" s="167"/>
      <c r="P44" s="167"/>
      <c r="Q44" s="167"/>
      <c r="R44" s="167"/>
      <c r="S44" s="167"/>
      <c r="T44" s="167"/>
      <c r="U44" s="167"/>
      <c r="V44" s="167"/>
      <c r="W44" s="168"/>
    </row>
    <row r="45" spans="1:23" ht="15.6">
      <c r="A45" s="188"/>
      <c r="B45" s="160"/>
      <c r="C45" s="160"/>
      <c r="D45" s="166"/>
      <c r="E45" s="166"/>
      <c r="F45" s="166"/>
      <c r="G45" s="166"/>
      <c r="H45" s="166"/>
      <c r="I45" s="166"/>
      <c r="J45" s="166"/>
      <c r="K45" s="166"/>
      <c r="L45" s="166"/>
      <c r="M45" s="167"/>
      <c r="N45" s="167"/>
      <c r="O45" s="167"/>
      <c r="P45" s="167"/>
      <c r="Q45" s="167"/>
      <c r="R45" s="167"/>
      <c r="S45" s="167"/>
      <c r="T45" s="167"/>
      <c r="U45" s="167"/>
      <c r="V45" s="167"/>
      <c r="W45" s="168"/>
    </row>
    <row r="46" spans="1:23">
      <c r="A46" s="159"/>
      <c r="B46" s="161" t="s">
        <v>1</v>
      </c>
      <c r="C46" s="162">
        <v>2015</v>
      </c>
      <c r="D46" s="162">
        <v>2016</v>
      </c>
      <c r="E46" s="162">
        <v>2017</v>
      </c>
      <c r="F46" s="162">
        <v>2018</v>
      </c>
      <c r="G46" s="162">
        <v>2019</v>
      </c>
      <c r="H46" s="162">
        <v>2020</v>
      </c>
      <c r="I46" s="162">
        <v>2021</v>
      </c>
      <c r="J46" s="162">
        <v>2022</v>
      </c>
      <c r="K46" s="162">
        <v>2023</v>
      </c>
      <c r="L46" s="162">
        <v>2024</v>
      </c>
      <c r="M46" s="162">
        <v>2025</v>
      </c>
      <c r="N46" s="162">
        <v>2026</v>
      </c>
      <c r="O46" s="162">
        <v>2027</v>
      </c>
      <c r="P46" s="162">
        <v>2028</v>
      </c>
      <c r="Q46" s="162">
        <v>2029</v>
      </c>
      <c r="R46" s="162">
        <v>2030</v>
      </c>
      <c r="S46" s="162">
        <v>2031</v>
      </c>
      <c r="T46" s="162">
        <v>2032</v>
      </c>
      <c r="U46" s="162">
        <v>2033</v>
      </c>
      <c r="V46" s="162">
        <v>2034</v>
      </c>
      <c r="W46" s="163">
        <v>2035</v>
      </c>
    </row>
    <row r="47" spans="1:23">
      <c r="A47" s="159"/>
      <c r="B47" s="161" t="s">
        <v>231</v>
      </c>
      <c r="C47" s="177">
        <v>0.05</v>
      </c>
      <c r="D47" s="177">
        <v>0.2</v>
      </c>
      <c r="E47" s="177">
        <v>0.2</v>
      </c>
      <c r="F47" s="177">
        <v>0.2</v>
      </c>
      <c r="G47" s="177">
        <v>0.2</v>
      </c>
      <c r="H47" s="177">
        <v>0.15</v>
      </c>
      <c r="I47" s="177">
        <v>0</v>
      </c>
      <c r="J47" s="177">
        <v>0</v>
      </c>
      <c r="K47" s="177">
        <v>0</v>
      </c>
      <c r="L47" s="177">
        <v>0</v>
      </c>
      <c r="M47" s="177">
        <v>0</v>
      </c>
      <c r="N47" s="177">
        <v>0</v>
      </c>
      <c r="O47" s="177">
        <v>0</v>
      </c>
      <c r="P47" s="177">
        <v>0</v>
      </c>
      <c r="Q47" s="177">
        <v>0</v>
      </c>
      <c r="R47" s="177">
        <v>0</v>
      </c>
      <c r="S47" s="177">
        <v>0</v>
      </c>
      <c r="T47" s="177">
        <v>0</v>
      </c>
      <c r="U47" s="177">
        <v>0</v>
      </c>
      <c r="V47" s="177">
        <v>0</v>
      </c>
      <c r="W47" s="225">
        <v>0</v>
      </c>
    </row>
    <row r="48" spans="1:23">
      <c r="A48" s="159"/>
      <c r="B48" s="161" t="s">
        <v>237</v>
      </c>
      <c r="C48" s="177">
        <f>C47</f>
        <v>0.05</v>
      </c>
      <c r="D48" s="177">
        <f>C48+D47</f>
        <v>0.25</v>
      </c>
      <c r="E48" s="177">
        <f t="shared" ref="E48" si="60">D48+E47</f>
        <v>0.45</v>
      </c>
      <c r="F48" s="177">
        <f t="shared" ref="F48" si="61">E48+F47</f>
        <v>0.65</v>
      </c>
      <c r="G48" s="177">
        <f t="shared" ref="G48" si="62">F48+G47</f>
        <v>0.85000000000000009</v>
      </c>
      <c r="H48" s="177">
        <f t="shared" ref="H48" si="63">G48+H47</f>
        <v>1</v>
      </c>
      <c r="I48" s="177">
        <f t="shared" ref="I48" si="64">H48+I47</f>
        <v>1</v>
      </c>
      <c r="J48" s="177">
        <f t="shared" ref="J48" si="65">I48+J47</f>
        <v>1</v>
      </c>
      <c r="K48" s="177">
        <f t="shared" ref="K48" si="66">J48+K47</f>
        <v>1</v>
      </c>
      <c r="L48" s="177">
        <f t="shared" ref="L48" si="67">K48+L47</f>
        <v>1</v>
      </c>
      <c r="M48" s="177">
        <f t="shared" ref="M48" si="68">L48+M47</f>
        <v>1</v>
      </c>
      <c r="N48" s="177">
        <f t="shared" ref="N48" si="69">M48+N47</f>
        <v>1</v>
      </c>
      <c r="O48" s="177">
        <f t="shared" ref="O48" si="70">N48+O47</f>
        <v>1</v>
      </c>
      <c r="P48" s="177">
        <f t="shared" ref="P48" si="71">O48+P47</f>
        <v>1</v>
      </c>
      <c r="Q48" s="177">
        <f t="shared" ref="Q48" si="72">P48+Q47</f>
        <v>1</v>
      </c>
      <c r="R48" s="177">
        <f t="shared" ref="R48" si="73">Q48+R47</f>
        <v>1</v>
      </c>
      <c r="S48" s="177">
        <f t="shared" ref="S48" si="74">R48+S47</f>
        <v>1</v>
      </c>
      <c r="T48" s="177">
        <f t="shared" ref="T48" si="75">S48+T47</f>
        <v>1</v>
      </c>
      <c r="U48" s="177">
        <f t="shared" ref="U48" si="76">T48+U47</f>
        <v>1</v>
      </c>
      <c r="V48" s="177">
        <f t="shared" ref="V48" si="77">U48+V47</f>
        <v>1</v>
      </c>
      <c r="W48" s="225">
        <f t="shared" ref="W48" si="78">V48+W47</f>
        <v>1</v>
      </c>
    </row>
    <row r="49" spans="1:23">
      <c r="A49" s="159"/>
      <c r="B49" s="161" t="s">
        <v>232</v>
      </c>
      <c r="C49" s="177">
        <v>0.01</v>
      </c>
      <c r="D49" s="177">
        <v>0.01</v>
      </c>
      <c r="E49" s="177">
        <v>0.01</v>
      </c>
      <c r="F49" s="177">
        <v>0.01</v>
      </c>
      <c r="G49" s="177">
        <v>0.01</v>
      </c>
      <c r="H49" s="177">
        <v>0.01</v>
      </c>
      <c r="I49" s="177">
        <v>0.01</v>
      </c>
      <c r="J49" s="177">
        <v>0.01</v>
      </c>
      <c r="K49" s="177">
        <v>0.01</v>
      </c>
      <c r="L49" s="177">
        <v>0.01</v>
      </c>
      <c r="M49" s="177">
        <v>0.01</v>
      </c>
      <c r="N49" s="177">
        <v>0.01</v>
      </c>
      <c r="O49" s="177">
        <v>0.01</v>
      </c>
      <c r="P49" s="177">
        <v>0.01</v>
      </c>
      <c r="Q49" s="177">
        <v>0.01</v>
      </c>
      <c r="R49" s="177">
        <v>0.01</v>
      </c>
      <c r="S49" s="177">
        <v>0.01</v>
      </c>
      <c r="T49" s="177">
        <v>0.01</v>
      </c>
      <c r="U49" s="177">
        <v>0.01</v>
      </c>
      <c r="V49" s="177">
        <v>0.01</v>
      </c>
      <c r="W49" s="225">
        <v>0.01</v>
      </c>
    </row>
    <row r="50" spans="1:23" ht="13.8" thickBot="1">
      <c r="A50" s="164"/>
      <c r="B50" s="165" t="s">
        <v>236</v>
      </c>
      <c r="C50" s="226">
        <v>0.9</v>
      </c>
      <c r="D50" s="226">
        <v>0.9</v>
      </c>
      <c r="E50" s="226">
        <v>0.9</v>
      </c>
      <c r="F50" s="226">
        <v>0.9</v>
      </c>
      <c r="G50" s="226">
        <v>0.9</v>
      </c>
      <c r="H50" s="226">
        <v>0.9</v>
      </c>
      <c r="I50" s="226">
        <v>0.9</v>
      </c>
      <c r="J50" s="226">
        <v>0.9</v>
      </c>
      <c r="K50" s="226">
        <v>0.9</v>
      </c>
      <c r="L50" s="226">
        <v>0.9</v>
      </c>
      <c r="M50" s="226">
        <v>0.9</v>
      </c>
      <c r="N50" s="226">
        <v>0.9</v>
      </c>
      <c r="O50" s="226">
        <v>0.9</v>
      </c>
      <c r="P50" s="226">
        <v>0.9</v>
      </c>
      <c r="Q50" s="226">
        <v>0.9</v>
      </c>
      <c r="R50" s="226">
        <v>0.9</v>
      </c>
      <c r="S50" s="226">
        <v>0.9</v>
      </c>
      <c r="T50" s="226">
        <v>0.9</v>
      </c>
      <c r="U50" s="226">
        <v>0.9</v>
      </c>
      <c r="V50" s="226">
        <v>0.9</v>
      </c>
      <c r="W50" s="226">
        <v>0.9</v>
      </c>
    </row>
    <row r="51" spans="1:23" s="230" customFormat="1" ht="13.8" thickBot="1">
      <c r="A51" s="239"/>
      <c r="B51" s="239"/>
    </row>
    <row r="52" spans="1:23" ht="14.4" thickBot="1">
      <c r="A52" s="189" t="s">
        <v>240</v>
      </c>
      <c r="B52" s="190"/>
      <c r="C52" s="183"/>
      <c r="D52" s="183"/>
      <c r="E52" s="183"/>
      <c r="F52" s="183"/>
      <c r="G52" s="183"/>
      <c r="H52" s="183"/>
      <c r="I52" s="183"/>
      <c r="J52" s="183"/>
      <c r="K52" s="183"/>
      <c r="L52" s="183"/>
      <c r="M52" s="183"/>
      <c r="N52" s="183"/>
      <c r="O52" s="183"/>
      <c r="P52" s="183"/>
      <c r="Q52" s="183"/>
      <c r="R52" s="183"/>
      <c r="S52" s="183"/>
      <c r="T52" s="183"/>
      <c r="U52" s="183"/>
      <c r="V52" s="183"/>
      <c r="W52" s="184"/>
    </row>
    <row r="53" spans="1:23">
      <c r="A53" s="77" t="s">
        <v>212</v>
      </c>
      <c r="B53" s="77"/>
      <c r="F53" s="78"/>
      <c r="G53" s="78"/>
    </row>
    <row r="55" spans="1:23">
      <c r="A55" s="79"/>
      <c r="B55" s="80"/>
      <c r="C55" s="504" t="s">
        <v>213</v>
      </c>
      <c r="D55" s="504"/>
      <c r="E55" s="504"/>
      <c r="F55" s="504"/>
      <c r="G55" s="504"/>
      <c r="H55" s="504"/>
      <c r="I55" s="504"/>
      <c r="J55" s="504"/>
      <c r="K55" s="504"/>
      <c r="L55" s="504"/>
      <c r="M55" s="504"/>
      <c r="N55" s="504"/>
      <c r="O55" s="504"/>
      <c r="P55" s="504"/>
      <c r="Q55" s="504"/>
      <c r="R55" s="504"/>
      <c r="S55" s="504"/>
      <c r="T55" s="504"/>
      <c r="U55" s="504"/>
      <c r="V55" s="504"/>
      <c r="W55" s="504"/>
    </row>
    <row r="56" spans="1:23" ht="16.5" customHeight="1">
      <c r="A56" s="81" t="s">
        <v>214</v>
      </c>
      <c r="B56" s="82"/>
      <c r="C56" s="83">
        <v>2015</v>
      </c>
      <c r="D56" s="83">
        <v>2016</v>
      </c>
      <c r="E56" s="83">
        <v>2017</v>
      </c>
      <c r="F56" s="83">
        <v>2018</v>
      </c>
      <c r="G56" s="83">
        <v>2019</v>
      </c>
      <c r="H56" s="83">
        <v>2020</v>
      </c>
      <c r="I56" s="83">
        <v>2021</v>
      </c>
      <c r="J56" s="83">
        <v>2022</v>
      </c>
      <c r="K56" s="83">
        <v>2023</v>
      </c>
      <c r="L56" s="83">
        <v>2024</v>
      </c>
      <c r="M56" s="83">
        <v>2025</v>
      </c>
      <c r="N56" s="83">
        <v>2026</v>
      </c>
      <c r="O56" s="83">
        <v>2027</v>
      </c>
      <c r="P56" s="83">
        <v>2028</v>
      </c>
      <c r="Q56" s="83">
        <v>2029</v>
      </c>
      <c r="R56" s="83">
        <v>2030</v>
      </c>
      <c r="S56" s="83">
        <v>2031</v>
      </c>
      <c r="T56" s="83">
        <v>2032</v>
      </c>
      <c r="U56" s="83">
        <v>2033</v>
      </c>
      <c r="V56" s="83">
        <v>2034</v>
      </c>
      <c r="W56" s="83">
        <v>2035</v>
      </c>
    </row>
    <row r="57" spans="1:23">
      <c r="A57" s="84"/>
      <c r="B57" s="85"/>
      <c r="C57" s="84"/>
      <c r="D57" s="84"/>
      <c r="E57" s="84"/>
      <c r="F57" s="84"/>
      <c r="G57" s="84"/>
      <c r="H57" s="86"/>
      <c r="I57" s="84"/>
      <c r="J57" s="84"/>
      <c r="K57" s="84"/>
      <c r="L57" s="84"/>
      <c r="M57" s="84"/>
      <c r="N57" s="84"/>
      <c r="O57" s="84"/>
      <c r="P57" s="84"/>
      <c r="Q57" s="84"/>
      <c r="R57" s="84"/>
      <c r="S57" s="84"/>
      <c r="T57" s="84"/>
      <c r="U57" s="84"/>
      <c r="V57" s="84"/>
      <c r="W57" s="84"/>
    </row>
    <row r="58" spans="1:23">
      <c r="A58" s="169" t="s">
        <v>287</v>
      </c>
      <c r="B58" s="85"/>
      <c r="C58" s="88">
        <f>C70</f>
        <v>13534.530384375001</v>
      </c>
      <c r="D58" s="88">
        <f>D70-C70</f>
        <v>48308.998598437494</v>
      </c>
      <c r="E58" s="88">
        <f>E70-D70</f>
        <v>38594.889289687504</v>
      </c>
      <c r="F58" s="88">
        <f t="shared" ref="F58:W58" si="79">F70-E70</f>
        <v>28372.153930312503</v>
      </c>
      <c r="G58" s="88">
        <f t="shared" si="79"/>
        <v>17651.327852812508</v>
      </c>
      <c r="H58" s="88">
        <f t="shared" si="79"/>
        <v>28283.143494374963</v>
      </c>
      <c r="I58" s="88">
        <f t="shared" si="79"/>
        <v>2389.8104999999923</v>
      </c>
      <c r="J58" s="88">
        <f t="shared" si="79"/>
        <v>2374.1140500000038</v>
      </c>
      <c r="K58" s="88">
        <f t="shared" si="79"/>
        <v>2361.3801750000275</v>
      </c>
      <c r="L58" s="88">
        <f t="shared" si="79"/>
        <v>2338.797037500015</v>
      </c>
      <c r="M58" s="88">
        <f t="shared" si="79"/>
        <v>2327.1546374999743</v>
      </c>
      <c r="N58" s="88">
        <f t="shared" si="79"/>
        <v>2300.9852249999531</v>
      </c>
      <c r="O58" s="88">
        <f t="shared" si="79"/>
        <v>2261.5881750000408</v>
      </c>
      <c r="P58" s="88">
        <f t="shared" si="79"/>
        <v>2212.7836499999976</v>
      </c>
      <c r="Q58" s="88">
        <f t="shared" si="79"/>
        <v>2175.3356625000015</v>
      </c>
      <c r="R58" s="88">
        <f t="shared" si="79"/>
        <v>2155.8450374999957</v>
      </c>
      <c r="S58" s="88">
        <f t="shared" si="79"/>
        <v>2179.6198562867648</v>
      </c>
      <c r="T58" s="88">
        <f t="shared" si="79"/>
        <v>2203.6568655363808</v>
      </c>
      <c r="U58" s="88">
        <f t="shared" si="79"/>
        <v>2227.958956704766</v>
      </c>
      <c r="V58" s="88">
        <f t="shared" si="79"/>
        <v>2252.5290531349601</v>
      </c>
      <c r="W58" s="88">
        <f t="shared" si="79"/>
        <v>2277.3701104088104</v>
      </c>
    </row>
    <row r="59" spans="1:23">
      <c r="A59" s="169" t="s">
        <v>288</v>
      </c>
      <c r="B59" s="85"/>
      <c r="C59" s="88">
        <f>C71</f>
        <v>1353.4530384375003</v>
      </c>
      <c r="D59" s="88">
        <f>D71-C71</f>
        <v>4830.8998598437493</v>
      </c>
      <c r="E59" s="88">
        <f t="shared" ref="E59:W61" si="80">E71-D71</f>
        <v>3859.4889289687508</v>
      </c>
      <c r="F59" s="88">
        <f t="shared" si="80"/>
        <v>2837.2153930312543</v>
      </c>
      <c r="G59" s="88">
        <f t="shared" si="80"/>
        <v>1765.1327852812428</v>
      </c>
      <c r="H59" s="88">
        <f t="shared" si="80"/>
        <v>2828.3143494374999</v>
      </c>
      <c r="I59" s="88">
        <f t="shared" si="80"/>
        <v>238.98105000000214</v>
      </c>
      <c r="J59" s="88">
        <f t="shared" si="80"/>
        <v>237.41140499999892</v>
      </c>
      <c r="K59" s="88">
        <f t="shared" si="80"/>
        <v>236.1380175000013</v>
      </c>
      <c r="L59" s="88">
        <f t="shared" si="80"/>
        <v>233.87970375000077</v>
      </c>
      <c r="M59" s="88">
        <f t="shared" si="80"/>
        <v>232.71546374999525</v>
      </c>
      <c r="N59" s="88">
        <f t="shared" si="80"/>
        <v>230.0985225000004</v>
      </c>
      <c r="O59" s="88">
        <f t="shared" si="80"/>
        <v>226.15881749999971</v>
      </c>
      <c r="P59" s="88">
        <f t="shared" si="80"/>
        <v>221.27836500000558</v>
      </c>
      <c r="Q59" s="88">
        <f t="shared" si="80"/>
        <v>217.53356624999651</v>
      </c>
      <c r="R59" s="88">
        <f t="shared" si="80"/>
        <v>215.58450375000029</v>
      </c>
      <c r="S59" s="88">
        <f t="shared" si="80"/>
        <v>217.96198562867721</v>
      </c>
      <c r="T59" s="88">
        <f t="shared" si="80"/>
        <v>220.3656865536359</v>
      </c>
      <c r="U59" s="88">
        <f t="shared" si="80"/>
        <v>222.79589567047515</v>
      </c>
      <c r="V59" s="88">
        <f t="shared" si="80"/>
        <v>225.25290531349674</v>
      </c>
      <c r="W59" s="88">
        <f t="shared" si="80"/>
        <v>227.73701104088468</v>
      </c>
    </row>
    <row r="60" spans="1:23">
      <c r="A60" s="169" t="s">
        <v>239</v>
      </c>
      <c r="B60" s="85"/>
      <c r="C60" s="88">
        <f>C72</f>
        <v>12761.128648125001</v>
      </c>
      <c r="D60" s="88">
        <f t="shared" ref="D60:S61" si="81">D72-C72</f>
        <v>45548.484392812505</v>
      </c>
      <c r="E60" s="88">
        <f t="shared" si="81"/>
        <v>36389.467044562494</v>
      </c>
      <c r="F60" s="88">
        <f t="shared" si="81"/>
        <v>26750.887991437528</v>
      </c>
      <c r="G60" s="88">
        <f t="shared" si="81"/>
        <v>16642.680546937525</v>
      </c>
      <c r="H60" s="88">
        <f t="shared" si="81"/>
        <v>26666.963866124948</v>
      </c>
      <c r="I60" s="88">
        <f t="shared" si="81"/>
        <v>2253.2498999999953</v>
      </c>
      <c r="J60" s="88">
        <f t="shared" si="81"/>
        <v>2238.4503899999836</v>
      </c>
      <c r="K60" s="88">
        <f t="shared" si="81"/>
        <v>2226.4441650000226</v>
      </c>
      <c r="L60" s="88">
        <f t="shared" si="81"/>
        <v>2205.1514925000083</v>
      </c>
      <c r="M60" s="88">
        <f t="shared" si="81"/>
        <v>2194.1743724999542</v>
      </c>
      <c r="N60" s="88">
        <f t="shared" si="81"/>
        <v>2169.5003550000547</v>
      </c>
      <c r="O60" s="88">
        <f t="shared" si="81"/>
        <v>2132.354565000016</v>
      </c>
      <c r="P60" s="88">
        <f t="shared" si="81"/>
        <v>2086.3388699999487</v>
      </c>
      <c r="Q60" s="88">
        <f t="shared" si="81"/>
        <v>2051.0307675000222</v>
      </c>
      <c r="R60" s="88">
        <f t="shared" si="81"/>
        <v>2032.6538925000059</v>
      </c>
      <c r="S60" s="88">
        <f t="shared" si="81"/>
        <v>2055.0701502131997</v>
      </c>
      <c r="T60" s="88">
        <f t="shared" si="80"/>
        <v>2077.7336160771956</v>
      </c>
      <c r="U60" s="88">
        <f t="shared" si="80"/>
        <v>2100.6470163215999</v>
      </c>
      <c r="V60" s="88">
        <f t="shared" si="80"/>
        <v>2123.8131072415563</v>
      </c>
      <c r="W60" s="88">
        <f t="shared" si="80"/>
        <v>2147.234675528307</v>
      </c>
    </row>
    <row r="61" spans="1:23">
      <c r="A61" s="87" t="s">
        <v>215</v>
      </c>
      <c r="B61" s="85"/>
      <c r="C61" s="88">
        <f>C73</f>
        <v>39675.509069625004</v>
      </c>
      <c r="D61" s="88">
        <f t="shared" si="81"/>
        <v>161757.69961725001</v>
      </c>
      <c r="E61" s="88">
        <f t="shared" si="81"/>
        <v>166601.85255449999</v>
      </c>
      <c r="F61" s="88">
        <f t="shared" si="81"/>
        <v>171392.06969774998</v>
      </c>
      <c r="G61" s="88">
        <f t="shared" si="81"/>
        <v>176143.86647550005</v>
      </c>
      <c r="H61" s="88">
        <f t="shared" si="81"/>
        <v>138183.35821537499</v>
      </c>
      <c r="I61" s="88">
        <f t="shared" si="81"/>
        <v>11675.931299999822</v>
      </c>
      <c r="J61" s="88">
        <f t="shared" si="81"/>
        <v>11599.242930000182</v>
      </c>
      <c r="K61" s="88">
        <f t="shared" si="81"/>
        <v>11537.028854999808</v>
      </c>
      <c r="L61" s="88">
        <f t="shared" si="81"/>
        <v>11426.694097500062</v>
      </c>
      <c r="M61" s="88">
        <f t="shared" si="81"/>
        <v>11369.812657500035</v>
      </c>
      <c r="N61" s="88">
        <f t="shared" si="81"/>
        <v>11241.956385000027</v>
      </c>
      <c r="O61" s="88">
        <f t="shared" si="81"/>
        <v>11049.47365499998</v>
      </c>
      <c r="P61" s="88">
        <f t="shared" si="81"/>
        <v>10811.028690000065</v>
      </c>
      <c r="Q61" s="88">
        <f t="shared" si="81"/>
        <v>10628.068522499991</v>
      </c>
      <c r="R61" s="88">
        <f t="shared" si="81"/>
        <v>10532.842897499911</v>
      </c>
      <c r="S61" s="88">
        <f t="shared" si="81"/>
        <v>10648.999869286548</v>
      </c>
      <c r="T61" s="88">
        <f t="shared" si="80"/>
        <v>10766.437828763621</v>
      </c>
      <c r="U61" s="88">
        <f t="shared" si="80"/>
        <v>10885.170902757556</v>
      </c>
      <c r="V61" s="88">
        <f t="shared" si="80"/>
        <v>11005.213373887935</v>
      </c>
      <c r="W61" s="88">
        <f t="shared" si="80"/>
        <v>11126.579682283336</v>
      </c>
    </row>
    <row r="62" spans="1:23">
      <c r="A62" s="89"/>
      <c r="B62" s="90"/>
      <c r="C62" s="91"/>
      <c r="D62" s="92"/>
      <c r="E62" s="92"/>
      <c r="F62" s="92"/>
      <c r="G62" s="92"/>
      <c r="H62" s="92"/>
      <c r="I62" s="92"/>
      <c r="J62" s="92"/>
      <c r="K62" s="92"/>
      <c r="L62" s="92"/>
      <c r="M62" s="92"/>
      <c r="N62" s="92"/>
      <c r="O62" s="92"/>
      <c r="P62" s="92"/>
      <c r="Q62" s="92"/>
      <c r="R62" s="92"/>
      <c r="S62" s="92"/>
      <c r="T62" s="92"/>
      <c r="U62" s="92"/>
      <c r="V62" s="92"/>
      <c r="W62" s="92"/>
    </row>
    <row r="63" spans="1:23">
      <c r="A63" s="93" t="s">
        <v>216</v>
      </c>
      <c r="B63" s="94"/>
      <c r="C63" s="95">
        <f>SUM(C58:C61)</f>
        <v>67324.621140562507</v>
      </c>
      <c r="D63" s="95">
        <f>SUM(D58:D61)</f>
        <v>260446.08246834375</v>
      </c>
      <c r="E63" s="95">
        <f t="shared" ref="E63:W63" si="82">SUM(E58:E61)</f>
        <v>245445.69781771873</v>
      </c>
      <c r="F63" s="95">
        <f t="shared" si="82"/>
        <v>229352.32701253126</v>
      </c>
      <c r="G63" s="95">
        <f t="shared" si="82"/>
        <v>212203.00766053132</v>
      </c>
      <c r="H63" s="95">
        <f t="shared" si="82"/>
        <v>195961.77992531238</v>
      </c>
      <c r="I63" s="95">
        <f t="shared" si="82"/>
        <v>16557.972749999812</v>
      </c>
      <c r="J63" s="95">
        <f t="shared" si="82"/>
        <v>16449.218775000169</v>
      </c>
      <c r="K63" s="95">
        <f t="shared" si="82"/>
        <v>16360.991212499859</v>
      </c>
      <c r="L63" s="95">
        <f t="shared" si="82"/>
        <v>16204.522331250086</v>
      </c>
      <c r="M63" s="95">
        <f t="shared" si="82"/>
        <v>16123.857131249959</v>
      </c>
      <c r="N63" s="95">
        <f t="shared" si="82"/>
        <v>15942.540487500035</v>
      </c>
      <c r="O63" s="95">
        <f t="shared" si="82"/>
        <v>15669.575212500036</v>
      </c>
      <c r="P63" s="95">
        <f t="shared" si="82"/>
        <v>15331.429575000016</v>
      </c>
      <c r="Q63" s="95">
        <f t="shared" si="82"/>
        <v>15071.968518750011</v>
      </c>
      <c r="R63" s="95">
        <f t="shared" si="82"/>
        <v>14936.926331249913</v>
      </c>
      <c r="S63" s="95">
        <f t="shared" si="82"/>
        <v>15101.65186141519</v>
      </c>
      <c r="T63" s="95">
        <f t="shared" si="82"/>
        <v>15268.193996930833</v>
      </c>
      <c r="U63" s="95">
        <f t="shared" si="82"/>
        <v>15436.572771454397</v>
      </c>
      <c r="V63" s="95">
        <f t="shared" si="82"/>
        <v>15606.808439577948</v>
      </c>
      <c r="W63" s="95">
        <f t="shared" si="82"/>
        <v>15778.921479261338</v>
      </c>
    </row>
    <row r="64" spans="1:23">
      <c r="A64" s="96"/>
      <c r="B64" s="96"/>
      <c r="C64" s="97"/>
      <c r="D64" s="97"/>
      <c r="E64" s="97"/>
      <c r="F64" s="97"/>
      <c r="G64" s="97"/>
      <c r="H64" s="97"/>
      <c r="I64" s="97"/>
      <c r="J64" s="96"/>
      <c r="K64" s="96"/>
      <c r="L64" s="96"/>
    </row>
    <row r="65" spans="1:23">
      <c r="A65" s="98" t="s">
        <v>217</v>
      </c>
      <c r="B65" s="98"/>
      <c r="C65" s="99"/>
      <c r="D65" s="99"/>
      <c r="E65" s="99"/>
      <c r="F65" s="99"/>
      <c r="G65" s="99"/>
      <c r="H65" s="99"/>
      <c r="I65" s="99"/>
      <c r="J65" s="100"/>
      <c r="K65" s="100"/>
      <c r="L65" s="100"/>
    </row>
    <row r="66" spans="1:23">
      <c r="A66" s="98"/>
      <c r="B66" s="98"/>
      <c r="C66" s="99"/>
      <c r="D66" s="99"/>
      <c r="E66" s="99"/>
      <c r="F66" s="99"/>
      <c r="G66" s="99"/>
      <c r="H66" s="99"/>
      <c r="I66" s="99"/>
      <c r="J66" s="100"/>
      <c r="K66" s="100"/>
      <c r="L66" s="100"/>
    </row>
    <row r="67" spans="1:23">
      <c r="A67" s="509" t="s">
        <v>214</v>
      </c>
      <c r="B67" s="511"/>
      <c r="C67" s="504" t="s">
        <v>218</v>
      </c>
      <c r="D67" s="504"/>
      <c r="E67" s="504"/>
      <c r="F67" s="504"/>
      <c r="G67" s="504"/>
      <c r="H67" s="504"/>
      <c r="I67" s="504"/>
      <c r="J67" s="504"/>
      <c r="K67" s="504"/>
      <c r="L67" s="504"/>
      <c r="M67" s="504"/>
      <c r="N67" s="504"/>
      <c r="O67" s="504"/>
      <c r="P67" s="504"/>
      <c r="Q67" s="504"/>
      <c r="R67" s="504"/>
      <c r="S67" s="504"/>
      <c r="T67" s="504"/>
      <c r="U67" s="504"/>
      <c r="V67" s="504"/>
      <c r="W67" s="504"/>
    </row>
    <row r="68" spans="1:23">
      <c r="A68" s="510"/>
      <c r="B68" s="512"/>
      <c r="C68" s="83">
        <v>2015</v>
      </c>
      <c r="D68" s="83">
        <v>2016</v>
      </c>
      <c r="E68" s="83">
        <v>2017</v>
      </c>
      <c r="F68" s="83">
        <v>2018</v>
      </c>
      <c r="G68" s="83">
        <v>2019</v>
      </c>
      <c r="H68" s="83">
        <v>2020</v>
      </c>
      <c r="I68" s="83">
        <v>2021</v>
      </c>
      <c r="J68" s="83">
        <v>2022</v>
      </c>
      <c r="K68" s="83">
        <v>2023</v>
      </c>
      <c r="L68" s="83">
        <v>2024</v>
      </c>
      <c r="M68" s="83">
        <v>2025</v>
      </c>
      <c r="N68" s="83">
        <v>2026</v>
      </c>
      <c r="O68" s="83">
        <v>2027</v>
      </c>
      <c r="P68" s="83">
        <v>2028</v>
      </c>
      <c r="Q68" s="83">
        <v>2029</v>
      </c>
      <c r="R68" s="83">
        <v>2030</v>
      </c>
      <c r="S68" s="83">
        <v>2031</v>
      </c>
      <c r="T68" s="83">
        <v>2032</v>
      </c>
      <c r="U68" s="83">
        <v>2033</v>
      </c>
      <c r="V68" s="83">
        <v>2034</v>
      </c>
      <c r="W68" s="83">
        <v>2035</v>
      </c>
    </row>
    <row r="69" spans="1:23">
      <c r="A69" s="84"/>
      <c r="B69" s="87"/>
      <c r="C69" s="92"/>
      <c r="D69" s="92"/>
      <c r="E69" s="92"/>
      <c r="F69" s="92"/>
      <c r="G69" s="92"/>
      <c r="H69" s="92"/>
      <c r="I69" s="92"/>
      <c r="J69" s="92"/>
      <c r="K69" s="92"/>
      <c r="L69" s="92"/>
      <c r="M69" s="92"/>
      <c r="N69" s="92"/>
      <c r="O69" s="92"/>
      <c r="P69" s="92"/>
      <c r="Q69" s="92"/>
      <c r="R69" s="92"/>
      <c r="S69" s="92"/>
      <c r="T69" s="92"/>
      <c r="U69" s="92"/>
      <c r="V69" s="92"/>
      <c r="W69" s="92"/>
    </row>
    <row r="70" spans="1:23">
      <c r="A70" s="103" t="str">
        <f>+A58</f>
        <v>a. Space Cooling - CAC Switch</v>
      </c>
      <c r="B70" s="104"/>
      <c r="C70" s="92">
        <f t="shared" ref="C70:W70" si="83">C6*$C$20*$C$21*C28*C26*(1-C27)</f>
        <v>13534.530384375001</v>
      </c>
      <c r="D70" s="92">
        <f t="shared" si="83"/>
        <v>61843.528982812495</v>
      </c>
      <c r="E70" s="92">
        <f t="shared" si="83"/>
        <v>100438.4182725</v>
      </c>
      <c r="F70" s="92">
        <f t="shared" si="83"/>
        <v>128810.5722028125</v>
      </c>
      <c r="G70" s="92">
        <f t="shared" si="83"/>
        <v>146461.90005562501</v>
      </c>
      <c r="H70" s="92">
        <f t="shared" si="83"/>
        <v>174745.04354999997</v>
      </c>
      <c r="I70" s="92">
        <f t="shared" si="83"/>
        <v>177134.85404999997</v>
      </c>
      <c r="J70" s="92">
        <f t="shared" si="83"/>
        <v>179508.96809999997</v>
      </c>
      <c r="K70" s="92">
        <f t="shared" si="83"/>
        <v>181870.348275</v>
      </c>
      <c r="L70" s="92">
        <f t="shared" si="83"/>
        <v>184209.14531250001</v>
      </c>
      <c r="M70" s="92">
        <f t="shared" si="83"/>
        <v>186536.29994999999</v>
      </c>
      <c r="N70" s="92">
        <f t="shared" si="83"/>
        <v>188837.28517499994</v>
      </c>
      <c r="O70" s="92">
        <f t="shared" si="83"/>
        <v>191098.87334999998</v>
      </c>
      <c r="P70" s="92">
        <f t="shared" si="83"/>
        <v>193311.65699999998</v>
      </c>
      <c r="Q70" s="92">
        <f t="shared" si="83"/>
        <v>195486.99266249998</v>
      </c>
      <c r="R70" s="92">
        <f t="shared" si="83"/>
        <v>197642.83769999997</v>
      </c>
      <c r="S70" s="92">
        <f t="shared" si="83"/>
        <v>199822.45755628674</v>
      </c>
      <c r="T70" s="92">
        <f t="shared" si="83"/>
        <v>202026.11442182312</v>
      </c>
      <c r="U70" s="92">
        <f t="shared" si="83"/>
        <v>204254.07337852789</v>
      </c>
      <c r="V70" s="92">
        <f t="shared" si="83"/>
        <v>206506.60243166285</v>
      </c>
      <c r="W70" s="92">
        <f t="shared" si="83"/>
        <v>208783.97254207166</v>
      </c>
    </row>
    <row r="71" spans="1:23">
      <c r="A71" s="103" t="str">
        <f>+A59</f>
        <v>b. Space Cooling - RAC Switch</v>
      </c>
      <c r="B71" s="104"/>
      <c r="C71" s="92">
        <f>C6*$C$31*$C$32*C39*C37*(1-C38)</f>
        <v>1353.4530384375003</v>
      </c>
      <c r="D71" s="92">
        <f t="shared" ref="D71:W71" si="84">D6*$C$31*$C$32*D39*D37*(1-D38)</f>
        <v>6184.3528982812495</v>
      </c>
      <c r="E71" s="92">
        <f t="shared" si="84"/>
        <v>10043.84182725</v>
      </c>
      <c r="F71" s="92">
        <f t="shared" si="84"/>
        <v>12881.057220281255</v>
      </c>
      <c r="G71" s="92">
        <f t="shared" si="84"/>
        <v>14646.190005562497</v>
      </c>
      <c r="H71" s="92">
        <f t="shared" si="84"/>
        <v>17474.504354999997</v>
      </c>
      <c r="I71" s="92">
        <f t="shared" si="84"/>
        <v>17713.485404999999</v>
      </c>
      <c r="J71" s="92">
        <f t="shared" si="84"/>
        <v>17950.896809999998</v>
      </c>
      <c r="K71" s="92">
        <f t="shared" si="84"/>
        <v>18187.0348275</v>
      </c>
      <c r="L71" s="92">
        <f t="shared" si="84"/>
        <v>18420.91453125</v>
      </c>
      <c r="M71" s="92">
        <f t="shared" si="84"/>
        <v>18653.629994999996</v>
      </c>
      <c r="N71" s="92">
        <f t="shared" si="84"/>
        <v>18883.728517499996</v>
      </c>
      <c r="O71" s="92">
        <f t="shared" si="84"/>
        <v>19109.887334999996</v>
      </c>
      <c r="P71" s="92">
        <f t="shared" si="84"/>
        <v>19331.165700000001</v>
      </c>
      <c r="Q71" s="92">
        <f t="shared" si="84"/>
        <v>19548.699266249998</v>
      </c>
      <c r="R71" s="92">
        <f t="shared" si="84"/>
        <v>19764.283769999998</v>
      </c>
      <c r="S71" s="92">
        <f t="shared" si="84"/>
        <v>19982.245755628675</v>
      </c>
      <c r="T71" s="92">
        <f t="shared" si="84"/>
        <v>20202.611442182311</v>
      </c>
      <c r="U71" s="92">
        <f t="shared" si="84"/>
        <v>20425.407337852786</v>
      </c>
      <c r="V71" s="92">
        <f t="shared" si="84"/>
        <v>20650.660243166283</v>
      </c>
      <c r="W71" s="92">
        <f t="shared" si="84"/>
        <v>20878.397254207168</v>
      </c>
    </row>
    <row r="72" spans="1:23">
      <c r="A72" s="103" t="str">
        <f>+A60</f>
        <v>c. Space Heating - Switch</v>
      </c>
      <c r="B72" s="104"/>
      <c r="C72" s="92">
        <f t="shared" ref="C72:W72" si="85">C6*$C$9*$C$10*C17*C15*(1-C16)</f>
        <v>12761.128648125001</v>
      </c>
      <c r="D72" s="92">
        <f t="shared" si="85"/>
        <v>58309.613040937504</v>
      </c>
      <c r="E72" s="92">
        <f t="shared" si="85"/>
        <v>94699.080085499998</v>
      </c>
      <c r="F72" s="92">
        <f t="shared" si="85"/>
        <v>121449.96807693753</v>
      </c>
      <c r="G72" s="92">
        <f t="shared" si="85"/>
        <v>138092.64862387505</v>
      </c>
      <c r="H72" s="92">
        <f t="shared" si="85"/>
        <v>164759.61249</v>
      </c>
      <c r="I72" s="92">
        <f t="shared" si="85"/>
        <v>167012.86238999999</v>
      </c>
      <c r="J72" s="92">
        <f t="shared" si="85"/>
        <v>169251.31277999998</v>
      </c>
      <c r="K72" s="92">
        <f t="shared" si="85"/>
        <v>171477.756945</v>
      </c>
      <c r="L72" s="92">
        <f t="shared" si="85"/>
        <v>173682.90843750001</v>
      </c>
      <c r="M72" s="92">
        <f t="shared" si="85"/>
        <v>175877.08280999996</v>
      </c>
      <c r="N72" s="92">
        <f t="shared" si="85"/>
        <v>178046.58316500002</v>
      </c>
      <c r="O72" s="92">
        <f t="shared" si="85"/>
        <v>180178.93773000003</v>
      </c>
      <c r="P72" s="92">
        <f t="shared" si="85"/>
        <v>182265.27659999998</v>
      </c>
      <c r="Q72" s="92">
        <f t="shared" si="85"/>
        <v>184316.30736750001</v>
      </c>
      <c r="R72" s="92">
        <f t="shared" si="85"/>
        <v>186348.96126000001</v>
      </c>
      <c r="S72" s="92">
        <f t="shared" si="85"/>
        <v>188404.03141021321</v>
      </c>
      <c r="T72" s="92">
        <f t="shared" si="85"/>
        <v>190481.76502629041</v>
      </c>
      <c r="U72" s="92">
        <f t="shared" si="85"/>
        <v>192582.41204261201</v>
      </c>
      <c r="V72" s="92">
        <f t="shared" si="85"/>
        <v>194706.22514985356</v>
      </c>
      <c r="W72" s="92">
        <f t="shared" si="85"/>
        <v>196853.45982538187</v>
      </c>
    </row>
    <row r="73" spans="1:23">
      <c r="A73" s="103" t="str">
        <f>+A61</f>
        <v>d. Water Heating - Switch</v>
      </c>
      <c r="B73" s="104"/>
      <c r="C73" s="92">
        <f t="shared" ref="C73:W73" si="86">C6*$C$42*$C$43*C50*C48*(1-C49)</f>
        <v>39675.509069625004</v>
      </c>
      <c r="D73" s="92">
        <f t="shared" si="86"/>
        <v>201433.208686875</v>
      </c>
      <c r="E73" s="92">
        <f t="shared" si="86"/>
        <v>368035.06124137499</v>
      </c>
      <c r="F73" s="92">
        <f t="shared" si="86"/>
        <v>539427.13093912497</v>
      </c>
      <c r="G73" s="92">
        <f t="shared" si="86"/>
        <v>715570.99741462502</v>
      </c>
      <c r="H73" s="92">
        <f t="shared" si="86"/>
        <v>853754.35563000001</v>
      </c>
      <c r="I73" s="92">
        <f t="shared" si="86"/>
        <v>865430.28692999983</v>
      </c>
      <c r="J73" s="92">
        <f t="shared" si="86"/>
        <v>877029.52986000001</v>
      </c>
      <c r="K73" s="92">
        <f t="shared" si="86"/>
        <v>888566.55871499982</v>
      </c>
      <c r="L73" s="92">
        <f t="shared" si="86"/>
        <v>899993.25281249988</v>
      </c>
      <c r="M73" s="92">
        <f t="shared" si="86"/>
        <v>911363.06546999991</v>
      </c>
      <c r="N73" s="92">
        <f t="shared" si="86"/>
        <v>922605.02185499994</v>
      </c>
      <c r="O73" s="92">
        <f t="shared" si="86"/>
        <v>933654.49550999992</v>
      </c>
      <c r="P73" s="92">
        <f t="shared" si="86"/>
        <v>944465.52419999999</v>
      </c>
      <c r="Q73" s="92">
        <f t="shared" si="86"/>
        <v>955093.59272249998</v>
      </c>
      <c r="R73" s="92">
        <f t="shared" si="86"/>
        <v>965626.43561999989</v>
      </c>
      <c r="S73" s="92">
        <f t="shared" si="86"/>
        <v>976275.43548928644</v>
      </c>
      <c r="T73" s="92">
        <f t="shared" si="86"/>
        <v>987041.87331805006</v>
      </c>
      <c r="U73" s="92">
        <f t="shared" si="86"/>
        <v>997927.04422080761</v>
      </c>
      <c r="V73" s="92">
        <f t="shared" si="86"/>
        <v>1008932.2575946955</v>
      </c>
      <c r="W73" s="92">
        <f t="shared" si="86"/>
        <v>1020058.8372769789</v>
      </c>
    </row>
    <row r="74" spans="1:23">
      <c r="A74" s="87"/>
      <c r="B74" s="87"/>
      <c r="C74" s="105"/>
      <c r="D74" s="105"/>
      <c r="E74" s="105"/>
      <c r="F74" s="105"/>
      <c r="G74" s="105"/>
      <c r="H74" s="105"/>
      <c r="I74" s="105"/>
      <c r="J74" s="105"/>
      <c r="K74" s="105"/>
      <c r="L74" s="105"/>
      <c r="M74" s="105"/>
      <c r="N74" s="105"/>
      <c r="O74" s="105"/>
      <c r="P74" s="105"/>
      <c r="Q74" s="105"/>
      <c r="R74" s="105"/>
      <c r="S74" s="105"/>
      <c r="T74" s="105"/>
      <c r="U74" s="105"/>
      <c r="V74" s="105"/>
      <c r="W74" s="105"/>
    </row>
    <row r="75" spans="1:23">
      <c r="A75" s="93" t="s">
        <v>219</v>
      </c>
      <c r="B75" s="93"/>
      <c r="C75" s="95">
        <f>SUM(C70:C73)</f>
        <v>67324.621140562507</v>
      </c>
      <c r="D75" s="95">
        <f t="shared" ref="D75:W75" si="87">SUM(D70:D73)</f>
        <v>327770.70360890625</v>
      </c>
      <c r="E75" s="95">
        <f t="shared" si="87"/>
        <v>573216.40142662497</v>
      </c>
      <c r="F75" s="95">
        <f t="shared" si="87"/>
        <v>802568.7284391562</v>
      </c>
      <c r="G75" s="95">
        <f t="shared" si="87"/>
        <v>1014771.7360996876</v>
      </c>
      <c r="H75" s="95">
        <f t="shared" si="87"/>
        <v>1210733.516025</v>
      </c>
      <c r="I75" s="95">
        <f t="shared" si="87"/>
        <v>1227291.4887749997</v>
      </c>
      <c r="J75" s="95">
        <f t="shared" si="87"/>
        <v>1243740.7075499999</v>
      </c>
      <c r="K75" s="95">
        <f t="shared" si="87"/>
        <v>1260101.6987624997</v>
      </c>
      <c r="L75" s="95">
        <f t="shared" si="87"/>
        <v>1276306.2210937499</v>
      </c>
      <c r="M75" s="95">
        <f t="shared" si="87"/>
        <v>1292430.0782249998</v>
      </c>
      <c r="N75" s="95">
        <f t="shared" si="87"/>
        <v>1308372.6187124997</v>
      </c>
      <c r="O75" s="95">
        <f t="shared" si="87"/>
        <v>1324042.1939249998</v>
      </c>
      <c r="P75" s="95">
        <f t="shared" si="87"/>
        <v>1339373.6235</v>
      </c>
      <c r="Q75" s="95">
        <f t="shared" si="87"/>
        <v>1354445.59201875</v>
      </c>
      <c r="R75" s="95">
        <f t="shared" si="87"/>
        <v>1369382.51835</v>
      </c>
      <c r="S75" s="95">
        <f t="shared" si="87"/>
        <v>1384484.170211415</v>
      </c>
      <c r="T75" s="95">
        <f t="shared" si="87"/>
        <v>1399752.3642083458</v>
      </c>
      <c r="U75" s="95">
        <f t="shared" si="87"/>
        <v>1415188.9369798002</v>
      </c>
      <c r="V75" s="95">
        <f t="shared" si="87"/>
        <v>1430795.7454193784</v>
      </c>
      <c r="W75" s="95">
        <f t="shared" si="87"/>
        <v>1446574.6668986396</v>
      </c>
    </row>
    <row r="77" spans="1:23">
      <c r="A77" s="77" t="s">
        <v>220</v>
      </c>
      <c r="B77" s="77"/>
      <c r="D77" s="223"/>
      <c r="E77" s="78"/>
      <c r="F77" s="78"/>
      <c r="G77" s="224"/>
    </row>
    <row r="79" spans="1:23">
      <c r="A79" s="106"/>
      <c r="B79" s="502" t="s">
        <v>242</v>
      </c>
      <c r="C79" s="507" t="s">
        <v>221</v>
      </c>
      <c r="D79" s="508"/>
      <c r="E79" s="508"/>
      <c r="F79" s="508"/>
      <c r="G79" s="508"/>
      <c r="H79" s="508"/>
      <c r="I79" s="508"/>
      <c r="J79" s="508"/>
      <c r="K79" s="508"/>
      <c r="L79" s="508"/>
      <c r="M79" s="508"/>
      <c r="N79" s="508"/>
      <c r="O79" s="508"/>
      <c r="P79" s="508"/>
      <c r="Q79" s="508"/>
      <c r="R79" s="508"/>
      <c r="S79" s="508"/>
      <c r="T79" s="508"/>
      <c r="U79" s="508"/>
      <c r="V79" s="508"/>
      <c r="W79" s="508"/>
    </row>
    <row r="80" spans="1:23">
      <c r="A80" s="107" t="s">
        <v>214</v>
      </c>
      <c r="B80" s="506"/>
      <c r="C80" s="83">
        <v>2015</v>
      </c>
      <c r="D80" s="83">
        <v>2016</v>
      </c>
      <c r="E80" s="83">
        <v>2017</v>
      </c>
      <c r="F80" s="83">
        <v>2018</v>
      </c>
      <c r="G80" s="83">
        <v>2019</v>
      </c>
      <c r="H80" s="83">
        <v>2020</v>
      </c>
      <c r="I80" s="83">
        <v>2021</v>
      </c>
      <c r="J80" s="83">
        <v>2022</v>
      </c>
      <c r="K80" s="83">
        <v>2023</v>
      </c>
      <c r="L80" s="83">
        <v>2024</v>
      </c>
      <c r="M80" s="83">
        <v>2025</v>
      </c>
      <c r="N80" s="83">
        <v>2026</v>
      </c>
      <c r="O80" s="83">
        <v>2027</v>
      </c>
      <c r="P80" s="83">
        <v>2028</v>
      </c>
      <c r="Q80" s="83">
        <v>2029</v>
      </c>
      <c r="R80" s="83">
        <v>2030</v>
      </c>
      <c r="S80" s="83">
        <v>2031</v>
      </c>
      <c r="T80" s="83">
        <v>2032</v>
      </c>
      <c r="U80" s="83">
        <v>2033</v>
      </c>
      <c r="V80" s="83">
        <v>2034</v>
      </c>
      <c r="W80" s="83">
        <v>2035</v>
      </c>
    </row>
    <row r="81" spans="1:23">
      <c r="A81" s="84"/>
      <c r="B81" s="84"/>
      <c r="C81" s="84"/>
      <c r="D81" s="108"/>
      <c r="E81" s="84"/>
      <c r="F81" s="84"/>
      <c r="G81" s="84"/>
      <c r="H81" s="84"/>
      <c r="I81" s="84"/>
      <c r="J81" s="84"/>
      <c r="K81" s="84"/>
      <c r="L81" s="84"/>
      <c r="M81" s="84"/>
      <c r="N81" s="84"/>
      <c r="O81" s="84"/>
      <c r="P81" s="84"/>
      <c r="Q81" s="84"/>
      <c r="R81" s="84"/>
      <c r="S81" s="84"/>
      <c r="T81" s="84"/>
      <c r="U81" s="84"/>
      <c r="V81" s="84"/>
      <c r="W81" s="84"/>
    </row>
    <row r="82" spans="1:23">
      <c r="A82" s="103" t="str">
        <f>+A58</f>
        <v>a. Space Cooling - CAC Switch</v>
      </c>
      <c r="B82" s="246">
        <f>KeyAssumptions!J6</f>
        <v>0.6</v>
      </c>
      <c r="C82" s="192">
        <f>$B82/1000*C70*$C$11</f>
        <v>7.7146823190937495</v>
      </c>
      <c r="D82" s="192">
        <f t="shared" ref="D82:W82" si="88">$B82/1000*D70*$C$11</f>
        <v>35.250811520203115</v>
      </c>
      <c r="E82" s="192">
        <f t="shared" si="88"/>
        <v>57.249898415324992</v>
      </c>
      <c r="F82" s="192">
        <f t="shared" si="88"/>
        <v>73.42202615560312</v>
      </c>
      <c r="G82" s="192">
        <f t="shared" si="88"/>
        <v>83.48328303170625</v>
      </c>
      <c r="H82" s="192">
        <f t="shared" si="88"/>
        <v>99.604674823499977</v>
      </c>
      <c r="I82" s="192">
        <f t="shared" si="88"/>
        <v>100.96686680849997</v>
      </c>
      <c r="J82" s="192">
        <f t="shared" si="88"/>
        <v>102.32011181699997</v>
      </c>
      <c r="K82" s="192">
        <f t="shared" si="88"/>
        <v>103.66609851674998</v>
      </c>
      <c r="L82" s="192">
        <f t="shared" si="88"/>
        <v>104.99921282812498</v>
      </c>
      <c r="M82" s="192">
        <f t="shared" si="88"/>
        <v>106.32569097149998</v>
      </c>
      <c r="N82" s="192">
        <f t="shared" si="88"/>
        <v>107.63725254974995</v>
      </c>
      <c r="O82" s="192">
        <f t="shared" si="88"/>
        <v>108.92635780949998</v>
      </c>
      <c r="P82" s="192">
        <f t="shared" si="88"/>
        <v>110.18764448999997</v>
      </c>
      <c r="Q82" s="192">
        <f t="shared" si="88"/>
        <v>111.42758581762497</v>
      </c>
      <c r="R82" s="192">
        <f t="shared" si="88"/>
        <v>112.65641748899998</v>
      </c>
      <c r="S82" s="192">
        <f t="shared" si="88"/>
        <v>113.89880080708343</v>
      </c>
      <c r="T82" s="192">
        <f t="shared" si="88"/>
        <v>115.15488522043916</v>
      </c>
      <c r="U82" s="192">
        <f t="shared" si="88"/>
        <v>116.42482182576087</v>
      </c>
      <c r="V82" s="192">
        <f t="shared" si="88"/>
        <v>117.70876338604781</v>
      </c>
      <c r="W82" s="192">
        <f t="shared" si="88"/>
        <v>119.00686434898083</v>
      </c>
    </row>
    <row r="83" spans="1:23">
      <c r="A83" s="103" t="str">
        <f>+A59</f>
        <v>b. Space Cooling - RAC Switch</v>
      </c>
      <c r="B83" s="246">
        <f>KeyAssumptions!J7</f>
        <v>0.27</v>
      </c>
      <c r="C83" s="192">
        <f t="shared" ref="C83:R83" si="89">$B83/1000*C71*$C$22</f>
        <v>0.34716070435921881</v>
      </c>
      <c r="D83" s="192">
        <f t="shared" si="89"/>
        <v>1.5862865184091404</v>
      </c>
      <c r="E83" s="192">
        <f t="shared" si="89"/>
        <v>2.5762454286896248</v>
      </c>
      <c r="F83" s="192">
        <f t="shared" si="89"/>
        <v>3.3039911770021417</v>
      </c>
      <c r="G83" s="192">
        <f t="shared" si="89"/>
        <v>3.7567477364267807</v>
      </c>
      <c r="H83" s="192">
        <f t="shared" si="89"/>
        <v>4.4822103670574993</v>
      </c>
      <c r="I83" s="192">
        <f t="shared" si="89"/>
        <v>4.5435090063824992</v>
      </c>
      <c r="J83" s="192">
        <f t="shared" si="89"/>
        <v>4.6044050317649994</v>
      </c>
      <c r="K83" s="192">
        <f t="shared" si="89"/>
        <v>4.6649744332537493</v>
      </c>
      <c r="L83" s="192">
        <f t="shared" si="89"/>
        <v>4.7249645772656255</v>
      </c>
      <c r="M83" s="192">
        <f t="shared" si="89"/>
        <v>4.7846560937174987</v>
      </c>
      <c r="N83" s="192">
        <f t="shared" si="89"/>
        <v>4.8436763647387489</v>
      </c>
      <c r="O83" s="192">
        <f t="shared" si="89"/>
        <v>4.9016861014274991</v>
      </c>
      <c r="P83" s="192">
        <f t="shared" si="89"/>
        <v>4.9584440020500002</v>
      </c>
      <c r="Q83" s="192">
        <f t="shared" si="89"/>
        <v>5.0142413617931245</v>
      </c>
      <c r="R83" s="192">
        <f t="shared" si="89"/>
        <v>5.0695387870049995</v>
      </c>
      <c r="S83" s="192">
        <f t="shared" ref="S83:W83" si="90">$B83/1000*S71*$C$22</f>
        <v>5.1254460363187553</v>
      </c>
      <c r="T83" s="192">
        <f t="shared" si="90"/>
        <v>5.1819698349197623</v>
      </c>
      <c r="U83" s="192">
        <f t="shared" si="90"/>
        <v>5.2391169821592394</v>
      </c>
      <c r="V83" s="192">
        <f t="shared" si="90"/>
        <v>5.296894352372151</v>
      </c>
      <c r="W83" s="192">
        <f t="shared" si="90"/>
        <v>5.3553088957041384</v>
      </c>
    </row>
    <row r="84" spans="1:23">
      <c r="A84" s="103" t="str">
        <f>+A60</f>
        <v>c. Space Heating - Switch</v>
      </c>
      <c r="B84" s="246">
        <f>KeyAssumptions!J4</f>
        <v>1.74</v>
      </c>
      <c r="C84" s="192">
        <f>$B84/1000*C72*$C$33</f>
        <v>21.094145655350623</v>
      </c>
      <c r="D84" s="192">
        <f t="shared" ref="D84:W84" si="91">$B84/1000*D72*$C$33</f>
        <v>96.385790356669702</v>
      </c>
      <c r="E84" s="192">
        <f t="shared" si="91"/>
        <v>156.53757938133148</v>
      </c>
      <c r="F84" s="192">
        <f t="shared" si="91"/>
        <v>200.7567972311777</v>
      </c>
      <c r="G84" s="192">
        <f t="shared" si="91"/>
        <v>228.26714817526545</v>
      </c>
      <c r="H84" s="192">
        <f t="shared" si="91"/>
        <v>272.34763944597</v>
      </c>
      <c r="I84" s="192">
        <f t="shared" si="91"/>
        <v>276.07226153066995</v>
      </c>
      <c r="J84" s="192">
        <f t="shared" si="91"/>
        <v>279.77242002533995</v>
      </c>
      <c r="K84" s="192">
        <f t="shared" si="91"/>
        <v>283.45273223008502</v>
      </c>
      <c r="L84" s="192">
        <f t="shared" si="91"/>
        <v>287.09784764718751</v>
      </c>
      <c r="M84" s="192">
        <f t="shared" si="91"/>
        <v>290.72481788492996</v>
      </c>
      <c r="N84" s="192">
        <f t="shared" si="91"/>
        <v>294.31100197174504</v>
      </c>
      <c r="O84" s="192">
        <f t="shared" si="91"/>
        <v>297.83578406769004</v>
      </c>
      <c r="P84" s="192">
        <f t="shared" si="91"/>
        <v>301.28450221979995</v>
      </c>
      <c r="Q84" s="192">
        <f t="shared" si="91"/>
        <v>304.67485607847749</v>
      </c>
      <c r="R84" s="192">
        <f t="shared" si="91"/>
        <v>308.03483296278</v>
      </c>
      <c r="S84" s="192">
        <f t="shared" si="91"/>
        <v>311.43186392108242</v>
      </c>
      <c r="T84" s="192">
        <f t="shared" si="91"/>
        <v>314.86635758845802</v>
      </c>
      <c r="U84" s="192">
        <f t="shared" si="91"/>
        <v>318.33872710643766</v>
      </c>
      <c r="V84" s="192">
        <f t="shared" si="91"/>
        <v>321.84939017270796</v>
      </c>
      <c r="W84" s="192">
        <f t="shared" si="91"/>
        <v>325.3987690913562</v>
      </c>
    </row>
    <row r="85" spans="1:23">
      <c r="A85" s="103" t="str">
        <f>+A61</f>
        <v>d. Water Heating - Switch</v>
      </c>
      <c r="B85" s="246">
        <f>KeyAssumptions!J5</f>
        <v>0.57999999999999996</v>
      </c>
      <c r="C85" s="192">
        <f>$B85/1000*C73*$C$44</f>
        <v>21.861205497363375</v>
      </c>
      <c r="D85" s="192">
        <f t="shared" ref="D85:W85" si="92">$B85/1000*D73*$C$44</f>
        <v>110.98969798646813</v>
      </c>
      <c r="E85" s="192">
        <f t="shared" si="92"/>
        <v>202.78731874399762</v>
      </c>
      <c r="F85" s="192">
        <f t="shared" si="92"/>
        <v>297.22434914745781</v>
      </c>
      <c r="G85" s="192">
        <f t="shared" si="92"/>
        <v>394.27961957545836</v>
      </c>
      <c r="H85" s="192">
        <f t="shared" si="92"/>
        <v>470.41864995212995</v>
      </c>
      <c r="I85" s="192">
        <f t="shared" si="92"/>
        <v>476.85208809842987</v>
      </c>
      <c r="J85" s="192">
        <f t="shared" si="92"/>
        <v>483.24327095285997</v>
      </c>
      <c r="K85" s="192">
        <f t="shared" si="92"/>
        <v>489.60017385196483</v>
      </c>
      <c r="L85" s="192">
        <f t="shared" si="92"/>
        <v>495.89628229968741</v>
      </c>
      <c r="M85" s="192">
        <f t="shared" si="92"/>
        <v>502.16104907396993</v>
      </c>
      <c r="N85" s="192">
        <f t="shared" si="92"/>
        <v>508.35536704210494</v>
      </c>
      <c r="O85" s="192">
        <f t="shared" si="92"/>
        <v>514.44362702600995</v>
      </c>
      <c r="P85" s="192">
        <f t="shared" si="92"/>
        <v>520.40050383419998</v>
      </c>
      <c r="Q85" s="192">
        <f t="shared" si="92"/>
        <v>526.25656959009746</v>
      </c>
      <c r="R85" s="192">
        <f t="shared" si="92"/>
        <v>532.06016602661998</v>
      </c>
      <c r="S85" s="192">
        <f t="shared" si="92"/>
        <v>537.9277649545968</v>
      </c>
      <c r="T85" s="192">
        <f t="shared" si="92"/>
        <v>543.86007219824546</v>
      </c>
      <c r="U85" s="192">
        <f t="shared" si="92"/>
        <v>549.85780136566495</v>
      </c>
      <c r="V85" s="192">
        <f t="shared" si="92"/>
        <v>555.92167393467719</v>
      </c>
      <c r="W85" s="192">
        <f t="shared" si="92"/>
        <v>562.05241933961531</v>
      </c>
    </row>
    <row r="86" spans="1:23">
      <c r="A86" s="87"/>
      <c r="B86" s="87"/>
      <c r="C86" s="109"/>
      <c r="D86" s="109"/>
      <c r="E86" s="109"/>
      <c r="F86" s="109"/>
      <c r="G86" s="109"/>
      <c r="H86" s="109"/>
      <c r="I86" s="109"/>
      <c r="J86" s="109"/>
      <c r="K86" s="109"/>
      <c r="L86" s="109"/>
      <c r="M86" s="109"/>
      <c r="N86" s="109"/>
      <c r="O86" s="109"/>
      <c r="P86" s="109"/>
      <c r="Q86" s="109"/>
      <c r="R86" s="109"/>
      <c r="S86" s="109"/>
      <c r="T86" s="109"/>
      <c r="U86" s="109"/>
      <c r="V86" s="109"/>
      <c r="W86" s="109"/>
    </row>
    <row r="87" spans="1:23">
      <c r="A87" s="110" t="s">
        <v>269</v>
      </c>
      <c r="B87" s="111"/>
      <c r="C87" s="112">
        <f>SUM(C82:C85)</f>
        <v>51.017194176166967</v>
      </c>
      <c r="D87" s="112">
        <f t="shared" ref="D87:W87" si="93">SUM(D82:D85)</f>
        <v>244.2125863817501</v>
      </c>
      <c r="E87" s="112">
        <f t="shared" si="93"/>
        <v>419.15104196934374</v>
      </c>
      <c r="F87" s="112">
        <f t="shared" si="93"/>
        <v>574.70716371124081</v>
      </c>
      <c r="G87" s="112">
        <f t="shared" si="93"/>
        <v>709.78679851885681</v>
      </c>
      <c r="H87" s="112">
        <f t="shared" si="93"/>
        <v>846.85317458865745</v>
      </c>
      <c r="I87" s="112">
        <f t="shared" si="93"/>
        <v>858.4347254439823</v>
      </c>
      <c r="J87" s="112">
        <f t="shared" si="93"/>
        <v>869.94020782696498</v>
      </c>
      <c r="K87" s="112">
        <f t="shared" si="93"/>
        <v>881.3839790320535</v>
      </c>
      <c r="L87" s="112">
        <f t="shared" si="93"/>
        <v>892.71830735226558</v>
      </c>
      <c r="M87" s="112">
        <f t="shared" si="93"/>
        <v>903.99621402411731</v>
      </c>
      <c r="N87" s="112">
        <f t="shared" si="93"/>
        <v>915.14729792833873</v>
      </c>
      <c r="O87" s="112">
        <f t="shared" si="93"/>
        <v>926.10745500462747</v>
      </c>
      <c r="P87" s="112">
        <f t="shared" si="93"/>
        <v>936.83109454604983</v>
      </c>
      <c r="Q87" s="112">
        <f t="shared" si="93"/>
        <v>947.37325284799306</v>
      </c>
      <c r="R87" s="112">
        <f t="shared" si="93"/>
        <v>957.82095526540502</v>
      </c>
      <c r="S87" s="112">
        <f t="shared" si="93"/>
        <v>968.3838757190814</v>
      </c>
      <c r="T87" s="112">
        <f t="shared" si="93"/>
        <v>979.06328484206233</v>
      </c>
      <c r="U87" s="112">
        <f t="shared" si="93"/>
        <v>989.8604672800227</v>
      </c>
      <c r="V87" s="112">
        <f t="shared" si="93"/>
        <v>1000.7767218458051</v>
      </c>
      <c r="W87" s="112">
        <f t="shared" si="93"/>
        <v>1011.8133616756566</v>
      </c>
    </row>
    <row r="88" spans="1:23">
      <c r="A88" s="113"/>
      <c r="B88" s="113"/>
      <c r="C88" s="114"/>
      <c r="D88" s="114"/>
      <c r="E88" s="115"/>
      <c r="F88" s="115"/>
      <c r="G88" s="115"/>
      <c r="H88" s="115"/>
      <c r="I88" s="115"/>
      <c r="J88" s="115"/>
      <c r="K88" s="115"/>
      <c r="L88" s="115"/>
      <c r="M88" s="115"/>
      <c r="N88" s="115"/>
      <c r="O88" s="115"/>
      <c r="P88" s="115"/>
      <c r="Q88" s="115"/>
      <c r="R88" s="115"/>
      <c r="S88" s="115"/>
      <c r="T88" s="115"/>
      <c r="U88" s="115"/>
      <c r="V88" s="115"/>
      <c r="W88" s="115"/>
    </row>
    <row r="89" spans="1:23">
      <c r="A89" s="77" t="s">
        <v>277</v>
      </c>
      <c r="B89" s="113"/>
      <c r="C89" s="100"/>
      <c r="D89" s="125"/>
      <c r="E89" s="124"/>
      <c r="F89" s="124"/>
      <c r="G89" s="124"/>
      <c r="H89" s="124"/>
      <c r="I89" s="124"/>
      <c r="J89" s="124"/>
      <c r="K89" s="124"/>
      <c r="L89" s="124"/>
      <c r="M89" s="124"/>
      <c r="N89" s="124"/>
      <c r="O89" s="124"/>
      <c r="P89" s="124"/>
      <c r="Q89" s="124"/>
      <c r="R89" s="124"/>
      <c r="S89" s="124"/>
      <c r="T89" s="124"/>
      <c r="U89" s="124"/>
      <c r="V89" s="124"/>
      <c r="W89" s="124"/>
    </row>
    <row r="90" spans="1:23">
      <c r="A90" s="116"/>
      <c r="B90" s="113"/>
      <c r="C90" s="100"/>
      <c r="D90" s="124"/>
      <c r="E90" s="124"/>
      <c r="F90" s="124"/>
      <c r="G90" s="124"/>
      <c r="H90" s="124"/>
      <c r="I90" s="124"/>
      <c r="J90" s="124"/>
      <c r="K90" s="124"/>
      <c r="L90" s="124"/>
      <c r="M90" s="124"/>
      <c r="N90" s="124"/>
      <c r="O90" s="124"/>
      <c r="P90" s="124"/>
      <c r="Q90" s="124"/>
      <c r="R90" s="124"/>
      <c r="S90" s="124"/>
      <c r="T90" s="124"/>
      <c r="U90" s="124"/>
      <c r="V90" s="124"/>
      <c r="W90" s="124"/>
    </row>
    <row r="91" spans="1:23">
      <c r="A91" s="500" t="s">
        <v>214</v>
      </c>
      <c r="B91" s="502" t="s">
        <v>308</v>
      </c>
      <c r="C91" s="504" t="s">
        <v>222</v>
      </c>
      <c r="D91" s="504"/>
      <c r="E91" s="504"/>
      <c r="F91" s="504"/>
      <c r="G91" s="504"/>
      <c r="H91" s="504"/>
      <c r="I91" s="504"/>
      <c r="J91" s="504"/>
      <c r="K91" s="504"/>
      <c r="L91" s="504"/>
      <c r="M91" s="504"/>
      <c r="N91" s="504"/>
      <c r="O91" s="504"/>
      <c r="P91" s="504"/>
      <c r="Q91" s="504"/>
      <c r="R91" s="504"/>
      <c r="S91" s="504"/>
      <c r="T91" s="504"/>
      <c r="U91" s="504"/>
      <c r="V91" s="504"/>
      <c r="W91" s="504"/>
    </row>
    <row r="92" spans="1:23">
      <c r="A92" s="501"/>
      <c r="B92" s="503"/>
      <c r="C92" s="83">
        <v>2015</v>
      </c>
      <c r="D92" s="83">
        <v>2016</v>
      </c>
      <c r="E92" s="83">
        <v>2017</v>
      </c>
      <c r="F92" s="83">
        <v>2018</v>
      </c>
      <c r="G92" s="83">
        <v>2019</v>
      </c>
      <c r="H92" s="83">
        <v>2020</v>
      </c>
      <c r="I92" s="83">
        <v>2021</v>
      </c>
      <c r="J92" s="83">
        <v>2022</v>
      </c>
      <c r="K92" s="83">
        <v>2023</v>
      </c>
      <c r="L92" s="83">
        <v>2024</v>
      </c>
      <c r="M92" s="83">
        <v>2025</v>
      </c>
      <c r="N92" s="83">
        <v>2026</v>
      </c>
      <c r="O92" s="83">
        <v>2027</v>
      </c>
      <c r="P92" s="83">
        <v>2028</v>
      </c>
      <c r="Q92" s="83">
        <v>2029</v>
      </c>
      <c r="R92" s="83">
        <v>2030</v>
      </c>
      <c r="S92" s="83">
        <v>2031</v>
      </c>
      <c r="T92" s="83">
        <v>2032</v>
      </c>
      <c r="U92" s="83">
        <v>2033</v>
      </c>
      <c r="V92" s="83">
        <v>2034</v>
      </c>
      <c r="W92" s="83">
        <v>2035</v>
      </c>
    </row>
    <row r="93" spans="1:23">
      <c r="A93" s="126"/>
      <c r="B93" s="127"/>
      <c r="C93" s="78"/>
      <c r="D93" s="84"/>
      <c r="E93" s="84"/>
      <c r="F93" s="84"/>
      <c r="G93" s="84"/>
      <c r="H93" s="84"/>
      <c r="I93" s="84"/>
      <c r="J93" s="84"/>
      <c r="K93" s="84"/>
      <c r="L93" s="84"/>
      <c r="M93" s="84"/>
      <c r="N93" s="84"/>
      <c r="O93" s="84"/>
      <c r="P93" s="84"/>
      <c r="Q93" s="84"/>
      <c r="R93" s="84"/>
      <c r="S93" s="84"/>
      <c r="T93" s="84"/>
      <c r="U93" s="84"/>
      <c r="V93" s="84"/>
      <c r="W93" s="84"/>
    </row>
    <row r="94" spans="1:23">
      <c r="A94" s="87" t="str">
        <f>+A58</f>
        <v>a. Space Cooling - CAC Switch</v>
      </c>
      <c r="B94" s="235">
        <f>SUM(KeyAssumptions!F6:H6)</f>
        <v>108</v>
      </c>
      <c r="C94" s="119">
        <f t="shared" ref="C94:W94" si="94">MAX(0,($B$94*C58))</f>
        <v>1461729.2815125</v>
      </c>
      <c r="D94" s="119">
        <f t="shared" si="94"/>
        <v>5217371.8486312497</v>
      </c>
      <c r="E94" s="119">
        <f t="shared" si="94"/>
        <v>4168248.0432862504</v>
      </c>
      <c r="F94" s="119">
        <f t="shared" si="94"/>
        <v>3064192.6244737501</v>
      </c>
      <c r="G94" s="119">
        <f t="shared" si="94"/>
        <v>1906343.408103751</v>
      </c>
      <c r="H94" s="119">
        <f t="shared" si="94"/>
        <v>3054579.4973924961</v>
      </c>
      <c r="I94" s="119">
        <f t="shared" si="94"/>
        <v>258099.53399999917</v>
      </c>
      <c r="J94" s="119">
        <f t="shared" si="94"/>
        <v>256404.31740000041</v>
      </c>
      <c r="K94" s="119">
        <f t="shared" si="94"/>
        <v>255029.05890000297</v>
      </c>
      <c r="L94" s="119">
        <f t="shared" si="94"/>
        <v>252590.08005000162</v>
      </c>
      <c r="M94" s="119">
        <f t="shared" si="94"/>
        <v>251332.70084999723</v>
      </c>
      <c r="N94" s="119">
        <f t="shared" si="94"/>
        <v>248506.40429999493</v>
      </c>
      <c r="O94" s="119">
        <f t="shared" si="94"/>
        <v>244251.52290000441</v>
      </c>
      <c r="P94" s="119">
        <f t="shared" si="94"/>
        <v>238980.63419999974</v>
      </c>
      <c r="Q94" s="119">
        <f t="shared" si="94"/>
        <v>234936.25155000016</v>
      </c>
      <c r="R94" s="119">
        <f t="shared" si="94"/>
        <v>232831.26404999953</v>
      </c>
      <c r="S94" s="119">
        <f t="shared" si="94"/>
        <v>235398.9444789706</v>
      </c>
      <c r="T94" s="119">
        <f t="shared" si="94"/>
        <v>237994.94147792913</v>
      </c>
      <c r="U94" s="119">
        <f t="shared" si="94"/>
        <v>240619.56732411473</v>
      </c>
      <c r="V94" s="119">
        <f t="shared" si="94"/>
        <v>243273.13773857569</v>
      </c>
      <c r="W94" s="119">
        <f t="shared" si="94"/>
        <v>245955.97192415153</v>
      </c>
    </row>
    <row r="95" spans="1:23">
      <c r="A95" s="87" t="str">
        <f>+A59</f>
        <v>b. Space Cooling - RAC Switch</v>
      </c>
      <c r="B95" s="235">
        <f>SUM(KeyAssumptions!F7:H7)</f>
        <v>61.6</v>
      </c>
      <c r="C95" s="119">
        <f t="shared" ref="C95:W95" si="95">MAX(0,($B$95*C59))</f>
        <v>83372.707167750021</v>
      </c>
      <c r="D95" s="119">
        <f t="shared" si="95"/>
        <v>297583.43136637495</v>
      </c>
      <c r="E95" s="119">
        <f t="shared" si="95"/>
        <v>237744.51802447505</v>
      </c>
      <c r="F95" s="119">
        <f t="shared" si="95"/>
        <v>174772.46821072526</v>
      </c>
      <c r="G95" s="119">
        <f t="shared" si="95"/>
        <v>108732.17957332457</v>
      </c>
      <c r="H95" s="119">
        <f>MAX(0,($B$95*H59))</f>
        <v>174224.16392535</v>
      </c>
      <c r="I95" s="119">
        <f t="shared" si="95"/>
        <v>14721.232680000132</v>
      </c>
      <c r="J95" s="119">
        <f t="shared" si="95"/>
        <v>14624.542547999934</v>
      </c>
      <c r="K95" s="119">
        <f t="shared" si="95"/>
        <v>14546.10187800008</v>
      </c>
      <c r="L95" s="119">
        <f t="shared" si="95"/>
        <v>14406.989751000048</v>
      </c>
      <c r="M95" s="119">
        <f t="shared" si="95"/>
        <v>14335.272566999707</v>
      </c>
      <c r="N95" s="119">
        <f t="shared" si="95"/>
        <v>14174.068986000026</v>
      </c>
      <c r="O95" s="119">
        <f t="shared" si="95"/>
        <v>13931.383157999982</v>
      </c>
      <c r="P95" s="119">
        <f t="shared" si="95"/>
        <v>13630.747284000345</v>
      </c>
      <c r="Q95" s="119">
        <f t="shared" si="95"/>
        <v>13400.067680999786</v>
      </c>
      <c r="R95" s="119">
        <f t="shared" si="95"/>
        <v>13280.005431000018</v>
      </c>
      <c r="S95" s="119">
        <f t="shared" si="95"/>
        <v>13426.458314726517</v>
      </c>
      <c r="T95" s="119">
        <f t="shared" si="95"/>
        <v>13574.526291703971</v>
      </c>
      <c r="U95" s="119">
        <f t="shared" si="95"/>
        <v>13724.227173301269</v>
      </c>
      <c r="V95" s="119">
        <f t="shared" si="95"/>
        <v>13875.5789673114</v>
      </c>
      <c r="W95" s="119">
        <f t="shared" si="95"/>
        <v>14028.599880118496</v>
      </c>
    </row>
    <row r="96" spans="1:23">
      <c r="A96" s="169" t="s">
        <v>239</v>
      </c>
      <c r="B96" s="235">
        <f>SUM(KeyAssumptions!F4:H4)</f>
        <v>199.2</v>
      </c>
      <c r="C96" s="119">
        <f t="shared" ref="C96:W96" si="96">MAX(0,($B$96*C60))</f>
        <v>2542016.8267064998</v>
      </c>
      <c r="D96" s="119">
        <f t="shared" si="96"/>
        <v>9073258.09104825</v>
      </c>
      <c r="E96" s="119">
        <f t="shared" si="96"/>
        <v>7248781.8352768486</v>
      </c>
      <c r="F96" s="119">
        <f t="shared" si="96"/>
        <v>5328776.8878943557</v>
      </c>
      <c r="G96" s="119">
        <f t="shared" si="96"/>
        <v>3315221.9649499548</v>
      </c>
      <c r="H96" s="119">
        <f t="shared" si="96"/>
        <v>5312059.2021320891</v>
      </c>
      <c r="I96" s="119">
        <f t="shared" si="96"/>
        <v>448847.38007999904</v>
      </c>
      <c r="J96" s="119">
        <f t="shared" si="96"/>
        <v>445899.31768799672</v>
      </c>
      <c r="K96" s="119">
        <f t="shared" si="96"/>
        <v>443507.67766800447</v>
      </c>
      <c r="L96" s="119">
        <f t="shared" si="96"/>
        <v>439266.17730600166</v>
      </c>
      <c r="M96" s="119">
        <f t="shared" si="96"/>
        <v>437079.53500199085</v>
      </c>
      <c r="N96" s="119">
        <f t="shared" si="96"/>
        <v>432164.4707160109</v>
      </c>
      <c r="O96" s="119">
        <f t="shared" si="96"/>
        <v>424765.02934800315</v>
      </c>
      <c r="P96" s="119">
        <f t="shared" si="96"/>
        <v>415598.70290398976</v>
      </c>
      <c r="Q96" s="119">
        <f t="shared" si="96"/>
        <v>408565.3288860044</v>
      </c>
      <c r="R96" s="119">
        <f t="shared" si="96"/>
        <v>404904.65538600116</v>
      </c>
      <c r="S96" s="119">
        <f t="shared" si="96"/>
        <v>409369.97392246936</v>
      </c>
      <c r="T96" s="119">
        <f t="shared" si="96"/>
        <v>413884.53632257733</v>
      </c>
      <c r="U96" s="119">
        <f t="shared" si="96"/>
        <v>418448.88565126271</v>
      </c>
      <c r="V96" s="119">
        <f t="shared" si="96"/>
        <v>423063.57096251799</v>
      </c>
      <c r="W96" s="119">
        <f t="shared" si="96"/>
        <v>427729.14736523875</v>
      </c>
    </row>
    <row r="97" spans="1:23">
      <c r="A97" s="87" t="str">
        <f>+A61</f>
        <v>d. Water Heating - Switch</v>
      </c>
      <c r="B97" s="235">
        <f>SUM(KeyAssumptions!F5:H5)</f>
        <v>106.4</v>
      </c>
      <c r="C97" s="119">
        <f t="shared" ref="C97:W97" si="97">MAX(0,($B$97*C61))</f>
        <v>4221474.1650081007</v>
      </c>
      <c r="D97" s="119">
        <f t="shared" si="97"/>
        <v>17211019.239275403</v>
      </c>
      <c r="E97" s="119">
        <f t="shared" si="97"/>
        <v>17726437.111798801</v>
      </c>
      <c r="F97" s="119">
        <f t="shared" si="97"/>
        <v>18236116.215840597</v>
      </c>
      <c r="G97" s="119">
        <f t="shared" si="97"/>
        <v>18741707.392993208</v>
      </c>
      <c r="H97" s="119">
        <f t="shared" si="97"/>
        <v>14702709.314115899</v>
      </c>
      <c r="I97" s="119">
        <f t="shared" si="97"/>
        <v>1242319.0903199811</v>
      </c>
      <c r="J97" s="119">
        <f t="shared" si="97"/>
        <v>1234159.4477520194</v>
      </c>
      <c r="K97" s="119">
        <f t="shared" si="97"/>
        <v>1227539.8701719795</v>
      </c>
      <c r="L97" s="119">
        <f t="shared" si="97"/>
        <v>1215800.2519740066</v>
      </c>
      <c r="M97" s="119">
        <f t="shared" si="97"/>
        <v>1209748.0667580038</v>
      </c>
      <c r="N97" s="119">
        <f t="shared" si="97"/>
        <v>1196144.159364003</v>
      </c>
      <c r="O97" s="119">
        <f t="shared" si="97"/>
        <v>1175663.996891998</v>
      </c>
      <c r="P97" s="119">
        <f t="shared" si="97"/>
        <v>1150293.4526160068</v>
      </c>
      <c r="Q97" s="119">
        <f t="shared" si="97"/>
        <v>1130826.4907939991</v>
      </c>
      <c r="R97" s="119">
        <f t="shared" si="97"/>
        <v>1120694.4842939905</v>
      </c>
      <c r="S97" s="119">
        <f t="shared" si="97"/>
        <v>1133053.5860920888</v>
      </c>
      <c r="T97" s="119">
        <f t="shared" si="97"/>
        <v>1145548.9849804493</v>
      </c>
      <c r="U97" s="119">
        <f t="shared" si="97"/>
        <v>1158182.184053404</v>
      </c>
      <c r="V97" s="119">
        <f t="shared" si="97"/>
        <v>1170954.7029816762</v>
      </c>
      <c r="W97" s="119">
        <f t="shared" si="97"/>
        <v>1183868.078194947</v>
      </c>
    </row>
    <row r="98" spans="1:23">
      <c r="A98" s="87"/>
      <c r="B98" s="128"/>
      <c r="C98" s="119"/>
      <c r="D98" s="119"/>
      <c r="E98" s="119"/>
      <c r="F98" s="119"/>
      <c r="G98" s="119"/>
      <c r="H98" s="119"/>
      <c r="I98" s="119"/>
      <c r="J98" s="119"/>
      <c r="K98" s="119"/>
      <c r="L98" s="119"/>
      <c r="M98" s="119"/>
      <c r="N98" s="119"/>
      <c r="O98" s="119"/>
      <c r="P98" s="119"/>
      <c r="Q98" s="119"/>
      <c r="R98" s="119"/>
      <c r="S98" s="119"/>
      <c r="T98" s="119"/>
      <c r="U98" s="119"/>
      <c r="V98" s="119"/>
      <c r="W98" s="119"/>
    </row>
    <row r="99" spans="1:23">
      <c r="A99" s="129" t="s">
        <v>280</v>
      </c>
      <c r="B99" s="110"/>
      <c r="C99" s="122">
        <f t="shared" ref="C99:W99" si="98">SUM(C94:C97)</f>
        <v>8308592.9803948505</v>
      </c>
      <c r="D99" s="122">
        <f t="shared" si="98"/>
        <v>31799232.610321276</v>
      </c>
      <c r="E99" s="122">
        <f t="shared" si="98"/>
        <v>29381211.508386374</v>
      </c>
      <c r="F99" s="122">
        <f t="shared" si="98"/>
        <v>26803858.196419425</v>
      </c>
      <c r="G99" s="122">
        <f t="shared" si="98"/>
        <v>24072004.945620239</v>
      </c>
      <c r="H99" s="122">
        <f t="shared" si="98"/>
        <v>23243572.177565835</v>
      </c>
      <c r="I99" s="122">
        <f t="shared" si="98"/>
        <v>1963987.2370799794</v>
      </c>
      <c r="J99" s="122">
        <f t="shared" si="98"/>
        <v>1951087.6253880165</v>
      </c>
      <c r="K99" s="122">
        <f t="shared" si="98"/>
        <v>1940622.7086179871</v>
      </c>
      <c r="L99" s="122">
        <f t="shared" si="98"/>
        <v>1922063.49908101</v>
      </c>
      <c r="M99" s="122">
        <f t="shared" si="98"/>
        <v>1912495.5751769915</v>
      </c>
      <c r="N99" s="122">
        <f t="shared" si="98"/>
        <v>1890989.103366009</v>
      </c>
      <c r="O99" s="122">
        <f t="shared" si="98"/>
        <v>1858611.9322980056</v>
      </c>
      <c r="P99" s="122">
        <f t="shared" si="98"/>
        <v>1818503.5370039968</v>
      </c>
      <c r="Q99" s="122">
        <f t="shared" si="98"/>
        <v>1787728.1389110032</v>
      </c>
      <c r="R99" s="122">
        <f t="shared" si="98"/>
        <v>1771710.4091609912</v>
      </c>
      <c r="S99" s="122">
        <f t="shared" si="98"/>
        <v>1791248.9628082553</v>
      </c>
      <c r="T99" s="122">
        <f t="shared" si="98"/>
        <v>1811002.9890726598</v>
      </c>
      <c r="U99" s="122">
        <f t="shared" si="98"/>
        <v>1830974.8642020826</v>
      </c>
      <c r="V99" s="122">
        <f t="shared" si="98"/>
        <v>1851166.9906500813</v>
      </c>
      <c r="W99" s="122">
        <f t="shared" si="98"/>
        <v>1871581.7973644556</v>
      </c>
    </row>
    <row r="100" spans="1:23">
      <c r="A100" s="113"/>
      <c r="B100" s="113"/>
      <c r="C100" s="124"/>
      <c r="D100" s="124"/>
      <c r="E100" s="124"/>
      <c r="F100" s="124"/>
      <c r="G100" s="124"/>
      <c r="H100" s="124"/>
      <c r="I100" s="124"/>
      <c r="J100" s="124"/>
      <c r="K100" s="124"/>
      <c r="L100" s="124"/>
      <c r="M100" s="124"/>
      <c r="N100" s="124"/>
      <c r="O100" s="124"/>
      <c r="P100" s="124"/>
      <c r="Q100" s="124"/>
      <c r="R100" s="124"/>
      <c r="S100" s="124"/>
      <c r="T100" s="124"/>
      <c r="U100" s="124"/>
      <c r="V100" s="124"/>
      <c r="W100" s="124"/>
    </row>
    <row r="101" spans="1:23">
      <c r="A101" s="98" t="s">
        <v>278</v>
      </c>
      <c r="B101" s="98"/>
      <c r="C101" s="114"/>
      <c r="D101" s="130"/>
      <c r="E101" s="131"/>
      <c r="F101" s="132"/>
      <c r="G101" s="123"/>
      <c r="H101" s="133"/>
      <c r="I101" s="123"/>
      <c r="J101" s="78"/>
      <c r="L101" s="78"/>
    </row>
    <row r="102" spans="1:23">
      <c r="A102" s="113"/>
      <c r="B102" s="113"/>
      <c r="C102" s="114"/>
      <c r="D102" s="130"/>
      <c r="E102" s="131"/>
      <c r="F102" s="132"/>
      <c r="G102" s="123"/>
      <c r="H102" s="133"/>
      <c r="I102" s="123"/>
      <c r="J102" s="78"/>
      <c r="L102" s="78"/>
    </row>
    <row r="103" spans="1:23">
      <c r="A103" s="497" t="s">
        <v>214</v>
      </c>
      <c r="B103" s="497" t="s">
        <v>356</v>
      </c>
      <c r="C103" s="505" t="s">
        <v>223</v>
      </c>
      <c r="D103" s="505"/>
      <c r="E103" s="505"/>
      <c r="F103" s="505"/>
      <c r="G103" s="505"/>
      <c r="H103" s="505"/>
      <c r="I103" s="505"/>
      <c r="J103" s="505"/>
      <c r="K103" s="505"/>
      <c r="L103" s="505"/>
      <c r="M103" s="505"/>
      <c r="N103" s="505"/>
      <c r="O103" s="505"/>
      <c r="P103" s="505"/>
      <c r="Q103" s="505"/>
      <c r="R103" s="505"/>
      <c r="S103" s="505"/>
      <c r="T103" s="505"/>
      <c r="U103" s="505"/>
      <c r="V103" s="505"/>
      <c r="W103" s="505"/>
    </row>
    <row r="104" spans="1:23">
      <c r="A104" s="497"/>
      <c r="B104" s="497"/>
      <c r="C104" s="83">
        <v>2015</v>
      </c>
      <c r="D104" s="83">
        <v>2016</v>
      </c>
      <c r="E104" s="83">
        <v>2017</v>
      </c>
      <c r="F104" s="83">
        <v>2018</v>
      </c>
      <c r="G104" s="83">
        <v>2019</v>
      </c>
      <c r="H104" s="83">
        <v>2020</v>
      </c>
      <c r="I104" s="83">
        <v>2021</v>
      </c>
      <c r="J104" s="83">
        <v>2022</v>
      </c>
      <c r="K104" s="83">
        <v>2023</v>
      </c>
      <c r="L104" s="83">
        <v>2024</v>
      </c>
      <c r="M104" s="83">
        <v>2025</v>
      </c>
      <c r="N104" s="83">
        <v>2026</v>
      </c>
      <c r="O104" s="83">
        <v>2027</v>
      </c>
      <c r="P104" s="83">
        <v>2028</v>
      </c>
      <c r="Q104" s="83">
        <v>2029</v>
      </c>
      <c r="R104" s="83">
        <v>2030</v>
      </c>
      <c r="S104" s="83">
        <v>2031</v>
      </c>
      <c r="T104" s="83">
        <v>2032</v>
      </c>
      <c r="U104" s="83">
        <v>2033</v>
      </c>
      <c r="V104" s="83">
        <v>2034</v>
      </c>
      <c r="W104" s="83">
        <v>2035</v>
      </c>
    </row>
    <row r="105" spans="1:23">
      <c r="A105" s="134"/>
      <c r="B105" s="135"/>
      <c r="C105" s="135"/>
      <c r="D105" s="136"/>
      <c r="E105" s="136"/>
      <c r="F105" s="136"/>
      <c r="G105" s="136"/>
      <c r="H105" s="136"/>
      <c r="I105" s="136"/>
      <c r="J105" s="136"/>
      <c r="K105" s="136"/>
      <c r="L105" s="136"/>
      <c r="M105" s="136"/>
      <c r="N105" s="136"/>
      <c r="O105" s="136"/>
      <c r="P105" s="136"/>
      <c r="Q105" s="136"/>
      <c r="R105" s="136"/>
      <c r="S105" s="136"/>
      <c r="T105" s="136"/>
      <c r="U105" s="136"/>
      <c r="V105" s="136"/>
      <c r="W105" s="136"/>
    </row>
    <row r="106" spans="1:23">
      <c r="A106" s="138" t="str">
        <f>A58</f>
        <v>a. Space Cooling - CAC Switch</v>
      </c>
      <c r="B106" s="139">
        <f>KeyAssumptions!I6</f>
        <v>20</v>
      </c>
      <c r="C106" s="140">
        <f>$B106*C82*1000</f>
        <v>154293.64638187501</v>
      </c>
      <c r="D106" s="140">
        <f t="shared" ref="D106:W109" si="99">$B106*D82*1000</f>
        <v>705016.23040406231</v>
      </c>
      <c r="E106" s="140">
        <f t="shared" si="99"/>
        <v>1144997.9683064998</v>
      </c>
      <c r="F106" s="140">
        <f t="shared" si="99"/>
        <v>1468440.5231120624</v>
      </c>
      <c r="G106" s="140">
        <f t="shared" si="99"/>
        <v>1669665.6606341251</v>
      </c>
      <c r="H106" s="140">
        <f t="shared" si="99"/>
        <v>1992093.4964699994</v>
      </c>
      <c r="I106" s="140">
        <f t="shared" si="99"/>
        <v>2019337.3361699993</v>
      </c>
      <c r="J106" s="140">
        <f t="shared" si="99"/>
        <v>2046402.2363399996</v>
      </c>
      <c r="K106" s="140">
        <f t="shared" si="99"/>
        <v>2073321.9703349995</v>
      </c>
      <c r="L106" s="140">
        <f t="shared" si="99"/>
        <v>2099984.2565624993</v>
      </c>
      <c r="M106" s="140">
        <f t="shared" si="99"/>
        <v>2126513.8194299997</v>
      </c>
      <c r="N106" s="140">
        <f t="shared" si="99"/>
        <v>2152745.0509949992</v>
      </c>
      <c r="O106" s="140">
        <f t="shared" si="99"/>
        <v>2178527.1561899995</v>
      </c>
      <c r="P106" s="140">
        <f t="shared" si="99"/>
        <v>2203752.8897999991</v>
      </c>
      <c r="Q106" s="140">
        <f t="shared" si="99"/>
        <v>2228551.7163524996</v>
      </c>
      <c r="R106" s="140">
        <f t="shared" si="99"/>
        <v>2253128.3497799993</v>
      </c>
      <c r="S106" s="140">
        <f t="shared" si="99"/>
        <v>2277976.0161416689</v>
      </c>
      <c r="T106" s="140">
        <f t="shared" si="99"/>
        <v>2303097.704408783</v>
      </c>
      <c r="U106" s="140">
        <f t="shared" si="99"/>
        <v>2328496.4365152172</v>
      </c>
      <c r="V106" s="140">
        <f t="shared" si="99"/>
        <v>2354175.2677209559</v>
      </c>
      <c r="W106" s="140">
        <f t="shared" si="99"/>
        <v>2380137.2869796166</v>
      </c>
    </row>
    <row r="107" spans="1:23">
      <c r="A107" s="138" t="str">
        <f>A59</f>
        <v>b. Space Cooling - RAC Switch</v>
      </c>
      <c r="B107" s="139">
        <f>KeyAssumptions!I7</f>
        <v>20</v>
      </c>
      <c r="C107" s="140">
        <f t="shared" ref="C107:R109" si="100">$B107*C83*1000</f>
        <v>6943.2140871843767</v>
      </c>
      <c r="D107" s="140">
        <f t="shared" si="100"/>
        <v>31725.730368182809</v>
      </c>
      <c r="E107" s="140">
        <f t="shared" si="100"/>
        <v>51524.908573792498</v>
      </c>
      <c r="F107" s="140">
        <f t="shared" si="100"/>
        <v>66079.823540042838</v>
      </c>
      <c r="G107" s="140">
        <f t="shared" si="100"/>
        <v>75134.954728535624</v>
      </c>
      <c r="H107" s="140">
        <f t="shared" si="100"/>
        <v>89644.207341149973</v>
      </c>
      <c r="I107" s="140">
        <f t="shared" si="100"/>
        <v>90870.18012764999</v>
      </c>
      <c r="J107" s="140">
        <f t="shared" si="100"/>
        <v>92088.100635299983</v>
      </c>
      <c r="K107" s="140">
        <f t="shared" si="100"/>
        <v>93299.488665074983</v>
      </c>
      <c r="L107" s="140">
        <f t="shared" si="100"/>
        <v>94499.291545312502</v>
      </c>
      <c r="M107" s="140">
        <f t="shared" si="100"/>
        <v>95693.121874349963</v>
      </c>
      <c r="N107" s="140">
        <f t="shared" si="100"/>
        <v>96873.527294774976</v>
      </c>
      <c r="O107" s="140">
        <f t="shared" si="100"/>
        <v>98033.722028549993</v>
      </c>
      <c r="P107" s="140">
        <f t="shared" si="100"/>
        <v>99168.880041000011</v>
      </c>
      <c r="Q107" s="140">
        <f t="shared" si="100"/>
        <v>100284.8272358625</v>
      </c>
      <c r="R107" s="140">
        <f t="shared" si="100"/>
        <v>101390.7757401</v>
      </c>
      <c r="S107" s="140">
        <f t="shared" si="99"/>
        <v>102508.92072637512</v>
      </c>
      <c r="T107" s="140">
        <f t="shared" si="99"/>
        <v>103639.39669839524</v>
      </c>
      <c r="U107" s="140">
        <f t="shared" si="99"/>
        <v>104782.33964318478</v>
      </c>
      <c r="V107" s="140">
        <f t="shared" si="99"/>
        <v>105937.88704744302</v>
      </c>
      <c r="W107" s="140">
        <f t="shared" si="99"/>
        <v>107106.17791408277</v>
      </c>
    </row>
    <row r="108" spans="1:23">
      <c r="A108" s="138" t="str">
        <f>A60</f>
        <v>c. Space Heating - Switch</v>
      </c>
      <c r="B108" s="139">
        <f>KeyAssumptions!I4</f>
        <v>20</v>
      </c>
      <c r="C108" s="140">
        <f t="shared" si="100"/>
        <v>421882.9131070124</v>
      </c>
      <c r="D108" s="140">
        <f t="shared" si="99"/>
        <v>1927715.8071333941</v>
      </c>
      <c r="E108" s="140">
        <f t="shared" si="99"/>
        <v>3130751.58762663</v>
      </c>
      <c r="F108" s="140">
        <f t="shared" si="99"/>
        <v>4015135.9446235537</v>
      </c>
      <c r="G108" s="140">
        <f t="shared" si="99"/>
        <v>4565342.9635053091</v>
      </c>
      <c r="H108" s="140">
        <f t="shared" si="99"/>
        <v>5446952.7889193995</v>
      </c>
      <c r="I108" s="140">
        <f t="shared" si="99"/>
        <v>5521445.2306133993</v>
      </c>
      <c r="J108" s="140">
        <f t="shared" si="99"/>
        <v>5595448.4005067991</v>
      </c>
      <c r="K108" s="140">
        <f t="shared" si="99"/>
        <v>5669054.6446017008</v>
      </c>
      <c r="L108" s="140">
        <f t="shared" si="99"/>
        <v>5741956.9529437507</v>
      </c>
      <c r="M108" s="140">
        <f t="shared" si="99"/>
        <v>5814496.3576985989</v>
      </c>
      <c r="N108" s="140">
        <f t="shared" si="99"/>
        <v>5886220.0394349014</v>
      </c>
      <c r="O108" s="140">
        <f t="shared" si="99"/>
        <v>5956715.6813538</v>
      </c>
      <c r="P108" s="140">
        <f t="shared" si="99"/>
        <v>6025690.0443959981</v>
      </c>
      <c r="Q108" s="140">
        <f t="shared" si="99"/>
        <v>6093497.1215695497</v>
      </c>
      <c r="R108" s="140">
        <f t="shared" si="99"/>
        <v>6160696.6592555996</v>
      </c>
      <c r="S108" s="140">
        <f t="shared" si="99"/>
        <v>6228637.2784216478</v>
      </c>
      <c r="T108" s="140">
        <f t="shared" si="99"/>
        <v>6297327.1517691603</v>
      </c>
      <c r="U108" s="140">
        <f t="shared" si="99"/>
        <v>6366774.5421287529</v>
      </c>
      <c r="V108" s="140">
        <f t="shared" si="99"/>
        <v>6436987.8034541588</v>
      </c>
      <c r="W108" s="140">
        <f t="shared" si="99"/>
        <v>6507975.3818271235</v>
      </c>
    </row>
    <row r="109" spans="1:23">
      <c r="A109" s="138" t="str">
        <f>A61</f>
        <v>d. Water Heating - Switch</v>
      </c>
      <c r="B109" s="139">
        <f>KeyAssumptions!I5</f>
        <v>20</v>
      </c>
      <c r="C109" s="140">
        <f t="shared" si="100"/>
        <v>437224.10994726751</v>
      </c>
      <c r="D109" s="140">
        <f t="shared" si="99"/>
        <v>2219793.9597293627</v>
      </c>
      <c r="E109" s="140">
        <f t="shared" si="99"/>
        <v>4055746.3748799525</v>
      </c>
      <c r="F109" s="140">
        <f t="shared" si="99"/>
        <v>5944486.9829491563</v>
      </c>
      <c r="G109" s="140">
        <f t="shared" si="99"/>
        <v>7885592.3915091669</v>
      </c>
      <c r="H109" s="140">
        <f t="shared" si="99"/>
        <v>9408372.9990426004</v>
      </c>
      <c r="I109" s="140">
        <f t="shared" si="99"/>
        <v>9537041.7619685978</v>
      </c>
      <c r="J109" s="140">
        <f t="shared" si="99"/>
        <v>9664865.4190571997</v>
      </c>
      <c r="K109" s="140">
        <f t="shared" si="99"/>
        <v>9792003.4770392962</v>
      </c>
      <c r="L109" s="140">
        <f t="shared" si="99"/>
        <v>9917925.6459937487</v>
      </c>
      <c r="M109" s="140">
        <f t="shared" si="99"/>
        <v>10043220.981479399</v>
      </c>
      <c r="N109" s="140">
        <f t="shared" si="99"/>
        <v>10167107.3408421</v>
      </c>
      <c r="O109" s="140">
        <f t="shared" si="99"/>
        <v>10288872.540520199</v>
      </c>
      <c r="P109" s="140">
        <f t="shared" si="99"/>
        <v>10408010.076684</v>
      </c>
      <c r="Q109" s="140">
        <f t="shared" si="99"/>
        <v>10525131.39180195</v>
      </c>
      <c r="R109" s="140">
        <f t="shared" si="99"/>
        <v>10641203.3205324</v>
      </c>
      <c r="S109" s="140">
        <f t="shared" si="99"/>
        <v>10758555.299091935</v>
      </c>
      <c r="T109" s="140">
        <f t="shared" si="99"/>
        <v>10877201.44396491</v>
      </c>
      <c r="U109" s="140">
        <f t="shared" si="99"/>
        <v>10997156.027313299</v>
      </c>
      <c r="V109" s="140">
        <f t="shared" si="99"/>
        <v>11118433.478693543</v>
      </c>
      <c r="W109" s="140">
        <f t="shared" si="99"/>
        <v>11241048.386792306</v>
      </c>
    </row>
    <row r="110" spans="1:23">
      <c r="A110" s="138"/>
      <c r="B110" s="139"/>
      <c r="C110" s="140"/>
      <c r="D110" s="140"/>
      <c r="E110" s="140"/>
      <c r="F110" s="140"/>
      <c r="G110" s="140"/>
      <c r="H110" s="140"/>
      <c r="I110" s="140"/>
      <c r="J110" s="140"/>
      <c r="K110" s="140"/>
      <c r="L110" s="140"/>
      <c r="M110" s="140"/>
      <c r="N110" s="140"/>
      <c r="O110" s="140"/>
      <c r="P110" s="140"/>
      <c r="Q110" s="140"/>
      <c r="R110" s="140"/>
      <c r="S110" s="140"/>
      <c r="T110" s="140"/>
      <c r="U110" s="140"/>
      <c r="V110" s="140"/>
      <c r="W110" s="140"/>
    </row>
    <row r="111" spans="1:23">
      <c r="A111" s="146" t="s">
        <v>224</v>
      </c>
      <c r="B111" s="147"/>
      <c r="C111" s="148">
        <f>SUM(C106:C109)</f>
        <v>1020343.8835233392</v>
      </c>
      <c r="D111" s="148">
        <f t="shared" ref="D111:W111" si="101">SUM(D106:D109)</f>
        <v>4884251.7276350018</v>
      </c>
      <c r="E111" s="148">
        <f t="shared" si="101"/>
        <v>8383020.8393868748</v>
      </c>
      <c r="F111" s="148">
        <f t="shared" si="101"/>
        <v>11494143.274224814</v>
      </c>
      <c r="G111" s="148">
        <f t="shared" si="101"/>
        <v>14195735.970377136</v>
      </c>
      <c r="H111" s="148">
        <f t="shared" si="101"/>
        <v>16937063.491773151</v>
      </c>
      <c r="I111" s="148">
        <f t="shared" si="101"/>
        <v>17168694.508879647</v>
      </c>
      <c r="J111" s="148">
        <f t="shared" si="101"/>
        <v>17398804.156539299</v>
      </c>
      <c r="K111" s="148">
        <f t="shared" si="101"/>
        <v>17627679.580641072</v>
      </c>
      <c r="L111" s="148">
        <f t="shared" si="101"/>
        <v>17854366.147045311</v>
      </c>
      <c r="M111" s="148">
        <f t="shared" si="101"/>
        <v>18079924.280482348</v>
      </c>
      <c r="N111" s="148">
        <f t="shared" si="101"/>
        <v>18302945.958566777</v>
      </c>
      <c r="O111" s="148">
        <f t="shared" si="101"/>
        <v>18522149.100092549</v>
      </c>
      <c r="P111" s="148">
        <f t="shared" si="101"/>
        <v>18736621.890920997</v>
      </c>
      <c r="Q111" s="148">
        <f t="shared" si="101"/>
        <v>18947465.05695986</v>
      </c>
      <c r="R111" s="148">
        <f t="shared" si="101"/>
        <v>19156419.105308101</v>
      </c>
      <c r="S111" s="148">
        <f t="shared" si="101"/>
        <v>19367677.514381625</v>
      </c>
      <c r="T111" s="148">
        <f t="shared" si="101"/>
        <v>19581265.696841247</v>
      </c>
      <c r="U111" s="148">
        <f t="shared" si="101"/>
        <v>19797209.345600456</v>
      </c>
      <c r="V111" s="148">
        <f t="shared" si="101"/>
        <v>20015534.436916098</v>
      </c>
      <c r="W111" s="148">
        <f t="shared" si="101"/>
        <v>20236267.233513128</v>
      </c>
    </row>
    <row r="112" spans="1:23">
      <c r="A112" s="123"/>
      <c r="B112" s="123"/>
      <c r="C112" s="149"/>
      <c r="D112" s="149"/>
      <c r="E112" s="149"/>
      <c r="F112" s="149"/>
      <c r="G112" s="149"/>
      <c r="H112" s="149"/>
      <c r="I112" s="149"/>
      <c r="J112" s="149"/>
      <c r="K112" s="149"/>
      <c r="L112" s="149"/>
      <c r="M112" s="149"/>
      <c r="N112" s="149"/>
      <c r="O112" s="149"/>
      <c r="P112" s="149"/>
      <c r="Q112" s="149"/>
      <c r="R112" s="149"/>
      <c r="S112" s="149"/>
      <c r="T112" s="149"/>
      <c r="U112" s="149"/>
      <c r="V112" s="149"/>
      <c r="W112" s="149"/>
    </row>
    <row r="113" spans="1:23">
      <c r="A113" s="98" t="s">
        <v>312</v>
      </c>
      <c r="B113" s="98"/>
      <c r="C113" s="114"/>
      <c r="D113" s="130"/>
      <c r="E113" s="131"/>
      <c r="F113" s="193"/>
      <c r="G113" s="123"/>
      <c r="H113" s="133"/>
      <c r="I113" s="123"/>
      <c r="J113" s="78"/>
      <c r="L113" s="78"/>
    </row>
    <row r="114" spans="1:23">
      <c r="A114" s="113"/>
      <c r="B114" s="113"/>
      <c r="C114" s="114"/>
      <c r="D114" s="130"/>
      <c r="E114" s="131"/>
      <c r="F114" s="132"/>
      <c r="G114" s="123"/>
      <c r="H114" s="133"/>
      <c r="I114" s="123"/>
      <c r="J114" s="78"/>
      <c r="L114" s="78"/>
    </row>
    <row r="115" spans="1:23">
      <c r="A115" s="497" t="s">
        <v>214</v>
      </c>
      <c r="B115" s="497"/>
      <c r="C115" s="209">
        <v>2015</v>
      </c>
      <c r="D115" s="209">
        <v>2016</v>
      </c>
      <c r="E115" s="209">
        <v>2017</v>
      </c>
      <c r="F115" s="209">
        <v>2018</v>
      </c>
      <c r="G115" s="209">
        <v>2019</v>
      </c>
      <c r="H115" s="209">
        <v>2020</v>
      </c>
      <c r="I115" s="209">
        <v>2021</v>
      </c>
      <c r="J115" s="209">
        <v>2022</v>
      </c>
      <c r="K115" s="209">
        <v>2023</v>
      </c>
      <c r="L115" s="209">
        <v>2024</v>
      </c>
      <c r="M115" s="209">
        <v>2025</v>
      </c>
      <c r="N115" s="209">
        <v>2026</v>
      </c>
      <c r="O115" s="209">
        <v>2027</v>
      </c>
      <c r="P115" s="209">
        <v>2028</v>
      </c>
      <c r="Q115" s="209">
        <v>2029</v>
      </c>
      <c r="R115" s="209">
        <v>2030</v>
      </c>
      <c r="S115" s="209">
        <v>2031</v>
      </c>
      <c r="T115" s="209">
        <v>2032</v>
      </c>
      <c r="U115" s="209">
        <v>2033</v>
      </c>
      <c r="V115" s="209">
        <v>2034</v>
      </c>
      <c r="W115" s="209">
        <v>2035</v>
      </c>
    </row>
    <row r="116" spans="1:23">
      <c r="A116" s="121" t="s">
        <v>280</v>
      </c>
      <c r="B116" s="238"/>
      <c r="C116" s="151">
        <f t="shared" ref="C116:W116" si="102">C99</f>
        <v>8308592.9803948505</v>
      </c>
      <c r="D116" s="151">
        <f t="shared" si="102"/>
        <v>31799232.610321276</v>
      </c>
      <c r="E116" s="151">
        <f t="shared" si="102"/>
        <v>29381211.508386374</v>
      </c>
      <c r="F116" s="151">
        <f t="shared" si="102"/>
        <v>26803858.196419425</v>
      </c>
      <c r="G116" s="151">
        <f t="shared" si="102"/>
        <v>24072004.945620239</v>
      </c>
      <c r="H116" s="151">
        <f t="shared" si="102"/>
        <v>23243572.177565835</v>
      </c>
      <c r="I116" s="151">
        <f t="shared" si="102"/>
        <v>1963987.2370799794</v>
      </c>
      <c r="J116" s="151">
        <f t="shared" si="102"/>
        <v>1951087.6253880165</v>
      </c>
      <c r="K116" s="151">
        <f t="shared" si="102"/>
        <v>1940622.7086179871</v>
      </c>
      <c r="L116" s="151">
        <f t="shared" si="102"/>
        <v>1922063.49908101</v>
      </c>
      <c r="M116" s="151">
        <f t="shared" si="102"/>
        <v>1912495.5751769915</v>
      </c>
      <c r="N116" s="151">
        <f t="shared" si="102"/>
        <v>1890989.103366009</v>
      </c>
      <c r="O116" s="151">
        <f t="shared" si="102"/>
        <v>1858611.9322980056</v>
      </c>
      <c r="P116" s="151">
        <f t="shared" si="102"/>
        <v>1818503.5370039968</v>
      </c>
      <c r="Q116" s="151">
        <f t="shared" si="102"/>
        <v>1787728.1389110032</v>
      </c>
      <c r="R116" s="151">
        <f t="shared" si="102"/>
        <v>1771710.4091609912</v>
      </c>
      <c r="S116" s="151">
        <f t="shared" si="102"/>
        <v>1791248.9628082553</v>
      </c>
      <c r="T116" s="151">
        <f t="shared" si="102"/>
        <v>1811002.9890726598</v>
      </c>
      <c r="U116" s="151">
        <f t="shared" si="102"/>
        <v>1830974.8642020826</v>
      </c>
      <c r="V116" s="151">
        <f t="shared" si="102"/>
        <v>1851166.9906500813</v>
      </c>
      <c r="W116" s="151">
        <f t="shared" si="102"/>
        <v>1871581.7973644556</v>
      </c>
    </row>
    <row r="117" spans="1:23">
      <c r="A117" s="121" t="str">
        <f>A111</f>
        <v>TOTAL IMPLEMENTATION COST</v>
      </c>
      <c r="B117" s="238"/>
      <c r="C117" s="151">
        <f>C111</f>
        <v>1020343.8835233392</v>
      </c>
      <c r="D117" s="151">
        <f t="shared" ref="D117:W117" si="103">D111</f>
        <v>4884251.7276350018</v>
      </c>
      <c r="E117" s="151">
        <f t="shared" si="103"/>
        <v>8383020.8393868748</v>
      </c>
      <c r="F117" s="151">
        <f t="shared" si="103"/>
        <v>11494143.274224814</v>
      </c>
      <c r="G117" s="151">
        <f t="shared" si="103"/>
        <v>14195735.970377136</v>
      </c>
      <c r="H117" s="151">
        <f t="shared" si="103"/>
        <v>16937063.491773151</v>
      </c>
      <c r="I117" s="151">
        <f t="shared" si="103"/>
        <v>17168694.508879647</v>
      </c>
      <c r="J117" s="151">
        <f t="shared" si="103"/>
        <v>17398804.156539299</v>
      </c>
      <c r="K117" s="151">
        <f t="shared" si="103"/>
        <v>17627679.580641072</v>
      </c>
      <c r="L117" s="151">
        <f t="shared" si="103"/>
        <v>17854366.147045311</v>
      </c>
      <c r="M117" s="151">
        <f t="shared" si="103"/>
        <v>18079924.280482348</v>
      </c>
      <c r="N117" s="151">
        <f t="shared" si="103"/>
        <v>18302945.958566777</v>
      </c>
      <c r="O117" s="151">
        <f t="shared" si="103"/>
        <v>18522149.100092549</v>
      </c>
      <c r="P117" s="151">
        <f t="shared" si="103"/>
        <v>18736621.890920997</v>
      </c>
      <c r="Q117" s="151">
        <f t="shared" si="103"/>
        <v>18947465.05695986</v>
      </c>
      <c r="R117" s="151">
        <f t="shared" si="103"/>
        <v>19156419.105308101</v>
      </c>
      <c r="S117" s="151">
        <f t="shared" si="103"/>
        <v>19367677.514381625</v>
      </c>
      <c r="T117" s="151">
        <f t="shared" si="103"/>
        <v>19581265.696841247</v>
      </c>
      <c r="U117" s="151">
        <f t="shared" si="103"/>
        <v>19797209.345600456</v>
      </c>
      <c r="V117" s="151">
        <f t="shared" si="103"/>
        <v>20015534.436916098</v>
      </c>
      <c r="W117" s="151">
        <f t="shared" si="103"/>
        <v>20236267.233513128</v>
      </c>
    </row>
    <row r="118" spans="1:23">
      <c r="A118" s="238" t="s">
        <v>226</v>
      </c>
      <c r="B118" s="238"/>
      <c r="C118" s="153">
        <f>SUM(C116:C117)</f>
        <v>9328936.863918189</v>
      </c>
      <c r="D118" s="153">
        <f t="shared" ref="D118:W118" si="104">SUM(D116:D117)</f>
        <v>36683484.33795628</v>
      </c>
      <c r="E118" s="153">
        <f t="shared" si="104"/>
        <v>37764232.347773246</v>
      </c>
      <c r="F118" s="153">
        <f t="shared" si="104"/>
        <v>38298001.470644236</v>
      </c>
      <c r="G118" s="153">
        <f t="shared" si="104"/>
        <v>38267740.915997371</v>
      </c>
      <c r="H118" s="153">
        <f t="shared" si="104"/>
        <v>40180635.669338986</v>
      </c>
      <c r="I118" s="153">
        <f t="shared" si="104"/>
        <v>19132681.745959625</v>
      </c>
      <c r="J118" s="153">
        <f t="shared" si="104"/>
        <v>19349891.781927314</v>
      </c>
      <c r="K118" s="153">
        <f t="shared" si="104"/>
        <v>19568302.289259061</v>
      </c>
      <c r="L118" s="153">
        <f t="shared" si="104"/>
        <v>19776429.646126322</v>
      </c>
      <c r="M118" s="153">
        <f t="shared" si="104"/>
        <v>19992419.85565934</v>
      </c>
      <c r="N118" s="153">
        <f t="shared" si="104"/>
        <v>20193935.061932787</v>
      </c>
      <c r="O118" s="153">
        <f t="shared" si="104"/>
        <v>20380761.032390554</v>
      </c>
      <c r="P118" s="153">
        <f t="shared" si="104"/>
        <v>20555125.427924994</v>
      </c>
      <c r="Q118" s="153">
        <f t="shared" si="104"/>
        <v>20735193.195870861</v>
      </c>
      <c r="R118" s="153">
        <f t="shared" si="104"/>
        <v>20928129.514469091</v>
      </c>
      <c r="S118" s="153">
        <f t="shared" si="104"/>
        <v>21158926.47718988</v>
      </c>
      <c r="T118" s="153">
        <f t="shared" si="104"/>
        <v>21392268.685913906</v>
      </c>
      <c r="U118" s="153">
        <f t="shared" si="104"/>
        <v>21628184.209802538</v>
      </c>
      <c r="V118" s="153">
        <f t="shared" si="104"/>
        <v>21866701.427566178</v>
      </c>
      <c r="W118" s="153">
        <f t="shared" si="104"/>
        <v>22107849.030877583</v>
      </c>
    </row>
    <row r="121" spans="1:23" customFormat="1" ht="14.4"/>
  </sheetData>
  <mergeCells count="15">
    <mergeCell ref="A115:B115"/>
    <mergeCell ref="B79:B80"/>
    <mergeCell ref="C79:W79"/>
    <mergeCell ref="B103:B104"/>
    <mergeCell ref="C55:W55"/>
    <mergeCell ref="A67:A68"/>
    <mergeCell ref="B67:B68"/>
    <mergeCell ref="C67:W67"/>
    <mergeCell ref="A1:W1"/>
    <mergeCell ref="A103:A104"/>
    <mergeCell ref="C4:W4"/>
    <mergeCell ref="A91:A92"/>
    <mergeCell ref="B91:B92"/>
    <mergeCell ref="C91:W91"/>
    <mergeCell ref="C103:W103"/>
  </mergeCells>
  <pageMargins left="0.75" right="0.75" top="1" bottom="1" header="0.5" footer="0.5"/>
  <pageSetup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W89"/>
  <sheetViews>
    <sheetView topLeftCell="A43" workbookViewId="0">
      <selection activeCell="G32" sqref="G32"/>
    </sheetView>
  </sheetViews>
  <sheetFormatPr defaultRowHeight="13.2"/>
  <cols>
    <col min="1" max="1" width="35.88671875" style="76" customWidth="1"/>
    <col min="2" max="2" width="34.6640625" style="76" bestFit="1" customWidth="1"/>
    <col min="3" max="3" width="19.88671875" style="76" bestFit="1" customWidth="1"/>
    <col min="4" max="4" width="15" style="76" customWidth="1"/>
    <col min="5" max="5" width="17" style="76" bestFit="1" customWidth="1"/>
    <col min="6" max="7" width="12.88671875" style="76" customWidth="1"/>
    <col min="8" max="8" width="13.6640625" style="76" customWidth="1"/>
    <col min="9" max="23" width="12.88671875" style="76" customWidth="1"/>
    <col min="24" max="255" width="9.109375" style="76"/>
    <col min="256" max="256" width="33.88671875" style="76" customWidth="1"/>
    <col min="257" max="257" width="19.33203125" style="76" customWidth="1"/>
    <col min="258" max="279" width="12.88671875" style="76" customWidth="1"/>
    <col min="280" max="511" width="9.109375" style="76"/>
    <col min="512" max="512" width="33.88671875" style="76" customWidth="1"/>
    <col min="513" max="513" width="19.33203125" style="76" customWidth="1"/>
    <col min="514" max="535" width="12.88671875" style="76" customWidth="1"/>
    <col min="536" max="767" width="9.109375" style="76"/>
    <col min="768" max="768" width="33.88671875" style="76" customWidth="1"/>
    <col min="769" max="769" width="19.33203125" style="76" customWidth="1"/>
    <col min="770" max="791" width="12.88671875" style="76" customWidth="1"/>
    <col min="792" max="1023" width="9.109375" style="76"/>
    <col min="1024" max="1024" width="33.88671875" style="76" customWidth="1"/>
    <col min="1025" max="1025" width="19.33203125" style="76" customWidth="1"/>
    <col min="1026" max="1047" width="12.88671875" style="76" customWidth="1"/>
    <col min="1048" max="1279" width="9.109375" style="76"/>
    <col min="1280" max="1280" width="33.88671875" style="76" customWidth="1"/>
    <col min="1281" max="1281" width="19.33203125" style="76" customWidth="1"/>
    <col min="1282" max="1303" width="12.88671875" style="76" customWidth="1"/>
    <col min="1304" max="1535" width="9.109375" style="76"/>
    <col min="1536" max="1536" width="33.88671875" style="76" customWidth="1"/>
    <col min="1537" max="1537" width="19.33203125" style="76" customWidth="1"/>
    <col min="1538" max="1559" width="12.88671875" style="76" customWidth="1"/>
    <col min="1560" max="1791" width="9.109375" style="76"/>
    <col min="1792" max="1792" width="33.88671875" style="76" customWidth="1"/>
    <col min="1793" max="1793" width="19.33203125" style="76" customWidth="1"/>
    <col min="1794" max="1815" width="12.88671875" style="76" customWidth="1"/>
    <col min="1816" max="2047" width="9.109375" style="76"/>
    <col min="2048" max="2048" width="33.88671875" style="76" customWidth="1"/>
    <col min="2049" max="2049" width="19.33203125" style="76" customWidth="1"/>
    <col min="2050" max="2071" width="12.88671875" style="76" customWidth="1"/>
    <col min="2072" max="2303" width="9.109375" style="76"/>
    <col min="2304" max="2304" width="33.88671875" style="76" customWidth="1"/>
    <col min="2305" max="2305" width="19.33203125" style="76" customWidth="1"/>
    <col min="2306" max="2327" width="12.88671875" style="76" customWidth="1"/>
    <col min="2328" max="2559" width="9.109375" style="76"/>
    <col min="2560" max="2560" width="33.88671875" style="76" customWidth="1"/>
    <col min="2561" max="2561" width="19.33203125" style="76" customWidth="1"/>
    <col min="2562" max="2583" width="12.88671875" style="76" customWidth="1"/>
    <col min="2584" max="2815" width="9.109375" style="76"/>
    <col min="2816" max="2816" width="33.88671875" style="76" customWidth="1"/>
    <col min="2817" max="2817" width="19.33203125" style="76" customWidth="1"/>
    <col min="2818" max="2839" width="12.88671875" style="76" customWidth="1"/>
    <col min="2840" max="3071" width="9.109375" style="76"/>
    <col min="3072" max="3072" width="33.88671875" style="76" customWidth="1"/>
    <col min="3073" max="3073" width="19.33203125" style="76" customWidth="1"/>
    <col min="3074" max="3095" width="12.88671875" style="76" customWidth="1"/>
    <col min="3096" max="3327" width="9.109375" style="76"/>
    <col min="3328" max="3328" width="33.88671875" style="76" customWidth="1"/>
    <col min="3329" max="3329" width="19.33203125" style="76" customWidth="1"/>
    <col min="3330" max="3351" width="12.88671875" style="76" customWidth="1"/>
    <col min="3352" max="3583" width="9.109375" style="76"/>
    <col min="3584" max="3584" width="33.88671875" style="76" customWidth="1"/>
    <col min="3585" max="3585" width="19.33203125" style="76" customWidth="1"/>
    <col min="3586" max="3607" width="12.88671875" style="76" customWidth="1"/>
    <col min="3608" max="3839" width="9.109375" style="76"/>
    <col min="3840" max="3840" width="33.88671875" style="76" customWidth="1"/>
    <col min="3841" max="3841" width="19.33203125" style="76" customWidth="1"/>
    <col min="3842" max="3863" width="12.88671875" style="76" customWidth="1"/>
    <col min="3864" max="4095" width="9.109375" style="76"/>
    <col min="4096" max="4096" width="33.88671875" style="76" customWidth="1"/>
    <col min="4097" max="4097" width="19.33203125" style="76" customWidth="1"/>
    <col min="4098" max="4119" width="12.88671875" style="76" customWidth="1"/>
    <col min="4120" max="4351" width="9.109375" style="76"/>
    <col min="4352" max="4352" width="33.88671875" style="76" customWidth="1"/>
    <col min="4353" max="4353" width="19.33203125" style="76" customWidth="1"/>
    <col min="4354" max="4375" width="12.88671875" style="76" customWidth="1"/>
    <col min="4376" max="4607" width="9.109375" style="76"/>
    <col min="4608" max="4608" width="33.88671875" style="76" customWidth="1"/>
    <col min="4609" max="4609" width="19.33203125" style="76" customWidth="1"/>
    <col min="4610" max="4631" width="12.88671875" style="76" customWidth="1"/>
    <col min="4632" max="4863" width="9.109375" style="76"/>
    <col min="4864" max="4864" width="33.88671875" style="76" customWidth="1"/>
    <col min="4865" max="4865" width="19.33203125" style="76" customWidth="1"/>
    <col min="4866" max="4887" width="12.88671875" style="76" customWidth="1"/>
    <col min="4888" max="5119" width="9.109375" style="76"/>
    <col min="5120" max="5120" width="33.88671875" style="76" customWidth="1"/>
    <col min="5121" max="5121" width="19.33203125" style="76" customWidth="1"/>
    <col min="5122" max="5143" width="12.88671875" style="76" customWidth="1"/>
    <col min="5144" max="5375" width="9.109375" style="76"/>
    <col min="5376" max="5376" width="33.88671875" style="76" customWidth="1"/>
    <col min="5377" max="5377" width="19.33203125" style="76" customWidth="1"/>
    <col min="5378" max="5399" width="12.88671875" style="76" customWidth="1"/>
    <col min="5400" max="5631" width="9.109375" style="76"/>
    <col min="5632" max="5632" width="33.88671875" style="76" customWidth="1"/>
    <col min="5633" max="5633" width="19.33203125" style="76" customWidth="1"/>
    <col min="5634" max="5655" width="12.88671875" style="76" customWidth="1"/>
    <col min="5656" max="5887" width="9.109375" style="76"/>
    <col min="5888" max="5888" width="33.88671875" style="76" customWidth="1"/>
    <col min="5889" max="5889" width="19.33203125" style="76" customWidth="1"/>
    <col min="5890" max="5911" width="12.88671875" style="76" customWidth="1"/>
    <col min="5912" max="6143" width="9.109375" style="76"/>
    <col min="6144" max="6144" width="33.88671875" style="76" customWidth="1"/>
    <col min="6145" max="6145" width="19.33203125" style="76" customWidth="1"/>
    <col min="6146" max="6167" width="12.88671875" style="76" customWidth="1"/>
    <col min="6168" max="6399" width="9.109375" style="76"/>
    <col min="6400" max="6400" width="33.88671875" style="76" customWidth="1"/>
    <col min="6401" max="6401" width="19.33203125" style="76" customWidth="1"/>
    <col min="6402" max="6423" width="12.88671875" style="76" customWidth="1"/>
    <col min="6424" max="6655" width="9.109375" style="76"/>
    <col min="6656" max="6656" width="33.88671875" style="76" customWidth="1"/>
    <col min="6657" max="6657" width="19.33203125" style="76" customWidth="1"/>
    <col min="6658" max="6679" width="12.88671875" style="76" customWidth="1"/>
    <col min="6680" max="6911" width="9.109375" style="76"/>
    <col min="6912" max="6912" width="33.88671875" style="76" customWidth="1"/>
    <col min="6913" max="6913" width="19.33203125" style="76" customWidth="1"/>
    <col min="6914" max="6935" width="12.88671875" style="76" customWidth="1"/>
    <col min="6936" max="7167" width="9.109375" style="76"/>
    <col min="7168" max="7168" width="33.88671875" style="76" customWidth="1"/>
    <col min="7169" max="7169" width="19.33203125" style="76" customWidth="1"/>
    <col min="7170" max="7191" width="12.88671875" style="76" customWidth="1"/>
    <col min="7192" max="7423" width="9.109375" style="76"/>
    <col min="7424" max="7424" width="33.88671875" style="76" customWidth="1"/>
    <col min="7425" max="7425" width="19.33203125" style="76" customWidth="1"/>
    <col min="7426" max="7447" width="12.88671875" style="76" customWidth="1"/>
    <col min="7448" max="7679" width="9.109375" style="76"/>
    <col min="7680" max="7680" width="33.88671875" style="76" customWidth="1"/>
    <col min="7681" max="7681" width="19.33203125" style="76" customWidth="1"/>
    <col min="7682" max="7703" width="12.88671875" style="76" customWidth="1"/>
    <col min="7704" max="7935" width="9.109375" style="76"/>
    <col min="7936" max="7936" width="33.88671875" style="76" customWidth="1"/>
    <col min="7937" max="7937" width="19.33203125" style="76" customWidth="1"/>
    <col min="7938" max="7959" width="12.88671875" style="76" customWidth="1"/>
    <col min="7960" max="8191" width="9.109375" style="76"/>
    <col min="8192" max="8192" width="33.88671875" style="76" customWidth="1"/>
    <col min="8193" max="8193" width="19.33203125" style="76" customWidth="1"/>
    <col min="8194" max="8215" width="12.88671875" style="76" customWidth="1"/>
    <col min="8216" max="8447" width="9.109375" style="76"/>
    <col min="8448" max="8448" width="33.88671875" style="76" customWidth="1"/>
    <col min="8449" max="8449" width="19.33203125" style="76" customWidth="1"/>
    <col min="8450" max="8471" width="12.88671875" style="76" customWidth="1"/>
    <col min="8472" max="8703" width="9.109375" style="76"/>
    <col min="8704" max="8704" width="33.88671875" style="76" customWidth="1"/>
    <col min="8705" max="8705" width="19.33203125" style="76" customWidth="1"/>
    <col min="8706" max="8727" width="12.88671875" style="76" customWidth="1"/>
    <col min="8728" max="8959" width="9.109375" style="76"/>
    <col min="8960" max="8960" width="33.88671875" style="76" customWidth="1"/>
    <col min="8961" max="8961" width="19.33203125" style="76" customWidth="1"/>
    <col min="8962" max="8983" width="12.88671875" style="76" customWidth="1"/>
    <col min="8984" max="9215" width="9.109375" style="76"/>
    <col min="9216" max="9216" width="33.88671875" style="76" customWidth="1"/>
    <col min="9217" max="9217" width="19.33203125" style="76" customWidth="1"/>
    <col min="9218" max="9239" width="12.88671875" style="76" customWidth="1"/>
    <col min="9240" max="9471" width="9.109375" style="76"/>
    <col min="9472" max="9472" width="33.88671875" style="76" customWidth="1"/>
    <col min="9473" max="9473" width="19.33203125" style="76" customWidth="1"/>
    <col min="9474" max="9495" width="12.88671875" style="76" customWidth="1"/>
    <col min="9496" max="9727" width="9.109375" style="76"/>
    <col min="9728" max="9728" width="33.88671875" style="76" customWidth="1"/>
    <col min="9729" max="9729" width="19.33203125" style="76" customWidth="1"/>
    <col min="9730" max="9751" width="12.88671875" style="76" customWidth="1"/>
    <col min="9752" max="9983" width="9.109375" style="76"/>
    <col min="9984" max="9984" width="33.88671875" style="76" customWidth="1"/>
    <col min="9985" max="9985" width="19.33203125" style="76" customWidth="1"/>
    <col min="9986" max="10007" width="12.88671875" style="76" customWidth="1"/>
    <col min="10008" max="10239" width="9.109375" style="76"/>
    <col min="10240" max="10240" width="33.88671875" style="76" customWidth="1"/>
    <col min="10241" max="10241" width="19.33203125" style="76" customWidth="1"/>
    <col min="10242" max="10263" width="12.88671875" style="76" customWidth="1"/>
    <col min="10264" max="10495" width="9.109375" style="76"/>
    <col min="10496" max="10496" width="33.88671875" style="76" customWidth="1"/>
    <col min="10497" max="10497" width="19.33203125" style="76" customWidth="1"/>
    <col min="10498" max="10519" width="12.88671875" style="76" customWidth="1"/>
    <col min="10520" max="10751" width="9.109375" style="76"/>
    <col min="10752" max="10752" width="33.88671875" style="76" customWidth="1"/>
    <col min="10753" max="10753" width="19.33203125" style="76" customWidth="1"/>
    <col min="10754" max="10775" width="12.88671875" style="76" customWidth="1"/>
    <col min="10776" max="11007" width="9.109375" style="76"/>
    <col min="11008" max="11008" width="33.88671875" style="76" customWidth="1"/>
    <col min="11009" max="11009" width="19.33203125" style="76" customWidth="1"/>
    <col min="11010" max="11031" width="12.88671875" style="76" customWidth="1"/>
    <col min="11032" max="11263" width="9.109375" style="76"/>
    <col min="11264" max="11264" width="33.88671875" style="76" customWidth="1"/>
    <col min="11265" max="11265" width="19.33203125" style="76" customWidth="1"/>
    <col min="11266" max="11287" width="12.88671875" style="76" customWidth="1"/>
    <col min="11288" max="11519" width="9.109375" style="76"/>
    <col min="11520" max="11520" width="33.88671875" style="76" customWidth="1"/>
    <col min="11521" max="11521" width="19.33203125" style="76" customWidth="1"/>
    <col min="11522" max="11543" width="12.88671875" style="76" customWidth="1"/>
    <col min="11544" max="11775" width="9.109375" style="76"/>
    <col min="11776" max="11776" width="33.88671875" style="76" customWidth="1"/>
    <col min="11777" max="11777" width="19.33203125" style="76" customWidth="1"/>
    <col min="11778" max="11799" width="12.88671875" style="76" customWidth="1"/>
    <col min="11800" max="12031" width="9.109375" style="76"/>
    <col min="12032" max="12032" width="33.88671875" style="76" customWidth="1"/>
    <col min="12033" max="12033" width="19.33203125" style="76" customWidth="1"/>
    <col min="12034" max="12055" width="12.88671875" style="76" customWidth="1"/>
    <col min="12056" max="12287" width="9.109375" style="76"/>
    <col min="12288" max="12288" width="33.88671875" style="76" customWidth="1"/>
    <col min="12289" max="12289" width="19.33203125" style="76" customWidth="1"/>
    <col min="12290" max="12311" width="12.88671875" style="76" customWidth="1"/>
    <col min="12312" max="12543" width="9.109375" style="76"/>
    <col min="12544" max="12544" width="33.88671875" style="76" customWidth="1"/>
    <col min="12545" max="12545" width="19.33203125" style="76" customWidth="1"/>
    <col min="12546" max="12567" width="12.88671875" style="76" customWidth="1"/>
    <col min="12568" max="12799" width="9.109375" style="76"/>
    <col min="12800" max="12800" width="33.88671875" style="76" customWidth="1"/>
    <col min="12801" max="12801" width="19.33203125" style="76" customWidth="1"/>
    <col min="12802" max="12823" width="12.88671875" style="76" customWidth="1"/>
    <col min="12824" max="13055" width="9.109375" style="76"/>
    <col min="13056" max="13056" width="33.88671875" style="76" customWidth="1"/>
    <col min="13057" max="13057" width="19.33203125" style="76" customWidth="1"/>
    <col min="13058" max="13079" width="12.88671875" style="76" customWidth="1"/>
    <col min="13080" max="13311" width="9.109375" style="76"/>
    <col min="13312" max="13312" width="33.88671875" style="76" customWidth="1"/>
    <col min="13313" max="13313" width="19.33203125" style="76" customWidth="1"/>
    <col min="13314" max="13335" width="12.88671875" style="76" customWidth="1"/>
    <col min="13336" max="13567" width="9.109375" style="76"/>
    <col min="13568" max="13568" width="33.88671875" style="76" customWidth="1"/>
    <col min="13569" max="13569" width="19.33203125" style="76" customWidth="1"/>
    <col min="13570" max="13591" width="12.88671875" style="76" customWidth="1"/>
    <col min="13592" max="13823" width="9.109375" style="76"/>
    <col min="13824" max="13824" width="33.88671875" style="76" customWidth="1"/>
    <col min="13825" max="13825" width="19.33203125" style="76" customWidth="1"/>
    <col min="13826" max="13847" width="12.88671875" style="76" customWidth="1"/>
    <col min="13848" max="14079" width="9.109375" style="76"/>
    <col min="14080" max="14080" width="33.88671875" style="76" customWidth="1"/>
    <col min="14081" max="14081" width="19.33203125" style="76" customWidth="1"/>
    <col min="14082" max="14103" width="12.88671875" style="76" customWidth="1"/>
    <col min="14104" max="14335" width="9.109375" style="76"/>
    <col min="14336" max="14336" width="33.88671875" style="76" customWidth="1"/>
    <col min="14337" max="14337" width="19.33203125" style="76" customWidth="1"/>
    <col min="14338" max="14359" width="12.88671875" style="76" customWidth="1"/>
    <col min="14360" max="14591" width="9.109375" style="76"/>
    <col min="14592" max="14592" width="33.88671875" style="76" customWidth="1"/>
    <col min="14593" max="14593" width="19.33203125" style="76" customWidth="1"/>
    <col min="14594" max="14615" width="12.88671875" style="76" customWidth="1"/>
    <col min="14616" max="14847" width="9.109375" style="76"/>
    <col min="14848" max="14848" width="33.88671875" style="76" customWidth="1"/>
    <col min="14849" max="14849" width="19.33203125" style="76" customWidth="1"/>
    <col min="14850" max="14871" width="12.88671875" style="76" customWidth="1"/>
    <col min="14872" max="15103" width="9.109375" style="76"/>
    <col min="15104" max="15104" width="33.88671875" style="76" customWidth="1"/>
    <col min="15105" max="15105" width="19.33203125" style="76" customWidth="1"/>
    <col min="15106" max="15127" width="12.88671875" style="76" customWidth="1"/>
    <col min="15128" max="15359" width="9.109375" style="76"/>
    <col min="15360" max="15360" width="33.88671875" style="76" customWidth="1"/>
    <col min="15361" max="15361" width="19.33203125" style="76" customWidth="1"/>
    <col min="15362" max="15383" width="12.88671875" style="76" customWidth="1"/>
    <col min="15384" max="15615" width="9.109375" style="76"/>
    <col min="15616" max="15616" width="33.88671875" style="76" customWidth="1"/>
    <col min="15617" max="15617" width="19.33203125" style="76" customWidth="1"/>
    <col min="15618" max="15639" width="12.88671875" style="76" customWidth="1"/>
    <col min="15640" max="15871" width="9.109375" style="76"/>
    <col min="15872" max="15872" width="33.88671875" style="76" customWidth="1"/>
    <col min="15873" max="15873" width="19.33203125" style="76" customWidth="1"/>
    <col min="15874" max="15895" width="12.88671875" style="76" customWidth="1"/>
    <col min="15896" max="16127" width="9.109375" style="76"/>
    <col min="16128" max="16128" width="33.88671875" style="76" customWidth="1"/>
    <col min="16129" max="16129" width="19.33203125" style="76" customWidth="1"/>
    <col min="16130" max="16151" width="12.88671875" style="76" customWidth="1"/>
    <col min="16152" max="16384" width="9.109375" style="76"/>
  </cols>
  <sheetData>
    <row r="1" spans="1:23" ht="16.2" thickBot="1">
      <c r="A1" s="494" t="s">
        <v>306</v>
      </c>
      <c r="B1" s="495"/>
      <c r="C1" s="495"/>
      <c r="D1" s="495"/>
      <c r="E1" s="495"/>
      <c r="F1" s="495"/>
      <c r="G1" s="495"/>
      <c r="H1" s="495"/>
      <c r="I1" s="495"/>
      <c r="J1" s="495"/>
      <c r="K1" s="495"/>
      <c r="L1" s="495"/>
      <c r="M1" s="495"/>
      <c r="N1" s="495"/>
      <c r="O1" s="495"/>
      <c r="P1" s="495"/>
      <c r="Q1" s="495"/>
      <c r="R1" s="495"/>
      <c r="S1" s="495"/>
      <c r="T1" s="495"/>
      <c r="U1" s="495"/>
      <c r="V1" s="495"/>
      <c r="W1" s="496"/>
    </row>
    <row r="2" spans="1:23" ht="16.2" thickBot="1">
      <c r="A2" s="181" t="s">
        <v>235</v>
      </c>
      <c r="B2" s="182"/>
      <c r="C2" s="182"/>
      <c r="D2" s="182"/>
      <c r="E2" s="182"/>
      <c r="F2" s="182"/>
      <c r="G2" s="182"/>
      <c r="H2" s="182"/>
      <c r="I2" s="182"/>
      <c r="J2" s="182"/>
      <c r="K2" s="182"/>
      <c r="L2" s="182"/>
      <c r="M2" s="183"/>
      <c r="N2" s="183"/>
      <c r="O2" s="183"/>
      <c r="P2" s="183"/>
      <c r="Q2" s="183"/>
      <c r="R2" s="183"/>
      <c r="S2" s="183"/>
      <c r="T2" s="183"/>
      <c r="U2" s="183"/>
      <c r="V2" s="183"/>
      <c r="W2" s="184"/>
    </row>
    <row r="3" spans="1:23" ht="15.6">
      <c r="A3" s="154" t="s">
        <v>233</v>
      </c>
      <c r="B3" s="155"/>
      <c r="C3" s="155"/>
      <c r="D3" s="156"/>
      <c r="E3" s="156"/>
      <c r="F3" s="156"/>
      <c r="G3" s="156"/>
      <c r="H3" s="156"/>
      <c r="I3" s="156"/>
      <c r="J3" s="156"/>
      <c r="K3" s="156"/>
      <c r="L3" s="156"/>
      <c r="M3" s="157"/>
      <c r="N3" s="157"/>
      <c r="O3" s="157"/>
      <c r="P3" s="157"/>
      <c r="Q3" s="157"/>
      <c r="R3" s="157"/>
      <c r="S3" s="157"/>
      <c r="T3" s="157"/>
      <c r="U3" s="157"/>
      <c r="V3" s="157"/>
      <c r="W3" s="158"/>
    </row>
    <row r="4" spans="1:23">
      <c r="A4" s="159"/>
      <c r="B4" s="160"/>
      <c r="C4" s="520" t="s">
        <v>230</v>
      </c>
      <c r="D4" s="521"/>
      <c r="E4" s="521"/>
      <c r="F4" s="521"/>
      <c r="G4" s="521"/>
      <c r="H4" s="521"/>
      <c r="I4" s="521"/>
      <c r="J4" s="521"/>
      <c r="K4" s="521"/>
      <c r="L4" s="521"/>
      <c r="M4" s="521"/>
      <c r="N4" s="521"/>
      <c r="O4" s="521"/>
      <c r="P4" s="521"/>
      <c r="Q4" s="521"/>
      <c r="R4" s="521"/>
      <c r="S4" s="521"/>
      <c r="T4" s="521"/>
      <c r="U4" s="521"/>
      <c r="V4" s="521"/>
      <c r="W4" s="522"/>
    </row>
    <row r="5" spans="1:23">
      <c r="A5" s="159"/>
      <c r="B5" s="161" t="s">
        <v>1</v>
      </c>
      <c r="C5" s="162">
        <v>2015</v>
      </c>
      <c r="D5" s="162">
        <v>2016</v>
      </c>
      <c r="E5" s="162">
        <v>2017</v>
      </c>
      <c r="F5" s="162">
        <v>2018</v>
      </c>
      <c r="G5" s="162">
        <v>2019</v>
      </c>
      <c r="H5" s="162">
        <v>2020</v>
      </c>
      <c r="I5" s="162">
        <v>2021</v>
      </c>
      <c r="J5" s="162">
        <v>2022</v>
      </c>
      <c r="K5" s="162">
        <v>2023</v>
      </c>
      <c r="L5" s="162">
        <v>2024</v>
      </c>
      <c r="M5" s="162">
        <v>2025</v>
      </c>
      <c r="N5" s="162">
        <v>2026</v>
      </c>
      <c r="O5" s="162">
        <v>2027</v>
      </c>
      <c r="P5" s="162">
        <v>2028</v>
      </c>
      <c r="Q5" s="162">
        <v>2029</v>
      </c>
      <c r="R5" s="162">
        <v>2030</v>
      </c>
      <c r="S5" s="162">
        <v>2031</v>
      </c>
      <c r="T5" s="162">
        <v>2032</v>
      </c>
      <c r="U5" s="162">
        <v>2033</v>
      </c>
      <c r="V5" s="162">
        <v>2034</v>
      </c>
      <c r="W5" s="163">
        <v>2035</v>
      </c>
    </row>
    <row r="6" spans="1:23" ht="13.8" thickBot="1">
      <c r="A6" s="164"/>
      <c r="B6" s="165" t="s">
        <v>244</v>
      </c>
      <c r="C6" s="171">
        <f>'NW Customers'!B4</f>
        <v>368109.8661258581</v>
      </c>
      <c r="D6" s="171">
        <f>'NW Customers'!C4</f>
        <v>373486.05763078062</v>
      </c>
      <c r="E6" s="171">
        <f>'NW Customers'!D4</f>
        <v>378939.52680845541</v>
      </c>
      <c r="F6" s="171">
        <f>'NW Customers'!E4</f>
        <v>384222.696794555</v>
      </c>
      <c r="G6" s="171">
        <f>'NW Customers'!F4</f>
        <v>389432.25250224111</v>
      </c>
      <c r="H6" s="171">
        <f>'NW Customers'!G4</f>
        <v>394176.6962072298</v>
      </c>
      <c r="I6" s="171">
        <f>'NW Customers'!H4</f>
        <v>398910.99371926603</v>
      </c>
      <c r="J6" s="171">
        <f>'NW Customers'!I4</f>
        <v>404211.04209112196</v>
      </c>
      <c r="K6" s="171">
        <f>'NW Customers'!J4</f>
        <v>409461.45527194545</v>
      </c>
      <c r="L6" s="171">
        <f>'NW Customers'!K4</f>
        <v>414973.96221003355</v>
      </c>
      <c r="M6" s="171">
        <f>'NW Customers'!L4</f>
        <v>420270.55792898097</v>
      </c>
      <c r="N6" s="171">
        <f>'NW Customers'!M4</f>
        <v>425475.03615722148</v>
      </c>
      <c r="O6" s="171">
        <f>'NW Customers'!N4</f>
        <v>430609.97963586426</v>
      </c>
      <c r="P6" s="171">
        <f>'NW Customers'!O4</f>
        <v>435727.19666466326</v>
      </c>
      <c r="Q6" s="171">
        <f>'NW Customers'!P4</f>
        <v>440815.13833749207</v>
      </c>
      <c r="R6" s="171">
        <f>'NW Customers'!Q4</f>
        <v>445687.17196607753</v>
      </c>
      <c r="S6" s="171">
        <f>'NW Customers'!R4</f>
        <v>450729.45878165902</v>
      </c>
      <c r="T6" s="171">
        <f>'NW Customers'!S4</f>
        <v>455977.8439503425</v>
      </c>
      <c r="U6" s="171">
        <f>'NW Customers'!T4</f>
        <v>461256.43179383531</v>
      </c>
      <c r="V6" s="171">
        <f>'NW Customers'!U4</f>
        <v>466415.471809601</v>
      </c>
      <c r="W6" s="171">
        <f>'NW Customers'!V4</f>
        <v>471632.21442212129</v>
      </c>
    </row>
    <row r="7" spans="1:23" s="230" customFormat="1" ht="16.2" thickBot="1">
      <c r="A7" s="242"/>
      <c r="B7" s="242"/>
      <c r="C7" s="242"/>
      <c r="D7" s="243"/>
      <c r="E7" s="243"/>
      <c r="F7" s="243"/>
      <c r="G7" s="243"/>
      <c r="H7" s="243"/>
      <c r="I7" s="243"/>
      <c r="J7" s="243"/>
      <c r="K7" s="243"/>
      <c r="L7" s="243"/>
    </row>
    <row r="8" spans="1:23" ht="15.6">
      <c r="A8" s="154" t="s">
        <v>311</v>
      </c>
      <c r="B8" s="155"/>
      <c r="C8" s="155"/>
      <c r="D8" s="156"/>
      <c r="E8" s="156"/>
      <c r="F8" s="156"/>
      <c r="G8" s="156"/>
      <c r="H8" s="156"/>
      <c r="I8" s="156"/>
      <c r="J8" s="156"/>
      <c r="K8" s="156"/>
      <c r="L8" s="156"/>
      <c r="M8" s="157"/>
      <c r="N8" s="157"/>
      <c r="O8" s="157"/>
      <c r="P8" s="157"/>
      <c r="Q8" s="157"/>
      <c r="R8" s="157"/>
      <c r="S8" s="157"/>
      <c r="T8" s="157"/>
      <c r="U8" s="157"/>
      <c r="V8" s="157"/>
      <c r="W8" s="158"/>
    </row>
    <row r="9" spans="1:23" ht="15.6">
      <c r="A9" s="188"/>
      <c r="B9" s="161" t="s">
        <v>241</v>
      </c>
      <c r="C9" s="177">
        <f>KeyAssumptions!K8</f>
        <v>0.34799999999999998</v>
      </c>
      <c r="D9" s="166"/>
      <c r="E9" s="166"/>
      <c r="F9" s="166"/>
      <c r="G9" s="166"/>
      <c r="H9" s="166"/>
      <c r="I9" s="166"/>
      <c r="J9" s="166"/>
      <c r="K9" s="166"/>
      <c r="L9" s="166"/>
      <c r="M9" s="167"/>
      <c r="N9" s="167"/>
      <c r="O9" s="167"/>
      <c r="P9" s="167"/>
      <c r="Q9" s="167"/>
      <c r="R9" s="167"/>
      <c r="S9" s="167"/>
      <c r="T9" s="167"/>
      <c r="U9" s="167"/>
      <c r="V9" s="167"/>
      <c r="W9" s="168"/>
    </row>
    <row r="10" spans="1:23" ht="15.6">
      <c r="A10" s="188"/>
      <c r="B10" s="161" t="s">
        <v>207</v>
      </c>
      <c r="C10" s="177">
        <f>KeyAssumptions!L8</f>
        <v>0.15</v>
      </c>
      <c r="D10" s="166"/>
      <c r="E10" s="166"/>
      <c r="F10" s="166"/>
      <c r="G10" s="166"/>
      <c r="H10" s="166"/>
      <c r="I10" s="166"/>
      <c r="J10" s="166"/>
      <c r="K10" s="166"/>
      <c r="L10" s="166"/>
      <c r="M10" s="167"/>
      <c r="N10" s="167"/>
      <c r="O10" s="167"/>
      <c r="P10" s="167"/>
      <c r="Q10" s="167"/>
      <c r="R10" s="167"/>
      <c r="S10" s="167"/>
      <c r="T10" s="167"/>
      <c r="U10" s="167"/>
      <c r="V10" s="167"/>
      <c r="W10" s="168"/>
    </row>
    <row r="11" spans="1:23" ht="15.75" customHeight="1">
      <c r="A11" s="188"/>
      <c r="B11" s="191" t="s">
        <v>355</v>
      </c>
      <c r="C11" s="177">
        <v>0.95</v>
      </c>
      <c r="D11" s="166"/>
      <c r="E11" s="166"/>
      <c r="F11" s="166"/>
      <c r="G11" s="166"/>
      <c r="H11" s="166"/>
      <c r="I11" s="166"/>
      <c r="J11" s="166"/>
      <c r="K11" s="166"/>
      <c r="L11" s="166"/>
      <c r="M11" s="167"/>
      <c r="N11" s="167"/>
      <c r="O11" s="167"/>
      <c r="P11" s="167"/>
      <c r="Q11" s="167"/>
      <c r="R11" s="167"/>
      <c r="S11" s="167"/>
      <c r="T11" s="167"/>
      <c r="U11" s="167"/>
      <c r="V11" s="167"/>
      <c r="W11" s="168"/>
    </row>
    <row r="12" spans="1:23" ht="15.6">
      <c r="A12" s="188"/>
      <c r="B12" s="160"/>
      <c r="C12" s="160"/>
      <c r="D12" s="166"/>
      <c r="E12" s="166"/>
      <c r="F12" s="166"/>
      <c r="G12" s="166"/>
      <c r="H12" s="166"/>
      <c r="I12" s="166"/>
      <c r="J12" s="166"/>
      <c r="K12" s="166"/>
      <c r="L12" s="166"/>
      <c r="M12" s="167"/>
      <c r="N12" s="167"/>
      <c r="O12" s="167"/>
      <c r="P12" s="167"/>
      <c r="Q12" s="167"/>
      <c r="R12" s="167"/>
      <c r="S12" s="167"/>
      <c r="T12" s="167"/>
      <c r="U12" s="167"/>
      <c r="V12" s="167"/>
      <c r="W12" s="168"/>
    </row>
    <row r="13" spans="1:23">
      <c r="A13" s="159"/>
      <c r="B13" s="161" t="s">
        <v>1</v>
      </c>
      <c r="C13" s="162">
        <v>2015</v>
      </c>
      <c r="D13" s="162">
        <v>2016</v>
      </c>
      <c r="E13" s="162">
        <v>2017</v>
      </c>
      <c r="F13" s="162">
        <v>2018</v>
      </c>
      <c r="G13" s="162">
        <v>2019</v>
      </c>
      <c r="H13" s="162">
        <v>2020</v>
      </c>
      <c r="I13" s="162">
        <v>2021</v>
      </c>
      <c r="J13" s="162">
        <v>2022</v>
      </c>
      <c r="K13" s="162">
        <v>2023</v>
      </c>
      <c r="L13" s="162">
        <v>2024</v>
      </c>
      <c r="M13" s="162">
        <v>2025</v>
      </c>
      <c r="N13" s="162">
        <v>2026</v>
      </c>
      <c r="O13" s="162">
        <v>2027</v>
      </c>
      <c r="P13" s="162">
        <v>2028</v>
      </c>
      <c r="Q13" s="162">
        <v>2029</v>
      </c>
      <c r="R13" s="162">
        <v>2030</v>
      </c>
      <c r="S13" s="162">
        <v>2031</v>
      </c>
      <c r="T13" s="162">
        <v>2032</v>
      </c>
      <c r="U13" s="162">
        <v>2033</v>
      </c>
      <c r="V13" s="162">
        <v>2034</v>
      </c>
      <c r="W13" s="163">
        <v>2035</v>
      </c>
    </row>
    <row r="14" spans="1:23">
      <c r="A14" s="159"/>
      <c r="B14" s="161" t="s">
        <v>231</v>
      </c>
      <c r="C14" s="177">
        <v>0.05</v>
      </c>
      <c r="D14" s="177">
        <v>0.2</v>
      </c>
      <c r="E14" s="177">
        <v>0.2</v>
      </c>
      <c r="F14" s="177">
        <v>0.2</v>
      </c>
      <c r="G14" s="177">
        <v>0.2</v>
      </c>
      <c r="H14" s="177">
        <v>0.15</v>
      </c>
      <c r="I14" s="177">
        <v>0</v>
      </c>
      <c r="J14" s="177">
        <v>0</v>
      </c>
      <c r="K14" s="177">
        <v>0</v>
      </c>
      <c r="L14" s="177">
        <v>0</v>
      </c>
      <c r="M14" s="177">
        <v>0</v>
      </c>
      <c r="N14" s="177">
        <v>0</v>
      </c>
      <c r="O14" s="177">
        <v>0</v>
      </c>
      <c r="P14" s="177">
        <v>0</v>
      </c>
      <c r="Q14" s="177">
        <v>0</v>
      </c>
      <c r="R14" s="177">
        <v>0</v>
      </c>
      <c r="S14" s="177">
        <v>0</v>
      </c>
      <c r="T14" s="177">
        <v>0</v>
      </c>
      <c r="U14" s="177">
        <v>0</v>
      </c>
      <c r="V14" s="177">
        <v>0</v>
      </c>
      <c r="W14" s="225">
        <v>0</v>
      </c>
    </row>
    <row r="15" spans="1:23">
      <c r="A15" s="159"/>
      <c r="B15" s="161" t="s">
        <v>237</v>
      </c>
      <c r="C15" s="177">
        <f>C14</f>
        <v>0.05</v>
      </c>
      <c r="D15" s="177">
        <f>C15+D14</f>
        <v>0.25</v>
      </c>
      <c r="E15" s="177">
        <f t="shared" ref="E15:W15" si="0">D15+E14</f>
        <v>0.45</v>
      </c>
      <c r="F15" s="177">
        <f t="shared" si="0"/>
        <v>0.65</v>
      </c>
      <c r="G15" s="177">
        <f t="shared" si="0"/>
        <v>0.85000000000000009</v>
      </c>
      <c r="H15" s="177">
        <f t="shared" si="0"/>
        <v>1</v>
      </c>
      <c r="I15" s="177">
        <f t="shared" si="0"/>
        <v>1</v>
      </c>
      <c r="J15" s="177">
        <f t="shared" si="0"/>
        <v>1</v>
      </c>
      <c r="K15" s="177">
        <f t="shared" si="0"/>
        <v>1</v>
      </c>
      <c r="L15" s="177">
        <f t="shared" si="0"/>
        <v>1</v>
      </c>
      <c r="M15" s="177">
        <f t="shared" si="0"/>
        <v>1</v>
      </c>
      <c r="N15" s="177">
        <f t="shared" si="0"/>
        <v>1</v>
      </c>
      <c r="O15" s="177">
        <f t="shared" si="0"/>
        <v>1</v>
      </c>
      <c r="P15" s="177">
        <f t="shared" si="0"/>
        <v>1</v>
      </c>
      <c r="Q15" s="177">
        <f t="shared" si="0"/>
        <v>1</v>
      </c>
      <c r="R15" s="177">
        <f t="shared" si="0"/>
        <v>1</v>
      </c>
      <c r="S15" s="177">
        <f t="shared" si="0"/>
        <v>1</v>
      </c>
      <c r="T15" s="177">
        <f t="shared" si="0"/>
        <v>1</v>
      </c>
      <c r="U15" s="177">
        <f t="shared" si="0"/>
        <v>1</v>
      </c>
      <c r="V15" s="177">
        <f t="shared" si="0"/>
        <v>1</v>
      </c>
      <c r="W15" s="225">
        <f t="shared" si="0"/>
        <v>1</v>
      </c>
    </row>
    <row r="16" spans="1:23">
      <c r="A16" s="159"/>
      <c r="B16" s="161" t="s">
        <v>232</v>
      </c>
      <c r="C16" s="177">
        <v>0.01</v>
      </c>
      <c r="D16" s="177">
        <v>0.01</v>
      </c>
      <c r="E16" s="177">
        <v>0.01</v>
      </c>
      <c r="F16" s="177">
        <v>0.01</v>
      </c>
      <c r="G16" s="177">
        <v>0.01</v>
      </c>
      <c r="H16" s="177">
        <v>0.01</v>
      </c>
      <c r="I16" s="177">
        <v>0.01</v>
      </c>
      <c r="J16" s="177">
        <v>0.01</v>
      </c>
      <c r="K16" s="177">
        <v>0.01</v>
      </c>
      <c r="L16" s="177">
        <v>0.01</v>
      </c>
      <c r="M16" s="177">
        <v>0.01</v>
      </c>
      <c r="N16" s="177">
        <v>0.01</v>
      </c>
      <c r="O16" s="177">
        <v>0.01</v>
      </c>
      <c r="P16" s="177">
        <v>0.01</v>
      </c>
      <c r="Q16" s="177">
        <v>0.01</v>
      </c>
      <c r="R16" s="177">
        <v>0.01</v>
      </c>
      <c r="S16" s="177">
        <v>0.01</v>
      </c>
      <c r="T16" s="177">
        <v>0.01</v>
      </c>
      <c r="U16" s="177">
        <v>0.01</v>
      </c>
      <c r="V16" s="177">
        <v>0.01</v>
      </c>
      <c r="W16" s="225">
        <v>0.01</v>
      </c>
    </row>
    <row r="17" spans="1:23" ht="15" customHeight="1" thickBot="1">
      <c r="A17" s="164"/>
      <c r="B17" s="165" t="s">
        <v>243</v>
      </c>
      <c r="C17" s="226">
        <v>0.5</v>
      </c>
      <c r="D17" s="226">
        <f>C17-0.05</f>
        <v>0.45</v>
      </c>
      <c r="E17" s="226">
        <f>D17-0.05</f>
        <v>0.4</v>
      </c>
      <c r="F17" s="226">
        <f t="shared" ref="F17:G17" si="1">E17-0.05</f>
        <v>0.35000000000000003</v>
      </c>
      <c r="G17" s="226">
        <f t="shared" si="1"/>
        <v>0.30000000000000004</v>
      </c>
      <c r="H17" s="226">
        <v>0.3</v>
      </c>
      <c r="I17" s="226">
        <f>H17</f>
        <v>0.3</v>
      </c>
      <c r="J17" s="226">
        <f t="shared" ref="J17:W17" si="2">I17</f>
        <v>0.3</v>
      </c>
      <c r="K17" s="226">
        <f t="shared" si="2"/>
        <v>0.3</v>
      </c>
      <c r="L17" s="226">
        <f t="shared" si="2"/>
        <v>0.3</v>
      </c>
      <c r="M17" s="226">
        <f t="shared" si="2"/>
        <v>0.3</v>
      </c>
      <c r="N17" s="226">
        <f t="shared" si="2"/>
        <v>0.3</v>
      </c>
      <c r="O17" s="226">
        <f t="shared" si="2"/>
        <v>0.3</v>
      </c>
      <c r="P17" s="226">
        <f t="shared" si="2"/>
        <v>0.3</v>
      </c>
      <c r="Q17" s="226">
        <f t="shared" si="2"/>
        <v>0.3</v>
      </c>
      <c r="R17" s="226">
        <f t="shared" si="2"/>
        <v>0.3</v>
      </c>
      <c r="S17" s="226">
        <f t="shared" si="2"/>
        <v>0.3</v>
      </c>
      <c r="T17" s="226">
        <f t="shared" si="2"/>
        <v>0.3</v>
      </c>
      <c r="U17" s="226">
        <f t="shared" si="2"/>
        <v>0.3</v>
      </c>
      <c r="V17" s="226">
        <f t="shared" si="2"/>
        <v>0.3</v>
      </c>
      <c r="W17" s="227">
        <f t="shared" si="2"/>
        <v>0.3</v>
      </c>
    </row>
    <row r="18" spans="1:23" s="230" customFormat="1" ht="16.2" thickBot="1">
      <c r="A18" s="240"/>
      <c r="B18" s="240"/>
      <c r="C18" s="240"/>
      <c r="D18" s="241"/>
      <c r="E18" s="241"/>
      <c r="F18" s="241"/>
      <c r="G18" s="241"/>
      <c r="H18" s="241"/>
      <c r="I18" s="241"/>
      <c r="J18" s="241"/>
      <c r="K18" s="241"/>
      <c r="L18" s="241"/>
      <c r="M18" s="78"/>
      <c r="N18" s="78"/>
      <c r="O18" s="78"/>
      <c r="P18" s="78"/>
      <c r="Q18" s="78"/>
      <c r="R18" s="78"/>
      <c r="S18" s="78"/>
      <c r="T18" s="78"/>
      <c r="U18" s="78"/>
      <c r="V18" s="78"/>
      <c r="W18" s="78"/>
    </row>
    <row r="19" spans="1:23" ht="15.6">
      <c r="A19" s="154" t="s">
        <v>291</v>
      </c>
      <c r="B19" s="155"/>
      <c r="C19" s="155"/>
      <c r="D19" s="156"/>
      <c r="E19" s="156"/>
      <c r="F19" s="156"/>
      <c r="G19" s="156"/>
      <c r="H19" s="156"/>
      <c r="I19" s="156"/>
      <c r="J19" s="156"/>
      <c r="K19" s="156"/>
      <c r="L19" s="156"/>
      <c r="M19" s="157"/>
      <c r="N19" s="157"/>
      <c r="O19" s="157"/>
      <c r="P19" s="157"/>
      <c r="Q19" s="157"/>
      <c r="R19" s="157"/>
      <c r="S19" s="157"/>
      <c r="T19" s="157"/>
      <c r="U19" s="157"/>
      <c r="V19" s="157"/>
      <c r="W19" s="158"/>
    </row>
    <row r="20" spans="1:23" ht="15.6">
      <c r="A20" s="188"/>
      <c r="B20" s="161" t="s">
        <v>241</v>
      </c>
      <c r="C20" s="176">
        <f>KeyAssumptions!K9</f>
        <v>0.17399999999999999</v>
      </c>
      <c r="D20" s="166"/>
      <c r="E20" s="166"/>
      <c r="F20" s="166"/>
      <c r="G20" s="166"/>
      <c r="H20" s="166"/>
      <c r="I20" s="166"/>
      <c r="J20" s="166"/>
      <c r="K20" s="166"/>
      <c r="L20" s="166"/>
      <c r="M20" s="167"/>
      <c r="N20" s="167"/>
      <c r="O20" s="167"/>
      <c r="P20" s="167"/>
      <c r="Q20" s="167"/>
      <c r="R20" s="167"/>
      <c r="S20" s="167"/>
      <c r="T20" s="167"/>
      <c r="U20" s="167"/>
      <c r="V20" s="167"/>
      <c r="W20" s="168"/>
    </row>
    <row r="21" spans="1:23" ht="15.6">
      <c r="A21" s="188"/>
      <c r="B21" s="161" t="s">
        <v>207</v>
      </c>
      <c r="C21" s="177">
        <f>KeyAssumptions!L9</f>
        <v>0.15</v>
      </c>
      <c r="D21" s="166"/>
      <c r="E21" s="166"/>
      <c r="F21" s="166"/>
      <c r="G21" s="166"/>
      <c r="H21" s="166"/>
      <c r="I21" s="166"/>
      <c r="J21" s="166"/>
      <c r="K21" s="166"/>
      <c r="L21" s="166"/>
      <c r="M21" s="167"/>
      <c r="N21" s="167"/>
      <c r="O21" s="167"/>
      <c r="P21" s="167"/>
      <c r="Q21" s="167"/>
      <c r="R21" s="167"/>
      <c r="S21" s="167"/>
      <c r="T21" s="167"/>
      <c r="U21" s="167"/>
      <c r="V21" s="167"/>
      <c r="W21" s="168"/>
    </row>
    <row r="22" spans="1:23" ht="15.75" customHeight="1">
      <c r="A22" s="188"/>
      <c r="B22" s="191" t="s">
        <v>355</v>
      </c>
      <c r="C22" s="177">
        <v>0.95</v>
      </c>
      <c r="D22" s="166"/>
      <c r="E22" s="166"/>
      <c r="F22" s="166"/>
      <c r="G22" s="166"/>
      <c r="H22" s="166"/>
      <c r="I22" s="166"/>
      <c r="J22" s="166"/>
      <c r="K22" s="166"/>
      <c r="L22" s="166"/>
      <c r="M22" s="167"/>
      <c r="N22" s="167"/>
      <c r="O22" s="167"/>
      <c r="P22" s="167"/>
      <c r="Q22" s="167"/>
      <c r="R22" s="167"/>
      <c r="S22" s="167"/>
      <c r="T22" s="167"/>
      <c r="U22" s="167"/>
      <c r="V22" s="167"/>
      <c r="W22" s="168"/>
    </row>
    <row r="23" spans="1:23" ht="15.6">
      <c r="A23" s="188"/>
      <c r="B23" s="160"/>
      <c r="C23" s="160"/>
      <c r="D23" s="166"/>
      <c r="E23" s="166"/>
      <c r="F23" s="166"/>
      <c r="G23" s="166"/>
      <c r="H23" s="166"/>
      <c r="I23" s="166"/>
      <c r="J23" s="166"/>
      <c r="K23" s="166"/>
      <c r="L23" s="166"/>
      <c r="M23" s="167"/>
      <c r="N23" s="167"/>
      <c r="O23" s="167"/>
      <c r="P23" s="167"/>
      <c r="Q23" s="167"/>
      <c r="R23" s="167"/>
      <c r="S23" s="167"/>
      <c r="T23" s="167"/>
      <c r="U23" s="167"/>
      <c r="V23" s="167"/>
      <c r="W23" s="168"/>
    </row>
    <row r="24" spans="1:23">
      <c r="A24" s="159"/>
      <c r="B24" s="161" t="s">
        <v>1</v>
      </c>
      <c r="C24" s="162">
        <v>2015</v>
      </c>
      <c r="D24" s="162">
        <v>2016</v>
      </c>
      <c r="E24" s="162">
        <v>2017</v>
      </c>
      <c r="F24" s="162">
        <v>2018</v>
      </c>
      <c r="G24" s="162">
        <v>2019</v>
      </c>
      <c r="H24" s="162">
        <v>2020</v>
      </c>
      <c r="I24" s="162">
        <v>2021</v>
      </c>
      <c r="J24" s="162">
        <v>2022</v>
      </c>
      <c r="K24" s="162">
        <v>2023</v>
      </c>
      <c r="L24" s="162">
        <v>2024</v>
      </c>
      <c r="M24" s="162">
        <v>2025</v>
      </c>
      <c r="N24" s="162">
        <v>2026</v>
      </c>
      <c r="O24" s="162">
        <v>2027</v>
      </c>
      <c r="P24" s="162">
        <v>2028</v>
      </c>
      <c r="Q24" s="162">
        <v>2029</v>
      </c>
      <c r="R24" s="162">
        <v>2030</v>
      </c>
      <c r="S24" s="162">
        <v>2031</v>
      </c>
      <c r="T24" s="162">
        <v>2032</v>
      </c>
      <c r="U24" s="162">
        <v>2033</v>
      </c>
      <c r="V24" s="162">
        <v>2034</v>
      </c>
      <c r="W24" s="163">
        <v>2035</v>
      </c>
    </row>
    <row r="25" spans="1:23">
      <c r="A25" s="159"/>
      <c r="B25" s="161" t="s">
        <v>231</v>
      </c>
      <c r="C25" s="177">
        <v>0.05</v>
      </c>
      <c r="D25" s="177">
        <v>0.2</v>
      </c>
      <c r="E25" s="177">
        <v>0.2</v>
      </c>
      <c r="F25" s="177">
        <v>0.2</v>
      </c>
      <c r="G25" s="177">
        <v>0.2</v>
      </c>
      <c r="H25" s="177">
        <v>0.15</v>
      </c>
      <c r="I25" s="177">
        <v>0</v>
      </c>
      <c r="J25" s="177">
        <v>0</v>
      </c>
      <c r="K25" s="177">
        <v>0</v>
      </c>
      <c r="L25" s="177">
        <v>0</v>
      </c>
      <c r="M25" s="177">
        <v>0</v>
      </c>
      <c r="N25" s="177">
        <v>0</v>
      </c>
      <c r="O25" s="177">
        <v>0</v>
      </c>
      <c r="P25" s="177">
        <v>0</v>
      </c>
      <c r="Q25" s="177">
        <v>0</v>
      </c>
      <c r="R25" s="177">
        <v>0</v>
      </c>
      <c r="S25" s="177">
        <v>0</v>
      </c>
      <c r="T25" s="177">
        <v>0</v>
      </c>
      <c r="U25" s="177">
        <v>0</v>
      </c>
      <c r="V25" s="177">
        <v>0</v>
      </c>
      <c r="W25" s="225">
        <v>0</v>
      </c>
    </row>
    <row r="26" spans="1:23">
      <c r="A26" s="159"/>
      <c r="B26" s="161" t="s">
        <v>237</v>
      </c>
      <c r="C26" s="177">
        <f>C25</f>
        <v>0.05</v>
      </c>
      <c r="D26" s="177">
        <f>C26+D25</f>
        <v>0.25</v>
      </c>
      <c r="E26" s="177">
        <f t="shared" ref="E26:W26" si="3">D26+E25</f>
        <v>0.45</v>
      </c>
      <c r="F26" s="177">
        <f t="shared" si="3"/>
        <v>0.65</v>
      </c>
      <c r="G26" s="177">
        <f t="shared" si="3"/>
        <v>0.85000000000000009</v>
      </c>
      <c r="H26" s="177">
        <f t="shared" si="3"/>
        <v>1</v>
      </c>
      <c r="I26" s="177">
        <f t="shared" si="3"/>
        <v>1</v>
      </c>
      <c r="J26" s="177">
        <f t="shared" si="3"/>
        <v>1</v>
      </c>
      <c r="K26" s="177">
        <f t="shared" si="3"/>
        <v>1</v>
      </c>
      <c r="L26" s="177">
        <f t="shared" si="3"/>
        <v>1</v>
      </c>
      <c r="M26" s="177">
        <f t="shared" si="3"/>
        <v>1</v>
      </c>
      <c r="N26" s="177">
        <f t="shared" si="3"/>
        <v>1</v>
      </c>
      <c r="O26" s="177">
        <f t="shared" si="3"/>
        <v>1</v>
      </c>
      <c r="P26" s="177">
        <f t="shared" si="3"/>
        <v>1</v>
      </c>
      <c r="Q26" s="177">
        <f t="shared" si="3"/>
        <v>1</v>
      </c>
      <c r="R26" s="177">
        <f t="shared" si="3"/>
        <v>1</v>
      </c>
      <c r="S26" s="177">
        <f t="shared" si="3"/>
        <v>1</v>
      </c>
      <c r="T26" s="177">
        <f t="shared" si="3"/>
        <v>1</v>
      </c>
      <c r="U26" s="177">
        <f t="shared" si="3"/>
        <v>1</v>
      </c>
      <c r="V26" s="177">
        <f t="shared" si="3"/>
        <v>1</v>
      </c>
      <c r="W26" s="225">
        <f t="shared" si="3"/>
        <v>1</v>
      </c>
    </row>
    <row r="27" spans="1:23">
      <c r="A27" s="159"/>
      <c r="B27" s="161" t="s">
        <v>232</v>
      </c>
      <c r="C27" s="177">
        <v>0.01</v>
      </c>
      <c r="D27" s="177">
        <v>0.01</v>
      </c>
      <c r="E27" s="177">
        <v>0.01</v>
      </c>
      <c r="F27" s="177">
        <v>0.01</v>
      </c>
      <c r="G27" s="177">
        <v>0.01</v>
      </c>
      <c r="H27" s="177">
        <v>0.01</v>
      </c>
      <c r="I27" s="177">
        <v>0.01</v>
      </c>
      <c r="J27" s="177">
        <v>0.01</v>
      </c>
      <c r="K27" s="177">
        <v>0.01</v>
      </c>
      <c r="L27" s="177">
        <v>0.01</v>
      </c>
      <c r="M27" s="177">
        <v>0.01</v>
      </c>
      <c r="N27" s="177">
        <v>0.01</v>
      </c>
      <c r="O27" s="177">
        <v>0.01</v>
      </c>
      <c r="P27" s="177">
        <v>0.01</v>
      </c>
      <c r="Q27" s="177">
        <v>0.01</v>
      </c>
      <c r="R27" s="177">
        <v>0.01</v>
      </c>
      <c r="S27" s="177">
        <v>0.01</v>
      </c>
      <c r="T27" s="177">
        <v>0.01</v>
      </c>
      <c r="U27" s="177">
        <v>0.01</v>
      </c>
      <c r="V27" s="177">
        <v>0.01</v>
      </c>
      <c r="W27" s="225">
        <v>0.01</v>
      </c>
    </row>
    <row r="28" spans="1:23" ht="13.8" thickBot="1">
      <c r="A28" s="164"/>
      <c r="B28" s="165" t="s">
        <v>243</v>
      </c>
      <c r="C28" s="226">
        <v>0.5</v>
      </c>
      <c r="D28" s="226">
        <f>C28-0.05</f>
        <v>0.45</v>
      </c>
      <c r="E28" s="226">
        <f>D28-0.05</f>
        <v>0.4</v>
      </c>
      <c r="F28" s="226">
        <f t="shared" ref="F28" si="4">E28-0.05</f>
        <v>0.35000000000000003</v>
      </c>
      <c r="G28" s="226">
        <f t="shared" ref="G28" si="5">F28-0.05</f>
        <v>0.30000000000000004</v>
      </c>
      <c r="H28" s="226">
        <v>0.3</v>
      </c>
      <c r="I28" s="226">
        <f>H28</f>
        <v>0.3</v>
      </c>
      <c r="J28" s="226">
        <f t="shared" ref="J28" si="6">I28</f>
        <v>0.3</v>
      </c>
      <c r="K28" s="226">
        <f t="shared" ref="K28" si="7">J28</f>
        <v>0.3</v>
      </c>
      <c r="L28" s="226">
        <f t="shared" ref="L28" si="8">K28</f>
        <v>0.3</v>
      </c>
      <c r="M28" s="226">
        <f t="shared" ref="M28" si="9">L28</f>
        <v>0.3</v>
      </c>
      <c r="N28" s="226">
        <f t="shared" ref="N28" si="10">M28</f>
        <v>0.3</v>
      </c>
      <c r="O28" s="226">
        <f t="shared" ref="O28" si="11">N28</f>
        <v>0.3</v>
      </c>
      <c r="P28" s="226">
        <f t="shared" ref="P28" si="12">O28</f>
        <v>0.3</v>
      </c>
      <c r="Q28" s="226">
        <f t="shared" ref="Q28" si="13">P28</f>
        <v>0.3</v>
      </c>
      <c r="R28" s="226">
        <f t="shared" ref="R28" si="14">Q28</f>
        <v>0.3</v>
      </c>
      <c r="S28" s="226">
        <f t="shared" ref="S28" si="15">R28</f>
        <v>0.3</v>
      </c>
      <c r="T28" s="226">
        <f t="shared" ref="T28" si="16">S28</f>
        <v>0.3</v>
      </c>
      <c r="U28" s="226">
        <f t="shared" ref="U28" si="17">T28</f>
        <v>0.3</v>
      </c>
      <c r="V28" s="226">
        <f t="shared" ref="V28" si="18">U28</f>
        <v>0.3</v>
      </c>
      <c r="W28" s="227">
        <f t="shared" ref="W28" si="19">V28</f>
        <v>0.3</v>
      </c>
    </row>
    <row r="29" spans="1:23" s="230" customFormat="1" ht="16.2" thickBot="1">
      <c r="A29" s="240"/>
      <c r="B29" s="240"/>
      <c r="C29" s="240"/>
      <c r="D29" s="241"/>
      <c r="E29" s="241"/>
      <c r="F29" s="241"/>
      <c r="G29" s="241"/>
      <c r="H29" s="241"/>
      <c r="I29" s="241"/>
      <c r="J29" s="241"/>
      <c r="K29" s="241"/>
      <c r="L29" s="241"/>
      <c r="M29" s="78"/>
      <c r="N29" s="78"/>
      <c r="O29" s="78"/>
      <c r="P29" s="78"/>
      <c r="Q29" s="78"/>
      <c r="R29" s="78"/>
      <c r="S29" s="78"/>
      <c r="T29" s="78"/>
      <c r="U29" s="78"/>
      <c r="V29" s="78"/>
      <c r="W29" s="78"/>
    </row>
    <row r="30" spans="1:23" ht="14.4" thickBot="1">
      <c r="A30" s="189" t="s">
        <v>240</v>
      </c>
      <c r="B30" s="190"/>
      <c r="C30" s="183"/>
      <c r="D30" s="183"/>
      <c r="E30" s="183"/>
      <c r="F30" s="183"/>
      <c r="G30" s="183"/>
      <c r="H30" s="183"/>
      <c r="I30" s="183"/>
      <c r="J30" s="183"/>
      <c r="K30" s="183"/>
      <c r="L30" s="183"/>
      <c r="M30" s="183"/>
      <c r="N30" s="183"/>
      <c r="O30" s="183"/>
      <c r="P30" s="183"/>
      <c r="Q30" s="183"/>
      <c r="R30" s="183"/>
      <c r="S30" s="183"/>
      <c r="T30" s="183"/>
      <c r="U30" s="183"/>
      <c r="V30" s="183"/>
      <c r="W30" s="184"/>
    </row>
    <row r="31" spans="1:23">
      <c r="A31" s="77" t="s">
        <v>212</v>
      </c>
      <c r="B31" s="77"/>
      <c r="F31" s="78"/>
      <c r="G31" s="78"/>
    </row>
    <row r="33" spans="1:23">
      <c r="A33" s="79"/>
      <c r="B33" s="210"/>
      <c r="C33" s="515" t="s">
        <v>213</v>
      </c>
      <c r="D33" s="516"/>
      <c r="E33" s="516"/>
      <c r="F33" s="516"/>
      <c r="G33" s="516"/>
      <c r="H33" s="516"/>
      <c r="I33" s="516"/>
      <c r="J33" s="516"/>
      <c r="K33" s="516"/>
      <c r="L33" s="516"/>
      <c r="M33" s="516"/>
      <c r="N33" s="516"/>
      <c r="O33" s="516"/>
      <c r="P33" s="516"/>
      <c r="Q33" s="516"/>
      <c r="R33" s="516"/>
      <c r="S33" s="516"/>
      <c r="T33" s="516"/>
      <c r="U33" s="516"/>
      <c r="V33" s="516"/>
      <c r="W33" s="517"/>
    </row>
    <row r="34" spans="1:23" ht="16.5" customHeight="1">
      <c r="A34" s="81" t="s">
        <v>214</v>
      </c>
      <c r="B34" s="82"/>
      <c r="C34" s="211">
        <v>2015</v>
      </c>
      <c r="D34" s="211">
        <v>2016</v>
      </c>
      <c r="E34" s="211">
        <v>2017</v>
      </c>
      <c r="F34" s="211">
        <v>2018</v>
      </c>
      <c r="G34" s="211">
        <v>2019</v>
      </c>
      <c r="H34" s="211">
        <v>2020</v>
      </c>
      <c r="I34" s="211">
        <v>2021</v>
      </c>
      <c r="J34" s="211">
        <v>2022</v>
      </c>
      <c r="K34" s="211">
        <v>2023</v>
      </c>
      <c r="L34" s="211">
        <v>2024</v>
      </c>
      <c r="M34" s="211">
        <v>2025</v>
      </c>
      <c r="N34" s="211">
        <v>2026</v>
      </c>
      <c r="O34" s="211">
        <v>2027</v>
      </c>
      <c r="P34" s="211">
        <v>2028</v>
      </c>
      <c r="Q34" s="211">
        <v>2029</v>
      </c>
      <c r="R34" s="211">
        <v>2030</v>
      </c>
      <c r="S34" s="211">
        <v>2031</v>
      </c>
      <c r="T34" s="211">
        <v>2032</v>
      </c>
      <c r="U34" s="211">
        <v>2033</v>
      </c>
      <c r="V34" s="211">
        <v>2034</v>
      </c>
      <c r="W34" s="211">
        <v>2035</v>
      </c>
    </row>
    <row r="35" spans="1:23">
      <c r="A35" s="84"/>
      <c r="B35" s="85"/>
      <c r="C35" s="84"/>
      <c r="D35" s="84"/>
      <c r="E35" s="84"/>
      <c r="F35" s="84"/>
      <c r="G35" s="84"/>
      <c r="H35" s="86"/>
      <c r="I35" s="84"/>
      <c r="J35" s="84"/>
      <c r="K35" s="84"/>
      <c r="L35" s="84"/>
      <c r="M35" s="84"/>
      <c r="N35" s="84"/>
      <c r="O35" s="84"/>
      <c r="P35" s="84"/>
      <c r="Q35" s="84"/>
      <c r="R35" s="84"/>
      <c r="S35" s="84"/>
      <c r="T35" s="84"/>
      <c r="U35" s="84"/>
      <c r="V35" s="84"/>
      <c r="W35" s="84"/>
    </row>
    <row r="36" spans="1:23">
      <c r="A36" s="169" t="s">
        <v>309</v>
      </c>
      <c r="B36" s="85"/>
      <c r="C36" s="88">
        <f>C46</f>
        <v>475.57954154130226</v>
      </c>
      <c r="D36" s="88">
        <f>D46-C46</f>
        <v>1695.784363161089</v>
      </c>
      <c r="E36" s="88">
        <f>E46-D46</f>
        <v>1353.5467312509336</v>
      </c>
      <c r="F36" s="88">
        <f t="shared" ref="F36:W36" si="20">F46-E46</f>
        <v>992.29763347257585</v>
      </c>
      <c r="G36" s="88">
        <f t="shared" si="20"/>
        <v>614.68711650085788</v>
      </c>
      <c r="H36" s="88">
        <f t="shared" si="20"/>
        <v>979.18360605240741</v>
      </c>
      <c r="I36" s="88">
        <f t="shared" si="20"/>
        <v>73.397708048102686</v>
      </c>
      <c r="J36" s="88">
        <f t="shared" si="20"/>
        <v>82.168769928231086</v>
      </c>
      <c r="K36" s="88">
        <f t="shared" si="20"/>
        <v>81.399255707579869</v>
      </c>
      <c r="L36" s="88">
        <f t="shared" si="20"/>
        <v>85.462600063954596</v>
      </c>
      <c r="M36" s="88">
        <f t="shared" si="20"/>
        <v>82.115242069128726</v>
      </c>
      <c r="N36" s="88">
        <f t="shared" si="20"/>
        <v>80.687107763703352</v>
      </c>
      <c r="O36" s="88">
        <f t="shared" si="20"/>
        <v>79.609082726790803</v>
      </c>
      <c r="P36" s="88">
        <f t="shared" si="20"/>
        <v>79.334262484283499</v>
      </c>
      <c r="Q36" s="88">
        <f t="shared" si="20"/>
        <v>78.880394930534749</v>
      </c>
      <c r="R36" s="88">
        <f t="shared" si="20"/>
        <v>75.533086157410253</v>
      </c>
      <c r="S36" s="88">
        <f t="shared" si="20"/>
        <v>78.172589416686606</v>
      </c>
      <c r="T36" s="88">
        <f t="shared" si="20"/>
        <v>81.367814624166385</v>
      </c>
      <c r="U36" s="88">
        <f t="shared" si="20"/>
        <v>81.836058772807519</v>
      </c>
      <c r="V36" s="88">
        <f t="shared" si="20"/>
        <v>79.982660980422224</v>
      </c>
      <c r="W36" s="88">
        <f t="shared" si="20"/>
        <v>80.877247418945444</v>
      </c>
    </row>
    <row r="37" spans="1:23">
      <c r="A37" s="169" t="s">
        <v>310</v>
      </c>
      <c r="B37" s="85"/>
      <c r="C37" s="88">
        <f>C47</f>
        <v>237.78977077065113</v>
      </c>
      <c r="D37" s="88">
        <f>D47-C47</f>
        <v>847.8921815805445</v>
      </c>
      <c r="E37" s="88">
        <f>E47-D47</f>
        <v>676.77336562546679</v>
      </c>
      <c r="F37" s="88">
        <f t="shared" ref="F37:W37" si="21">F47-E47</f>
        <v>496.14881673628793</v>
      </c>
      <c r="G37" s="88">
        <f t="shared" si="21"/>
        <v>307.34355825042894</v>
      </c>
      <c r="H37" s="88">
        <f t="shared" si="21"/>
        <v>489.59180302620371</v>
      </c>
      <c r="I37" s="88">
        <f t="shared" si="21"/>
        <v>36.698854024051343</v>
      </c>
      <c r="J37" s="88">
        <f t="shared" si="21"/>
        <v>41.084384964115543</v>
      </c>
      <c r="K37" s="88">
        <f t="shared" si="21"/>
        <v>40.699627853789934</v>
      </c>
      <c r="L37" s="88">
        <f t="shared" si="21"/>
        <v>42.731300031977298</v>
      </c>
      <c r="M37" s="88">
        <f t="shared" si="21"/>
        <v>41.057621034564363</v>
      </c>
      <c r="N37" s="88">
        <f t="shared" si="21"/>
        <v>40.343553881851676</v>
      </c>
      <c r="O37" s="88">
        <f t="shared" si="21"/>
        <v>39.804541363395401</v>
      </c>
      <c r="P37" s="88">
        <f t="shared" si="21"/>
        <v>39.66713124214175</v>
      </c>
      <c r="Q37" s="88">
        <f t="shared" si="21"/>
        <v>39.440197465267374</v>
      </c>
      <c r="R37" s="88">
        <f t="shared" si="21"/>
        <v>37.766543078705126</v>
      </c>
      <c r="S37" s="88">
        <f t="shared" si="21"/>
        <v>39.086294708343303</v>
      </c>
      <c r="T37" s="88">
        <f t="shared" si="21"/>
        <v>40.683907312083193</v>
      </c>
      <c r="U37" s="88">
        <f t="shared" si="21"/>
        <v>40.918029386403759</v>
      </c>
      <c r="V37" s="88">
        <f t="shared" si="21"/>
        <v>39.991330490211112</v>
      </c>
      <c r="W37" s="88">
        <f t="shared" si="21"/>
        <v>40.438623709472722</v>
      </c>
    </row>
    <row r="38" spans="1:23">
      <c r="A38" s="89"/>
      <c r="B38" s="90"/>
      <c r="C38" s="91"/>
      <c r="D38" s="92"/>
      <c r="E38" s="92"/>
      <c r="F38" s="92"/>
      <c r="G38" s="92"/>
      <c r="H38" s="92"/>
      <c r="I38" s="92"/>
      <c r="J38" s="92"/>
      <c r="K38" s="92"/>
      <c r="L38" s="92"/>
      <c r="M38" s="92"/>
      <c r="N38" s="92"/>
      <c r="O38" s="92"/>
      <c r="P38" s="92"/>
      <c r="Q38" s="92"/>
      <c r="R38" s="92"/>
      <c r="S38" s="92"/>
      <c r="T38" s="92"/>
      <c r="U38" s="92"/>
      <c r="V38" s="92"/>
      <c r="W38" s="92"/>
    </row>
    <row r="39" spans="1:23">
      <c r="A39" s="93" t="s">
        <v>216</v>
      </c>
      <c r="B39" s="94"/>
      <c r="C39" s="95">
        <f t="shared" ref="C39:W39" si="22">SUM(C36:C37)</f>
        <v>713.36931231195342</v>
      </c>
      <c r="D39" s="95">
        <f t="shared" si="22"/>
        <v>2543.6765447416337</v>
      </c>
      <c r="E39" s="95">
        <f t="shared" si="22"/>
        <v>2030.3200968764004</v>
      </c>
      <c r="F39" s="95">
        <f t="shared" si="22"/>
        <v>1488.4464502088638</v>
      </c>
      <c r="G39" s="95">
        <f t="shared" si="22"/>
        <v>922.03067475128682</v>
      </c>
      <c r="H39" s="95">
        <f t="shared" si="22"/>
        <v>1468.7754090786111</v>
      </c>
      <c r="I39" s="95">
        <f t="shared" si="22"/>
        <v>110.09656207215403</v>
      </c>
      <c r="J39" s="95">
        <f t="shared" si="22"/>
        <v>123.25315489234663</v>
      </c>
      <c r="K39" s="95">
        <f t="shared" si="22"/>
        <v>122.0988835613698</v>
      </c>
      <c r="L39" s="95">
        <f t="shared" si="22"/>
        <v>128.19390009593189</v>
      </c>
      <c r="M39" s="95">
        <f t="shared" si="22"/>
        <v>123.17286310369309</v>
      </c>
      <c r="N39" s="95">
        <f t="shared" si="22"/>
        <v>121.03066164555503</v>
      </c>
      <c r="O39" s="95">
        <f t="shared" si="22"/>
        <v>119.4136240901862</v>
      </c>
      <c r="P39" s="95">
        <f t="shared" si="22"/>
        <v>119.00139372642525</v>
      </c>
      <c r="Q39" s="95">
        <f t="shared" si="22"/>
        <v>118.32059239580212</v>
      </c>
      <c r="R39" s="95">
        <f t="shared" si="22"/>
        <v>113.29962923611538</v>
      </c>
      <c r="S39" s="95">
        <f t="shared" si="22"/>
        <v>117.25888412502991</v>
      </c>
      <c r="T39" s="95">
        <f t="shared" si="22"/>
        <v>122.05172193624958</v>
      </c>
      <c r="U39" s="95">
        <f t="shared" si="22"/>
        <v>122.75408815921128</v>
      </c>
      <c r="V39" s="95">
        <f t="shared" si="22"/>
        <v>119.97399147063334</v>
      </c>
      <c r="W39" s="95">
        <f t="shared" si="22"/>
        <v>121.31587112841817</v>
      </c>
    </row>
    <row r="40" spans="1:23">
      <c r="A40" s="96"/>
      <c r="B40" s="96"/>
      <c r="C40" s="97"/>
      <c r="D40" s="97"/>
      <c r="E40" s="97"/>
      <c r="F40" s="97"/>
      <c r="G40" s="97"/>
      <c r="H40" s="97"/>
      <c r="I40" s="97"/>
      <c r="J40" s="96"/>
      <c r="K40" s="96"/>
      <c r="L40" s="96"/>
    </row>
    <row r="41" spans="1:23">
      <c r="A41" s="98" t="s">
        <v>217</v>
      </c>
      <c r="B41" s="98"/>
      <c r="C41" s="99"/>
      <c r="D41" s="99"/>
      <c r="E41" s="99"/>
      <c r="F41" s="99"/>
      <c r="G41" s="99"/>
      <c r="H41" s="99"/>
      <c r="I41" s="99"/>
      <c r="J41" s="100"/>
      <c r="K41" s="100"/>
      <c r="L41" s="100"/>
    </row>
    <row r="42" spans="1:23">
      <c r="A42" s="98"/>
      <c r="B42" s="98"/>
      <c r="C42" s="99"/>
      <c r="D42" s="99"/>
      <c r="E42" s="99"/>
      <c r="F42" s="99"/>
      <c r="G42" s="99"/>
      <c r="H42" s="99"/>
      <c r="I42" s="99"/>
      <c r="J42" s="100"/>
      <c r="K42" s="100"/>
      <c r="L42" s="100"/>
    </row>
    <row r="43" spans="1:23">
      <c r="A43" s="509" t="s">
        <v>214</v>
      </c>
      <c r="B43" s="511"/>
      <c r="C43" s="515" t="s">
        <v>218</v>
      </c>
      <c r="D43" s="516"/>
      <c r="E43" s="516"/>
      <c r="F43" s="516"/>
      <c r="G43" s="516"/>
      <c r="H43" s="516"/>
      <c r="I43" s="516"/>
      <c r="J43" s="516"/>
      <c r="K43" s="516"/>
      <c r="L43" s="516"/>
      <c r="M43" s="516"/>
      <c r="N43" s="516"/>
      <c r="O43" s="516"/>
      <c r="P43" s="516"/>
      <c r="Q43" s="516"/>
      <c r="R43" s="516"/>
      <c r="S43" s="516"/>
      <c r="T43" s="516"/>
      <c r="U43" s="516"/>
      <c r="V43" s="516"/>
      <c r="W43" s="517"/>
    </row>
    <row r="44" spans="1:23">
      <c r="A44" s="510"/>
      <c r="B44" s="512"/>
      <c r="C44" s="211">
        <v>2015</v>
      </c>
      <c r="D44" s="211">
        <v>2016</v>
      </c>
      <c r="E44" s="211">
        <v>2017</v>
      </c>
      <c r="F44" s="211">
        <v>2018</v>
      </c>
      <c r="G44" s="211">
        <v>2019</v>
      </c>
      <c r="H44" s="211">
        <v>2020</v>
      </c>
      <c r="I44" s="211">
        <v>2021</v>
      </c>
      <c r="J44" s="211">
        <v>2022</v>
      </c>
      <c r="K44" s="211">
        <v>2023</v>
      </c>
      <c r="L44" s="211">
        <v>2024</v>
      </c>
      <c r="M44" s="211">
        <v>2025</v>
      </c>
      <c r="N44" s="211">
        <v>2026</v>
      </c>
      <c r="O44" s="211">
        <v>2027</v>
      </c>
      <c r="P44" s="211">
        <v>2028</v>
      </c>
      <c r="Q44" s="211">
        <v>2029</v>
      </c>
      <c r="R44" s="211">
        <v>2030</v>
      </c>
      <c r="S44" s="211">
        <v>2031</v>
      </c>
      <c r="T44" s="211">
        <v>2032</v>
      </c>
      <c r="U44" s="211">
        <v>2033</v>
      </c>
      <c r="V44" s="211">
        <v>2034</v>
      </c>
      <c r="W44" s="211">
        <v>2035</v>
      </c>
    </row>
    <row r="45" spans="1:23">
      <c r="A45" s="84"/>
      <c r="B45" s="87"/>
      <c r="C45" s="92"/>
      <c r="D45" s="92"/>
      <c r="E45" s="92"/>
      <c r="F45" s="92"/>
      <c r="G45" s="92"/>
      <c r="H45" s="92"/>
      <c r="I45" s="92"/>
      <c r="J45" s="92"/>
      <c r="K45" s="92"/>
      <c r="L45" s="92"/>
      <c r="M45" s="92"/>
      <c r="N45" s="92"/>
      <c r="O45" s="92"/>
      <c r="P45" s="92"/>
      <c r="Q45" s="92"/>
      <c r="R45" s="92"/>
      <c r="S45" s="92"/>
      <c r="T45" s="92"/>
      <c r="U45" s="92"/>
      <c r="V45" s="92"/>
      <c r="W45" s="92"/>
    </row>
    <row r="46" spans="1:23">
      <c r="A46" s="103" t="str">
        <f>+A36</f>
        <v>a. Space Cooling, Small - Switch</v>
      </c>
      <c r="B46" s="104"/>
      <c r="C46" s="92">
        <f t="shared" ref="C46:W46" si="23">C6*$C$9*$C$10*C17*C15*(1-C16)</f>
        <v>475.57954154130226</v>
      </c>
      <c r="D46" s="92">
        <f t="shared" si="23"/>
        <v>2171.3639047023912</v>
      </c>
      <c r="E46" s="92">
        <f t="shared" si="23"/>
        <v>3524.9106359533248</v>
      </c>
      <c r="F46" s="92">
        <f t="shared" si="23"/>
        <v>4517.2082694259007</v>
      </c>
      <c r="G46" s="92">
        <f t="shared" si="23"/>
        <v>5131.8953859267585</v>
      </c>
      <c r="H46" s="92">
        <f t="shared" si="23"/>
        <v>6111.0789919791659</v>
      </c>
      <c r="I46" s="92">
        <f t="shared" si="23"/>
        <v>6184.4767000272686</v>
      </c>
      <c r="J46" s="92">
        <f t="shared" si="23"/>
        <v>6266.6454699554997</v>
      </c>
      <c r="K46" s="92">
        <f t="shared" si="23"/>
        <v>6348.0447256630796</v>
      </c>
      <c r="L46" s="92">
        <f t="shared" si="23"/>
        <v>6433.5073257270342</v>
      </c>
      <c r="M46" s="92">
        <f t="shared" si="23"/>
        <v>6515.6225677961629</v>
      </c>
      <c r="N46" s="92">
        <f t="shared" si="23"/>
        <v>6596.3096755598663</v>
      </c>
      <c r="O46" s="92">
        <f t="shared" si="23"/>
        <v>6675.9187582866571</v>
      </c>
      <c r="P46" s="92">
        <f t="shared" si="23"/>
        <v>6755.2530207709406</v>
      </c>
      <c r="Q46" s="92">
        <f t="shared" si="23"/>
        <v>6834.1334157014753</v>
      </c>
      <c r="R46" s="92">
        <f t="shared" si="23"/>
        <v>6909.6665018588856</v>
      </c>
      <c r="S46" s="92">
        <f t="shared" si="23"/>
        <v>6987.8390912755722</v>
      </c>
      <c r="T46" s="92">
        <f t="shared" si="23"/>
        <v>7069.2069058997386</v>
      </c>
      <c r="U46" s="92">
        <f t="shared" si="23"/>
        <v>7151.0429646725461</v>
      </c>
      <c r="V46" s="92">
        <f t="shared" si="23"/>
        <v>7231.0256256529683</v>
      </c>
      <c r="W46" s="92">
        <f t="shared" si="23"/>
        <v>7311.9028730719137</v>
      </c>
    </row>
    <row r="47" spans="1:23">
      <c r="A47" s="103" t="str">
        <f>+A37</f>
        <v>b. Space Cooling, Medium - Switch</v>
      </c>
      <c r="B47" s="104"/>
      <c r="C47" s="92">
        <f>C6*$C$20*$C$21*C28*C26*(1-C27)</f>
        <v>237.78977077065113</v>
      </c>
      <c r="D47" s="92">
        <f t="shared" ref="D47:W47" si="24">D6*$C$20*$C$21*D28*D26*(1-D27)</f>
        <v>1085.6819523511956</v>
      </c>
      <c r="E47" s="92">
        <f t="shared" si="24"/>
        <v>1762.4553179766624</v>
      </c>
      <c r="F47" s="92">
        <f t="shared" si="24"/>
        <v>2258.6041347129503</v>
      </c>
      <c r="G47" s="92">
        <f t="shared" si="24"/>
        <v>2565.9476929633793</v>
      </c>
      <c r="H47" s="92">
        <f t="shared" si="24"/>
        <v>3055.539495989583</v>
      </c>
      <c r="I47" s="92">
        <f t="shared" si="24"/>
        <v>3092.2383500136343</v>
      </c>
      <c r="J47" s="92">
        <f t="shared" si="24"/>
        <v>3133.3227349777499</v>
      </c>
      <c r="K47" s="92">
        <f t="shared" si="24"/>
        <v>3174.0223628315398</v>
      </c>
      <c r="L47" s="92">
        <f t="shared" si="24"/>
        <v>3216.7536628635171</v>
      </c>
      <c r="M47" s="92">
        <f t="shared" si="24"/>
        <v>3257.8112838980815</v>
      </c>
      <c r="N47" s="92">
        <f t="shared" si="24"/>
        <v>3298.1548377799331</v>
      </c>
      <c r="O47" s="92">
        <f t="shared" si="24"/>
        <v>3337.9593791433285</v>
      </c>
      <c r="P47" s="92">
        <f t="shared" si="24"/>
        <v>3377.6265103854703</v>
      </c>
      <c r="Q47" s="92">
        <f t="shared" si="24"/>
        <v>3417.0667078507377</v>
      </c>
      <c r="R47" s="92">
        <f t="shared" si="24"/>
        <v>3454.8332509294428</v>
      </c>
      <c r="S47" s="92">
        <f t="shared" si="24"/>
        <v>3493.9195456377861</v>
      </c>
      <c r="T47" s="92">
        <f t="shared" si="24"/>
        <v>3534.6034529498693</v>
      </c>
      <c r="U47" s="92">
        <f t="shared" si="24"/>
        <v>3575.521482336273</v>
      </c>
      <c r="V47" s="92">
        <f t="shared" si="24"/>
        <v>3615.5128128264842</v>
      </c>
      <c r="W47" s="92">
        <f t="shared" si="24"/>
        <v>3655.9514365359569</v>
      </c>
    </row>
    <row r="48" spans="1:23">
      <c r="A48" s="87"/>
      <c r="B48" s="87"/>
      <c r="C48" s="105"/>
      <c r="D48" s="105"/>
      <c r="E48" s="105"/>
      <c r="F48" s="105"/>
      <c r="G48" s="105"/>
      <c r="H48" s="105"/>
      <c r="I48" s="105"/>
      <c r="J48" s="105"/>
      <c r="K48" s="105"/>
      <c r="L48" s="105"/>
      <c r="M48" s="105"/>
      <c r="N48" s="105"/>
      <c r="O48" s="105"/>
      <c r="P48" s="105"/>
      <c r="Q48" s="105"/>
      <c r="R48" s="105"/>
      <c r="S48" s="105"/>
      <c r="T48" s="105"/>
      <c r="U48" s="105"/>
      <c r="V48" s="105"/>
      <c r="W48" s="105"/>
    </row>
    <row r="49" spans="1:23">
      <c r="A49" s="93" t="s">
        <v>219</v>
      </c>
      <c r="B49" s="93"/>
      <c r="C49" s="95">
        <f t="shared" ref="C49:W49" si="25">SUM(C46:C47)</f>
        <v>713.36931231195342</v>
      </c>
      <c r="D49" s="95">
        <f t="shared" si="25"/>
        <v>3257.0458570535866</v>
      </c>
      <c r="E49" s="95">
        <f t="shared" si="25"/>
        <v>5287.365953929987</v>
      </c>
      <c r="F49" s="95">
        <f t="shared" si="25"/>
        <v>6775.812404138851</v>
      </c>
      <c r="G49" s="95">
        <f t="shared" si="25"/>
        <v>7697.8430788901378</v>
      </c>
      <c r="H49" s="95">
        <f t="shared" si="25"/>
        <v>9166.6184879687498</v>
      </c>
      <c r="I49" s="95">
        <f t="shared" si="25"/>
        <v>9276.7150500409025</v>
      </c>
      <c r="J49" s="95">
        <f t="shared" si="25"/>
        <v>9399.9682049332496</v>
      </c>
      <c r="K49" s="95">
        <f t="shared" si="25"/>
        <v>9522.0670884946194</v>
      </c>
      <c r="L49" s="95">
        <f t="shared" si="25"/>
        <v>9650.2609885905513</v>
      </c>
      <c r="M49" s="95">
        <f t="shared" si="25"/>
        <v>9773.4338516942444</v>
      </c>
      <c r="N49" s="95">
        <f t="shared" si="25"/>
        <v>9894.4645133397989</v>
      </c>
      <c r="O49" s="95">
        <f t="shared" si="25"/>
        <v>10013.878137429985</v>
      </c>
      <c r="P49" s="95">
        <f t="shared" si="25"/>
        <v>10132.87953115641</v>
      </c>
      <c r="Q49" s="95">
        <f t="shared" si="25"/>
        <v>10251.200123552213</v>
      </c>
      <c r="R49" s="95">
        <f t="shared" si="25"/>
        <v>10364.499752788328</v>
      </c>
      <c r="S49" s="95">
        <f t="shared" si="25"/>
        <v>10481.758636913359</v>
      </c>
      <c r="T49" s="95">
        <f t="shared" si="25"/>
        <v>10603.810358849609</v>
      </c>
      <c r="U49" s="95">
        <f t="shared" si="25"/>
        <v>10726.564447008819</v>
      </c>
      <c r="V49" s="95">
        <f t="shared" si="25"/>
        <v>10846.538438479452</v>
      </c>
      <c r="W49" s="95">
        <f t="shared" si="25"/>
        <v>10967.85430960787</v>
      </c>
    </row>
    <row r="51" spans="1:23">
      <c r="A51" s="77" t="s">
        <v>220</v>
      </c>
      <c r="B51" s="77"/>
      <c r="D51" s="223"/>
      <c r="E51" s="78"/>
      <c r="F51" s="78"/>
      <c r="G51" s="224"/>
    </row>
    <row r="52" spans="1:23">
      <c r="A52" s="77"/>
      <c r="B52" s="77"/>
      <c r="D52" s="223"/>
      <c r="E52" s="78"/>
      <c r="F52" s="78"/>
      <c r="G52" s="228"/>
    </row>
    <row r="53" spans="1:23" ht="12.75" customHeight="1">
      <c r="A53" s="106"/>
      <c r="B53" s="502" t="s">
        <v>242</v>
      </c>
      <c r="C53" s="507" t="s">
        <v>221</v>
      </c>
      <c r="D53" s="508"/>
      <c r="E53" s="508"/>
      <c r="F53" s="508"/>
      <c r="G53" s="508"/>
      <c r="H53" s="508"/>
      <c r="I53" s="508"/>
      <c r="J53" s="508"/>
      <c r="K53" s="508"/>
      <c r="L53" s="508"/>
      <c r="M53" s="508"/>
      <c r="N53" s="508"/>
      <c r="O53" s="508"/>
      <c r="P53" s="508"/>
      <c r="Q53" s="508"/>
      <c r="R53" s="508"/>
      <c r="S53" s="508"/>
      <c r="T53" s="508"/>
      <c r="U53" s="508"/>
      <c r="V53" s="508"/>
      <c r="W53" s="508"/>
    </row>
    <row r="54" spans="1:23">
      <c r="A54" s="212" t="s">
        <v>214</v>
      </c>
      <c r="B54" s="503"/>
      <c r="C54" s="211">
        <v>2015</v>
      </c>
      <c r="D54" s="211">
        <v>2016</v>
      </c>
      <c r="E54" s="211">
        <v>2017</v>
      </c>
      <c r="F54" s="211">
        <v>2018</v>
      </c>
      <c r="G54" s="211">
        <v>2019</v>
      </c>
      <c r="H54" s="211">
        <v>2020</v>
      </c>
      <c r="I54" s="211">
        <v>2021</v>
      </c>
      <c r="J54" s="211">
        <v>2022</v>
      </c>
      <c r="K54" s="211">
        <v>2023</v>
      </c>
      <c r="L54" s="211">
        <v>2024</v>
      </c>
      <c r="M54" s="211">
        <v>2025</v>
      </c>
      <c r="N54" s="211">
        <v>2026</v>
      </c>
      <c r="O54" s="211">
        <v>2027</v>
      </c>
      <c r="P54" s="211">
        <v>2028</v>
      </c>
      <c r="Q54" s="211">
        <v>2029</v>
      </c>
      <c r="R54" s="211">
        <v>2030</v>
      </c>
      <c r="S54" s="211">
        <v>2031</v>
      </c>
      <c r="T54" s="211">
        <v>2032</v>
      </c>
      <c r="U54" s="211">
        <v>2033</v>
      </c>
      <c r="V54" s="211">
        <v>2034</v>
      </c>
      <c r="W54" s="211">
        <v>2035</v>
      </c>
    </row>
    <row r="55" spans="1:23">
      <c r="A55" s="84"/>
      <c r="B55" s="84"/>
      <c r="C55" s="84"/>
      <c r="D55" s="108"/>
      <c r="E55" s="84"/>
      <c r="F55" s="84"/>
      <c r="G55" s="84"/>
      <c r="H55" s="84"/>
      <c r="I55" s="84"/>
      <c r="J55" s="84"/>
      <c r="K55" s="84"/>
      <c r="L55" s="84"/>
      <c r="M55" s="84"/>
      <c r="N55" s="84"/>
      <c r="O55" s="84"/>
      <c r="P55" s="84"/>
      <c r="Q55" s="84"/>
      <c r="R55" s="84"/>
      <c r="S55" s="84"/>
      <c r="T55" s="84"/>
      <c r="U55" s="84"/>
      <c r="V55" s="84"/>
      <c r="W55" s="84"/>
    </row>
    <row r="56" spans="1:23">
      <c r="A56" s="103" t="str">
        <f>+A36</f>
        <v>a. Space Cooling, Small - Switch</v>
      </c>
      <c r="B56" s="244">
        <f>KeyAssumptions!$J$8</f>
        <v>2.8</v>
      </c>
      <c r="C56" s="192">
        <f>$B56/1000*C46*$C$11</f>
        <v>1.2650415804998638</v>
      </c>
      <c r="D56" s="192">
        <f t="shared" ref="D56:W56" si="26">$B56/1000*D46*$C$11</f>
        <v>5.7758279865083599</v>
      </c>
      <c r="E56" s="192">
        <f t="shared" si="26"/>
        <v>9.3762622916358431</v>
      </c>
      <c r="F56" s="192">
        <f t="shared" si="26"/>
        <v>12.015773996672895</v>
      </c>
      <c r="G56" s="192">
        <f t="shared" si="26"/>
        <v>13.650841726565178</v>
      </c>
      <c r="H56" s="192">
        <f t="shared" si="26"/>
        <v>16.255470118664583</v>
      </c>
      <c r="I56" s="192">
        <f t="shared" si="26"/>
        <v>16.450708022072533</v>
      </c>
      <c r="J56" s="192">
        <f t="shared" si="26"/>
        <v>16.669276950081628</v>
      </c>
      <c r="K56" s="192">
        <f t="shared" si="26"/>
        <v>16.885798970263789</v>
      </c>
      <c r="L56" s="192">
        <f t="shared" si="26"/>
        <v>17.113129486433913</v>
      </c>
      <c r="M56" s="192">
        <f t="shared" si="26"/>
        <v>17.331556030337794</v>
      </c>
      <c r="N56" s="192">
        <f t="shared" si="26"/>
        <v>17.546183736989242</v>
      </c>
      <c r="O56" s="192">
        <f t="shared" si="26"/>
        <v>17.757943897042505</v>
      </c>
      <c r="P56" s="192">
        <f t="shared" si="26"/>
        <v>17.968973035250698</v>
      </c>
      <c r="Q56" s="192">
        <f t="shared" si="26"/>
        <v>18.178794885765921</v>
      </c>
      <c r="R56" s="192">
        <f t="shared" si="26"/>
        <v>18.379712894944635</v>
      </c>
      <c r="S56" s="192">
        <f t="shared" si="26"/>
        <v>18.58765198279302</v>
      </c>
      <c r="T56" s="192">
        <f t="shared" si="26"/>
        <v>18.804090369693306</v>
      </c>
      <c r="U56" s="192">
        <f t="shared" si="26"/>
        <v>19.021774286028972</v>
      </c>
      <c r="V56" s="192">
        <f t="shared" si="26"/>
        <v>19.234528164236895</v>
      </c>
      <c r="W56" s="192">
        <f t="shared" si="26"/>
        <v>19.449661642371289</v>
      </c>
    </row>
    <row r="57" spans="1:23">
      <c r="A57" s="103" t="str">
        <f>+A37</f>
        <v>b. Space Cooling, Medium - Switch</v>
      </c>
      <c r="B57" s="244">
        <f>KeyAssumptions!$J$9</f>
        <v>15</v>
      </c>
      <c r="C57" s="192">
        <f>$B57/1000*C47*$C$22</f>
        <v>3.3885042334817781</v>
      </c>
      <c r="D57" s="192">
        <f t="shared" ref="D57:W57" si="27">$B57/1000*D47*$C$22</f>
        <v>15.470967821004537</v>
      </c>
      <c r="E57" s="192">
        <f t="shared" si="27"/>
        <v>25.114988281167438</v>
      </c>
      <c r="F57" s="192">
        <f t="shared" si="27"/>
        <v>32.185108919659541</v>
      </c>
      <c r="G57" s="192">
        <f t="shared" si="27"/>
        <v>36.564754624728153</v>
      </c>
      <c r="H57" s="192">
        <f t="shared" si="27"/>
        <v>43.541437817851559</v>
      </c>
      <c r="I57" s="192">
        <f t="shared" si="27"/>
        <v>44.064396487694289</v>
      </c>
      <c r="J57" s="192">
        <f t="shared" si="27"/>
        <v>44.649848973432931</v>
      </c>
      <c r="K57" s="192">
        <f t="shared" si="27"/>
        <v>45.229818670349438</v>
      </c>
      <c r="L57" s="192">
        <f t="shared" si="27"/>
        <v>45.838739695805117</v>
      </c>
      <c r="M57" s="192">
        <f t="shared" si="27"/>
        <v>46.423810795547659</v>
      </c>
      <c r="N57" s="192">
        <f t="shared" si="27"/>
        <v>46.998706438364039</v>
      </c>
      <c r="O57" s="192">
        <f t="shared" si="27"/>
        <v>47.565921152792427</v>
      </c>
      <c r="P57" s="192">
        <f t="shared" si="27"/>
        <v>48.131177772992949</v>
      </c>
      <c r="Q57" s="192">
        <f t="shared" si="27"/>
        <v>48.693200586873004</v>
      </c>
      <c r="R57" s="192">
        <f t="shared" si="27"/>
        <v>49.231373825744555</v>
      </c>
      <c r="S57" s="192">
        <f t="shared" si="27"/>
        <v>49.788353525338451</v>
      </c>
      <c r="T57" s="192">
        <f t="shared" si="27"/>
        <v>50.368099204535632</v>
      </c>
      <c r="U57" s="192">
        <f t="shared" si="27"/>
        <v>50.951181123291889</v>
      </c>
      <c r="V57" s="192">
        <f t="shared" si="27"/>
        <v>51.521057582777395</v>
      </c>
      <c r="W57" s="192">
        <f t="shared" si="27"/>
        <v>52.097307970637381</v>
      </c>
    </row>
    <row r="58" spans="1:23">
      <c r="A58" s="87"/>
      <c r="B58" s="87"/>
      <c r="C58" s="109"/>
      <c r="D58" s="109"/>
      <c r="E58" s="109"/>
      <c r="F58" s="109"/>
      <c r="G58" s="109"/>
      <c r="H58" s="109"/>
      <c r="I58" s="109"/>
      <c r="J58" s="109"/>
      <c r="K58" s="109"/>
      <c r="L58" s="109"/>
      <c r="M58" s="109"/>
      <c r="N58" s="109"/>
      <c r="O58" s="109"/>
      <c r="P58" s="109"/>
      <c r="Q58" s="109"/>
      <c r="R58" s="109"/>
      <c r="S58" s="109"/>
      <c r="T58" s="109"/>
      <c r="U58" s="109"/>
      <c r="V58" s="109"/>
      <c r="W58" s="109"/>
    </row>
    <row r="59" spans="1:23">
      <c r="A59" s="110" t="s">
        <v>269</v>
      </c>
      <c r="B59" s="111"/>
      <c r="C59" s="112">
        <f>SUM(C56:C57)</f>
        <v>4.6535458139816424</v>
      </c>
      <c r="D59" s="112">
        <f t="shared" ref="D59:W59" si="28">SUM(D56:D57)</f>
        <v>21.246795807512896</v>
      </c>
      <c r="E59" s="112">
        <f t="shared" si="28"/>
        <v>34.491250572803281</v>
      </c>
      <c r="F59" s="112">
        <f t="shared" si="28"/>
        <v>44.200882916332432</v>
      </c>
      <c r="G59" s="112">
        <f t="shared" si="28"/>
        <v>50.215596351293328</v>
      </c>
      <c r="H59" s="112">
        <f t="shared" si="28"/>
        <v>59.796907936516142</v>
      </c>
      <c r="I59" s="112">
        <f t="shared" si="28"/>
        <v>60.515104509766822</v>
      </c>
      <c r="J59" s="112">
        <f t="shared" si="28"/>
        <v>61.319125923514562</v>
      </c>
      <c r="K59" s="112">
        <f t="shared" si="28"/>
        <v>62.115617640613223</v>
      </c>
      <c r="L59" s="112">
        <f t="shared" si="28"/>
        <v>62.951869182239029</v>
      </c>
      <c r="M59" s="112">
        <f t="shared" si="28"/>
        <v>63.755366825885453</v>
      </c>
      <c r="N59" s="112">
        <f t="shared" si="28"/>
        <v>64.544890175353288</v>
      </c>
      <c r="O59" s="112">
        <f t="shared" si="28"/>
        <v>65.323865049834936</v>
      </c>
      <c r="P59" s="112">
        <f t="shared" si="28"/>
        <v>66.100150808243654</v>
      </c>
      <c r="Q59" s="112">
        <f t="shared" si="28"/>
        <v>66.871995472638929</v>
      </c>
      <c r="R59" s="112">
        <f t="shared" si="28"/>
        <v>67.611086720689187</v>
      </c>
      <c r="S59" s="112">
        <f t="shared" si="28"/>
        <v>68.37600550813147</v>
      </c>
      <c r="T59" s="112">
        <f t="shared" si="28"/>
        <v>69.172189574228938</v>
      </c>
      <c r="U59" s="112">
        <f t="shared" si="28"/>
        <v>69.972955409320861</v>
      </c>
      <c r="V59" s="112">
        <f t="shared" si="28"/>
        <v>70.755585747014294</v>
      </c>
      <c r="W59" s="112">
        <f t="shared" si="28"/>
        <v>71.54696961300867</v>
      </c>
    </row>
    <row r="60" spans="1:23">
      <c r="A60" s="113"/>
      <c r="B60" s="113"/>
      <c r="C60" s="114"/>
      <c r="D60" s="114"/>
      <c r="E60" s="115"/>
      <c r="F60" s="115"/>
      <c r="G60" s="115"/>
      <c r="H60" s="115"/>
      <c r="I60" s="115"/>
      <c r="J60" s="115"/>
      <c r="K60" s="115"/>
      <c r="L60" s="115"/>
      <c r="M60" s="115"/>
      <c r="N60" s="115"/>
      <c r="O60" s="115"/>
      <c r="P60" s="115"/>
      <c r="Q60" s="115"/>
      <c r="R60" s="115"/>
      <c r="S60" s="115"/>
      <c r="T60" s="115"/>
      <c r="U60" s="115"/>
      <c r="V60" s="115"/>
      <c r="W60" s="115"/>
    </row>
    <row r="61" spans="1:23">
      <c r="A61" s="77" t="s">
        <v>277</v>
      </c>
      <c r="B61" s="113"/>
      <c r="C61" s="100"/>
      <c r="D61" s="125"/>
      <c r="E61" s="124"/>
      <c r="F61" s="124"/>
      <c r="G61" s="124"/>
      <c r="H61" s="124"/>
      <c r="I61" s="124"/>
      <c r="J61" s="124"/>
      <c r="K61" s="124"/>
      <c r="L61" s="124"/>
      <c r="M61" s="124"/>
      <c r="N61" s="124"/>
      <c r="O61" s="124"/>
      <c r="P61" s="124"/>
      <c r="Q61" s="124"/>
      <c r="R61" s="124"/>
      <c r="S61" s="124"/>
      <c r="T61" s="124"/>
      <c r="U61" s="124"/>
      <c r="V61" s="124"/>
      <c r="W61" s="124"/>
    </row>
    <row r="62" spans="1:23">
      <c r="A62" s="116"/>
      <c r="B62" s="113"/>
      <c r="C62" s="100"/>
      <c r="D62" s="124"/>
      <c r="E62" s="124"/>
      <c r="F62" s="124"/>
      <c r="G62" s="124"/>
      <c r="H62" s="124"/>
      <c r="I62" s="124"/>
      <c r="J62" s="124"/>
      <c r="K62" s="124"/>
      <c r="L62" s="124"/>
      <c r="M62" s="124"/>
      <c r="N62" s="124"/>
      <c r="O62" s="124"/>
      <c r="P62" s="124"/>
      <c r="Q62" s="124"/>
      <c r="R62" s="124"/>
      <c r="S62" s="124"/>
      <c r="T62" s="124"/>
      <c r="U62" s="124"/>
      <c r="V62" s="124"/>
      <c r="W62" s="124"/>
    </row>
    <row r="63" spans="1:23">
      <c r="A63" s="500" t="s">
        <v>214</v>
      </c>
      <c r="B63" s="502" t="s">
        <v>308</v>
      </c>
      <c r="C63" s="504" t="s">
        <v>222</v>
      </c>
      <c r="D63" s="504"/>
      <c r="E63" s="504"/>
      <c r="F63" s="504"/>
      <c r="G63" s="504"/>
      <c r="H63" s="504"/>
      <c r="I63" s="504"/>
      <c r="J63" s="504"/>
      <c r="K63" s="504"/>
      <c r="L63" s="504"/>
      <c r="M63" s="504"/>
      <c r="N63" s="504"/>
      <c r="O63" s="504"/>
      <c r="P63" s="504"/>
      <c r="Q63" s="504"/>
      <c r="R63" s="504"/>
      <c r="S63" s="504"/>
      <c r="T63" s="504"/>
      <c r="U63" s="504"/>
      <c r="V63" s="504"/>
      <c r="W63" s="504"/>
    </row>
    <row r="64" spans="1:23">
      <c r="A64" s="501"/>
      <c r="B64" s="503"/>
      <c r="C64" s="102">
        <v>2015</v>
      </c>
      <c r="D64" s="102">
        <v>2016</v>
      </c>
      <c r="E64" s="102">
        <v>2017</v>
      </c>
      <c r="F64" s="102">
        <v>2018</v>
      </c>
      <c r="G64" s="102">
        <v>2019</v>
      </c>
      <c r="H64" s="102">
        <v>2020</v>
      </c>
      <c r="I64" s="102">
        <v>2021</v>
      </c>
      <c r="J64" s="102">
        <v>2022</v>
      </c>
      <c r="K64" s="102">
        <v>2023</v>
      </c>
      <c r="L64" s="102">
        <v>2024</v>
      </c>
      <c r="M64" s="102">
        <v>2025</v>
      </c>
      <c r="N64" s="102">
        <v>2026</v>
      </c>
      <c r="O64" s="102">
        <v>2027</v>
      </c>
      <c r="P64" s="102">
        <v>2028</v>
      </c>
      <c r="Q64" s="102">
        <v>2029</v>
      </c>
      <c r="R64" s="102">
        <v>2030</v>
      </c>
      <c r="S64" s="102">
        <v>2031</v>
      </c>
      <c r="T64" s="102">
        <v>2032</v>
      </c>
      <c r="U64" s="102">
        <v>2033</v>
      </c>
      <c r="V64" s="102">
        <v>2034</v>
      </c>
      <c r="W64" s="102">
        <v>2035</v>
      </c>
    </row>
    <row r="65" spans="1:23">
      <c r="A65" s="126"/>
      <c r="B65" s="127"/>
      <c r="C65" s="78"/>
      <c r="D65" s="84"/>
      <c r="E65" s="84"/>
      <c r="F65" s="84"/>
      <c r="G65" s="84"/>
      <c r="H65" s="84"/>
      <c r="I65" s="84"/>
      <c r="J65" s="84"/>
      <c r="K65" s="84"/>
      <c r="L65" s="84"/>
      <c r="M65" s="84"/>
      <c r="N65" s="84"/>
      <c r="O65" s="84"/>
      <c r="P65" s="84"/>
      <c r="Q65" s="84"/>
      <c r="R65" s="84"/>
      <c r="S65" s="84"/>
      <c r="T65" s="84"/>
      <c r="U65" s="84"/>
      <c r="V65" s="84"/>
      <c r="W65" s="84"/>
    </row>
    <row r="66" spans="1:23">
      <c r="A66" s="87" t="str">
        <f>+A36</f>
        <v>a. Space Cooling, Small - Switch</v>
      </c>
      <c r="B66" s="235">
        <f>SUM(KeyAssumptions!F8:H8)</f>
        <v>268</v>
      </c>
      <c r="C66" s="119">
        <f t="shared" ref="C66:W66" si="29">MAX(0,($B$66*C36))</f>
        <v>127455.31713306901</v>
      </c>
      <c r="D66" s="119">
        <f t="shared" si="29"/>
        <v>454470.20932717185</v>
      </c>
      <c r="E66" s="119">
        <f t="shared" si="29"/>
        <v>362750.52397525019</v>
      </c>
      <c r="F66" s="119">
        <f t="shared" si="29"/>
        <v>265935.76577065035</v>
      </c>
      <c r="G66" s="119">
        <f t="shared" si="29"/>
        <v>164736.14722222992</v>
      </c>
      <c r="H66" s="119">
        <f t="shared" si="29"/>
        <v>262421.20642204519</v>
      </c>
      <c r="I66" s="119">
        <f t="shared" si="29"/>
        <v>19670.58575689152</v>
      </c>
      <c r="J66" s="119">
        <f t="shared" si="29"/>
        <v>22021.230340765931</v>
      </c>
      <c r="K66" s="119">
        <f t="shared" si="29"/>
        <v>21815.000529631405</v>
      </c>
      <c r="L66" s="119">
        <f t="shared" si="29"/>
        <v>22903.976817139832</v>
      </c>
      <c r="M66" s="119">
        <f t="shared" si="29"/>
        <v>22006.884874526499</v>
      </c>
      <c r="N66" s="119">
        <f t="shared" si="29"/>
        <v>21624.144880672498</v>
      </c>
      <c r="O66" s="119">
        <f t="shared" si="29"/>
        <v>21335.234170779935</v>
      </c>
      <c r="P66" s="119">
        <f t="shared" si="29"/>
        <v>21261.582345787978</v>
      </c>
      <c r="Q66" s="119">
        <f t="shared" si="29"/>
        <v>21139.945841383313</v>
      </c>
      <c r="R66" s="119">
        <f t="shared" si="29"/>
        <v>20242.867090185948</v>
      </c>
      <c r="S66" s="119">
        <f t="shared" si="29"/>
        <v>20950.25396367201</v>
      </c>
      <c r="T66" s="119">
        <f t="shared" si="29"/>
        <v>21806.574319276591</v>
      </c>
      <c r="U66" s="119">
        <f t="shared" si="29"/>
        <v>21932.063751112415</v>
      </c>
      <c r="V66" s="119">
        <f t="shared" si="29"/>
        <v>21435.353142753156</v>
      </c>
      <c r="W66" s="119">
        <f t="shared" si="29"/>
        <v>21675.102308277379</v>
      </c>
    </row>
    <row r="67" spans="1:23">
      <c r="A67" s="87" t="str">
        <f>A37</f>
        <v>b. Space Cooling, Medium - Switch</v>
      </c>
      <c r="B67" s="235">
        <f>SUM(KeyAssumptions!F9:H9)</f>
        <v>1000</v>
      </c>
      <c r="C67" s="119">
        <f t="shared" ref="C67:W67" si="30">MAX(0,($B$67*C37))</f>
        <v>237789.77077065114</v>
      </c>
      <c r="D67" s="119">
        <f t="shared" si="30"/>
        <v>847892.18158054445</v>
      </c>
      <c r="E67" s="119">
        <f t="shared" si="30"/>
        <v>676773.3656254668</v>
      </c>
      <c r="F67" s="119">
        <f t="shared" si="30"/>
        <v>496148.8167362879</v>
      </c>
      <c r="G67" s="119">
        <f t="shared" si="30"/>
        <v>307343.55825042893</v>
      </c>
      <c r="H67" s="119">
        <f t="shared" si="30"/>
        <v>489591.80302620371</v>
      </c>
      <c r="I67" s="119">
        <f t="shared" si="30"/>
        <v>36698.854024051339</v>
      </c>
      <c r="J67" s="119">
        <f t="shared" si="30"/>
        <v>41084.384964115539</v>
      </c>
      <c r="K67" s="119">
        <f t="shared" si="30"/>
        <v>40699.627853789934</v>
      </c>
      <c r="L67" s="119">
        <f t="shared" si="30"/>
        <v>42731.300031977298</v>
      </c>
      <c r="M67" s="119">
        <f t="shared" si="30"/>
        <v>41057.621034564363</v>
      </c>
      <c r="N67" s="119">
        <f t="shared" si="30"/>
        <v>40343.55388185168</v>
      </c>
      <c r="O67" s="119">
        <f t="shared" si="30"/>
        <v>39804.541363395401</v>
      </c>
      <c r="P67" s="119">
        <f t="shared" si="30"/>
        <v>39667.131242141753</v>
      </c>
      <c r="Q67" s="119">
        <f t="shared" si="30"/>
        <v>39440.197465267374</v>
      </c>
      <c r="R67" s="119">
        <f t="shared" si="30"/>
        <v>37766.54307870513</v>
      </c>
      <c r="S67" s="119">
        <f t="shared" si="30"/>
        <v>39086.294708343303</v>
      </c>
      <c r="T67" s="119">
        <f t="shared" si="30"/>
        <v>40683.907312083189</v>
      </c>
      <c r="U67" s="119">
        <f t="shared" si="30"/>
        <v>40918.029386403759</v>
      </c>
      <c r="V67" s="119">
        <f t="shared" si="30"/>
        <v>39991.330490211112</v>
      </c>
      <c r="W67" s="119">
        <f t="shared" si="30"/>
        <v>40438.623709472726</v>
      </c>
    </row>
    <row r="68" spans="1:23">
      <c r="A68" s="87"/>
      <c r="B68" s="128"/>
      <c r="C68" s="119"/>
      <c r="D68" s="119"/>
      <c r="E68" s="119"/>
      <c r="F68" s="119"/>
      <c r="G68" s="119"/>
      <c r="H68" s="119"/>
      <c r="I68" s="119"/>
      <c r="J68" s="119"/>
      <c r="K68" s="119"/>
      <c r="L68" s="119"/>
      <c r="M68" s="119"/>
      <c r="N68" s="119"/>
      <c r="O68" s="119"/>
      <c r="P68" s="119"/>
      <c r="Q68" s="119"/>
      <c r="R68" s="119"/>
      <c r="S68" s="119"/>
      <c r="T68" s="119"/>
      <c r="U68" s="119"/>
      <c r="V68" s="119"/>
      <c r="W68" s="119"/>
    </row>
    <row r="69" spans="1:23">
      <c r="A69" s="129" t="s">
        <v>280</v>
      </c>
      <c r="B69" s="110"/>
      <c r="C69" s="122">
        <f t="shared" ref="C69:W69" si="31">SUM(C66:C67)</f>
        <v>365245.08790372015</v>
      </c>
      <c r="D69" s="122">
        <f t="shared" si="31"/>
        <v>1302362.3909077162</v>
      </c>
      <c r="E69" s="122">
        <f t="shared" si="31"/>
        <v>1039523.889600717</v>
      </c>
      <c r="F69" s="122">
        <f t="shared" si="31"/>
        <v>762084.58250693826</v>
      </c>
      <c r="G69" s="122">
        <f t="shared" si="31"/>
        <v>472079.70547265885</v>
      </c>
      <c r="H69" s="122">
        <f t="shared" si="31"/>
        <v>752013.00944824889</v>
      </c>
      <c r="I69" s="122">
        <f t="shared" si="31"/>
        <v>56369.439780942863</v>
      </c>
      <c r="J69" s="122">
        <f t="shared" si="31"/>
        <v>63105.615304881474</v>
      </c>
      <c r="K69" s="122">
        <f t="shared" si="31"/>
        <v>62514.628383421339</v>
      </c>
      <c r="L69" s="122">
        <f t="shared" si="31"/>
        <v>65635.27684911713</v>
      </c>
      <c r="M69" s="122">
        <f t="shared" si="31"/>
        <v>63064.505909090862</v>
      </c>
      <c r="N69" s="122">
        <f t="shared" si="31"/>
        <v>61967.698762524175</v>
      </c>
      <c r="O69" s="122">
        <f t="shared" si="31"/>
        <v>61139.775534175336</v>
      </c>
      <c r="P69" s="122">
        <f t="shared" si="31"/>
        <v>60928.713587929728</v>
      </c>
      <c r="Q69" s="122">
        <f t="shared" si="31"/>
        <v>60580.143306650687</v>
      </c>
      <c r="R69" s="122">
        <f t="shared" si="31"/>
        <v>58009.410168891074</v>
      </c>
      <c r="S69" s="122">
        <f t="shared" si="31"/>
        <v>60036.548672015313</v>
      </c>
      <c r="T69" s="122">
        <f t="shared" si="31"/>
        <v>62490.481631359784</v>
      </c>
      <c r="U69" s="122">
        <f t="shared" si="31"/>
        <v>62850.093137516174</v>
      </c>
      <c r="V69" s="122">
        <f t="shared" si="31"/>
        <v>61426.683632964268</v>
      </c>
      <c r="W69" s="122">
        <f t="shared" si="31"/>
        <v>62113.726017750101</v>
      </c>
    </row>
    <row r="70" spans="1:23">
      <c r="A70" s="113"/>
      <c r="B70" s="113"/>
      <c r="C70" s="124"/>
      <c r="D70" s="124"/>
      <c r="E70" s="124"/>
      <c r="F70" s="124"/>
      <c r="G70" s="124"/>
      <c r="H70" s="124"/>
      <c r="I70" s="124"/>
      <c r="J70" s="124"/>
      <c r="K70" s="124"/>
      <c r="L70" s="124"/>
      <c r="M70" s="124"/>
      <c r="N70" s="124"/>
      <c r="O70" s="124"/>
      <c r="P70" s="124"/>
      <c r="Q70" s="124"/>
      <c r="R70" s="124"/>
      <c r="S70" s="124"/>
      <c r="T70" s="124"/>
      <c r="U70" s="124"/>
      <c r="V70" s="124"/>
      <c r="W70" s="124"/>
    </row>
    <row r="71" spans="1:23">
      <c r="A71" s="98" t="s">
        <v>278</v>
      </c>
      <c r="B71" s="98"/>
      <c r="C71" s="114"/>
      <c r="D71" s="130"/>
      <c r="E71" s="131"/>
      <c r="F71" s="132"/>
      <c r="G71" s="123"/>
      <c r="H71" s="133"/>
      <c r="I71" s="123"/>
      <c r="J71" s="78"/>
      <c r="L71" s="78"/>
    </row>
    <row r="72" spans="1:23">
      <c r="A72" s="113"/>
      <c r="B72" s="113"/>
      <c r="C72" s="114"/>
      <c r="D72" s="130"/>
      <c r="E72" s="131"/>
      <c r="F72" s="132"/>
      <c r="G72" s="123"/>
      <c r="H72" s="133"/>
      <c r="I72" s="123"/>
      <c r="J72" s="78"/>
      <c r="L72" s="78"/>
    </row>
    <row r="73" spans="1:23">
      <c r="A73" s="518" t="s">
        <v>214</v>
      </c>
      <c r="B73" s="497" t="s">
        <v>356</v>
      </c>
      <c r="C73" s="505" t="s">
        <v>223</v>
      </c>
      <c r="D73" s="505"/>
      <c r="E73" s="505"/>
      <c r="F73" s="505"/>
      <c r="G73" s="505"/>
      <c r="H73" s="505"/>
      <c r="I73" s="505"/>
      <c r="J73" s="505"/>
      <c r="K73" s="505"/>
      <c r="L73" s="505"/>
      <c r="M73" s="505"/>
      <c r="N73" s="505"/>
      <c r="O73" s="505"/>
      <c r="P73" s="505"/>
      <c r="Q73" s="505"/>
      <c r="R73" s="505"/>
      <c r="S73" s="505"/>
      <c r="T73" s="505"/>
      <c r="U73" s="505"/>
      <c r="V73" s="505"/>
      <c r="W73" s="505"/>
    </row>
    <row r="74" spans="1:23">
      <c r="A74" s="519"/>
      <c r="B74" s="497"/>
      <c r="C74" s="102">
        <v>2015</v>
      </c>
      <c r="D74" s="102">
        <v>2016</v>
      </c>
      <c r="E74" s="102">
        <v>2017</v>
      </c>
      <c r="F74" s="102">
        <v>2018</v>
      </c>
      <c r="G74" s="102">
        <v>2019</v>
      </c>
      <c r="H74" s="102">
        <v>2020</v>
      </c>
      <c r="I74" s="102">
        <v>2021</v>
      </c>
      <c r="J74" s="102">
        <v>2022</v>
      </c>
      <c r="K74" s="102">
        <v>2023</v>
      </c>
      <c r="L74" s="102">
        <v>2024</v>
      </c>
      <c r="M74" s="102">
        <v>2025</v>
      </c>
      <c r="N74" s="102">
        <v>2026</v>
      </c>
      <c r="O74" s="102">
        <v>2027</v>
      </c>
      <c r="P74" s="102">
        <v>2028</v>
      </c>
      <c r="Q74" s="102">
        <v>2029</v>
      </c>
      <c r="R74" s="102">
        <v>2030</v>
      </c>
      <c r="S74" s="102">
        <v>2031</v>
      </c>
      <c r="T74" s="102">
        <v>2032</v>
      </c>
      <c r="U74" s="102">
        <v>2033</v>
      </c>
      <c r="V74" s="102">
        <v>2034</v>
      </c>
      <c r="W74" s="102">
        <v>2035</v>
      </c>
    </row>
    <row r="75" spans="1:23">
      <c r="A75" s="134"/>
      <c r="B75" s="135"/>
      <c r="C75" s="135"/>
      <c r="D75" s="136"/>
      <c r="E75" s="136"/>
      <c r="F75" s="136"/>
      <c r="G75" s="136"/>
      <c r="H75" s="136"/>
      <c r="I75" s="136"/>
      <c r="J75" s="136"/>
      <c r="K75" s="136"/>
      <c r="L75" s="136"/>
      <c r="M75" s="136"/>
      <c r="N75" s="136"/>
      <c r="O75" s="136"/>
      <c r="P75" s="136"/>
      <c r="Q75" s="136"/>
      <c r="R75" s="136"/>
      <c r="S75" s="136"/>
      <c r="T75" s="136"/>
      <c r="U75" s="136"/>
      <c r="V75" s="136"/>
      <c r="W75" s="136"/>
    </row>
    <row r="76" spans="1:23">
      <c r="A76" s="138" t="str">
        <f>A36</f>
        <v>a. Space Cooling, Small - Switch</v>
      </c>
      <c r="B76" s="139">
        <f>KeyAssumptions!$I$8</f>
        <v>10</v>
      </c>
      <c r="C76" s="140">
        <f t="shared" ref="C76:W76" si="32">$B76*C56*1000</f>
        <v>12650.415804998638</v>
      </c>
      <c r="D76" s="140">
        <f t="shared" si="32"/>
        <v>57758.279865083598</v>
      </c>
      <c r="E76" s="140">
        <f t="shared" si="32"/>
        <v>93762.622916358421</v>
      </c>
      <c r="F76" s="140">
        <f t="shared" si="32"/>
        <v>120157.73996672894</v>
      </c>
      <c r="G76" s="140">
        <f t="shared" si="32"/>
        <v>136508.41726565178</v>
      </c>
      <c r="H76" s="140">
        <f t="shared" si="32"/>
        <v>162554.70118664583</v>
      </c>
      <c r="I76" s="140">
        <f t="shared" si="32"/>
        <v>164507.08022072533</v>
      </c>
      <c r="J76" s="140">
        <f t="shared" si="32"/>
        <v>166692.76950081627</v>
      </c>
      <c r="K76" s="140">
        <f t="shared" si="32"/>
        <v>168857.98970263789</v>
      </c>
      <c r="L76" s="140">
        <f t="shared" si="32"/>
        <v>171131.29486433911</v>
      </c>
      <c r="M76" s="140">
        <f t="shared" si="32"/>
        <v>173315.56030337795</v>
      </c>
      <c r="N76" s="140">
        <f t="shared" si="32"/>
        <v>175461.8373698924</v>
      </c>
      <c r="O76" s="140">
        <f t="shared" si="32"/>
        <v>177579.43897042505</v>
      </c>
      <c r="P76" s="140">
        <f t="shared" si="32"/>
        <v>179689.73035250697</v>
      </c>
      <c r="Q76" s="140">
        <f t="shared" si="32"/>
        <v>181787.94885765921</v>
      </c>
      <c r="R76" s="140">
        <f t="shared" si="32"/>
        <v>183797.12894944634</v>
      </c>
      <c r="S76" s="140">
        <f t="shared" si="32"/>
        <v>185876.5198279302</v>
      </c>
      <c r="T76" s="140">
        <f t="shared" si="32"/>
        <v>188040.90369693306</v>
      </c>
      <c r="U76" s="140">
        <f t="shared" si="32"/>
        <v>190217.74286028973</v>
      </c>
      <c r="V76" s="140">
        <f t="shared" si="32"/>
        <v>192345.28164236894</v>
      </c>
      <c r="W76" s="140">
        <f t="shared" si="32"/>
        <v>194496.6164237129</v>
      </c>
    </row>
    <row r="77" spans="1:23">
      <c r="A77" s="138" t="str">
        <f>A37</f>
        <v>b. Space Cooling, Medium - Switch</v>
      </c>
      <c r="B77" s="139">
        <f>KeyAssumptions!$I$9</f>
        <v>10</v>
      </c>
      <c r="C77" s="140">
        <f t="shared" ref="C77:W77" si="33">$B77*C57*1000</f>
        <v>33885.042334817779</v>
      </c>
      <c r="D77" s="140">
        <f t="shared" si="33"/>
        <v>154709.67821004539</v>
      </c>
      <c r="E77" s="140">
        <f t="shared" si="33"/>
        <v>251149.88281167438</v>
      </c>
      <c r="F77" s="140">
        <f t="shared" si="33"/>
        <v>321851.08919659542</v>
      </c>
      <c r="G77" s="140">
        <f t="shared" si="33"/>
        <v>365647.54624728154</v>
      </c>
      <c r="H77" s="140">
        <f t="shared" si="33"/>
        <v>435414.37817851559</v>
      </c>
      <c r="I77" s="140">
        <f t="shared" si="33"/>
        <v>440643.96487694292</v>
      </c>
      <c r="J77" s="140">
        <f t="shared" si="33"/>
        <v>446498.48973432934</v>
      </c>
      <c r="K77" s="140">
        <f t="shared" si="33"/>
        <v>452298.18670349434</v>
      </c>
      <c r="L77" s="140">
        <f t="shared" si="33"/>
        <v>458387.39695805119</v>
      </c>
      <c r="M77" s="140">
        <f t="shared" si="33"/>
        <v>464238.10795547662</v>
      </c>
      <c r="N77" s="140">
        <f t="shared" si="33"/>
        <v>469987.06438364036</v>
      </c>
      <c r="O77" s="140">
        <f t="shared" si="33"/>
        <v>475659.21152792429</v>
      </c>
      <c r="P77" s="140">
        <f t="shared" si="33"/>
        <v>481311.77772992948</v>
      </c>
      <c r="Q77" s="140">
        <f t="shared" si="33"/>
        <v>486932.00586873002</v>
      </c>
      <c r="R77" s="140">
        <f t="shared" si="33"/>
        <v>492313.73825744557</v>
      </c>
      <c r="S77" s="140">
        <f t="shared" si="33"/>
        <v>497883.5352533845</v>
      </c>
      <c r="T77" s="140">
        <f t="shared" si="33"/>
        <v>503680.99204535631</v>
      </c>
      <c r="U77" s="140">
        <f t="shared" si="33"/>
        <v>509511.81123291887</v>
      </c>
      <c r="V77" s="140">
        <f t="shared" si="33"/>
        <v>515210.57582777395</v>
      </c>
      <c r="W77" s="140">
        <f t="shared" si="33"/>
        <v>520973.0797063738</v>
      </c>
    </row>
    <row r="78" spans="1:23">
      <c r="A78" s="138"/>
      <c r="B78" s="141"/>
      <c r="C78" s="140"/>
      <c r="D78" s="140"/>
      <c r="E78" s="142"/>
      <c r="F78" s="143"/>
      <c r="G78" s="143"/>
      <c r="H78" s="143"/>
      <c r="I78" s="143"/>
      <c r="J78" s="143"/>
      <c r="K78" s="143"/>
      <c r="L78" s="143"/>
      <c r="M78" s="143"/>
      <c r="N78" s="143"/>
      <c r="O78" s="143"/>
      <c r="P78" s="143"/>
      <c r="Q78" s="143"/>
      <c r="R78" s="140"/>
      <c r="S78" s="140"/>
      <c r="T78" s="140"/>
      <c r="U78" s="140"/>
      <c r="V78" s="140"/>
      <c r="W78" s="140"/>
    </row>
    <row r="79" spans="1:23">
      <c r="A79" s="146" t="s">
        <v>224</v>
      </c>
      <c r="B79" s="147"/>
      <c r="C79" s="148">
        <f>SUM(C76:C77)</f>
        <v>46535.458139816415</v>
      </c>
      <c r="D79" s="148">
        <f t="shared" ref="D79:W79" si="34">SUM(D76:D77)</f>
        <v>212467.95807512899</v>
      </c>
      <c r="E79" s="148">
        <f t="shared" si="34"/>
        <v>344912.50572803279</v>
      </c>
      <c r="F79" s="148">
        <f t="shared" si="34"/>
        <v>442008.82916332438</v>
      </c>
      <c r="G79" s="148">
        <f t="shared" si="34"/>
        <v>502155.96351293335</v>
      </c>
      <c r="H79" s="148">
        <f t="shared" si="34"/>
        <v>597969.07936516148</v>
      </c>
      <c r="I79" s="148">
        <f t="shared" si="34"/>
        <v>605151.04509766819</v>
      </c>
      <c r="J79" s="148">
        <f t="shared" si="34"/>
        <v>613191.25923514564</v>
      </c>
      <c r="K79" s="148">
        <f t="shared" si="34"/>
        <v>621156.17640613229</v>
      </c>
      <c r="L79" s="148">
        <f t="shared" si="34"/>
        <v>629518.6918223903</v>
      </c>
      <c r="M79" s="148">
        <f t="shared" si="34"/>
        <v>637553.66825885454</v>
      </c>
      <c r="N79" s="148">
        <f t="shared" si="34"/>
        <v>645448.9017535327</v>
      </c>
      <c r="O79" s="148">
        <f t="shared" si="34"/>
        <v>653238.65049834934</v>
      </c>
      <c r="P79" s="148">
        <f t="shared" si="34"/>
        <v>661001.5080824364</v>
      </c>
      <c r="Q79" s="148">
        <f t="shared" si="34"/>
        <v>668719.95472638926</v>
      </c>
      <c r="R79" s="148">
        <f t="shared" si="34"/>
        <v>676110.86720689188</v>
      </c>
      <c r="S79" s="148">
        <f t="shared" si="34"/>
        <v>683760.05508131464</v>
      </c>
      <c r="T79" s="148">
        <f t="shared" si="34"/>
        <v>691721.89574228937</v>
      </c>
      <c r="U79" s="148">
        <f t="shared" si="34"/>
        <v>699729.55409320863</v>
      </c>
      <c r="V79" s="148">
        <f t="shared" si="34"/>
        <v>707555.85747014289</v>
      </c>
      <c r="W79" s="148">
        <f t="shared" si="34"/>
        <v>715469.69613008667</v>
      </c>
    </row>
    <row r="80" spans="1:23">
      <c r="A80" s="123"/>
      <c r="B80" s="123"/>
      <c r="C80" s="149"/>
      <c r="D80" s="149"/>
      <c r="E80" s="149"/>
      <c r="F80" s="149"/>
      <c r="G80" s="149"/>
      <c r="H80" s="149"/>
      <c r="I80" s="149"/>
      <c r="J80" s="149"/>
      <c r="K80" s="149"/>
      <c r="L80" s="149"/>
      <c r="M80" s="149"/>
      <c r="N80" s="149"/>
      <c r="O80" s="149"/>
      <c r="P80" s="149"/>
      <c r="Q80" s="149"/>
      <c r="R80" s="149"/>
      <c r="S80" s="149"/>
      <c r="T80" s="149"/>
      <c r="U80" s="149"/>
      <c r="V80" s="149"/>
      <c r="W80" s="149"/>
    </row>
    <row r="81" spans="1:23">
      <c r="A81" s="98" t="s">
        <v>312</v>
      </c>
      <c r="B81" s="98"/>
      <c r="C81" s="114"/>
      <c r="D81" s="130"/>
      <c r="E81" s="131"/>
      <c r="F81" s="193"/>
      <c r="G81" s="123"/>
      <c r="H81" s="133"/>
      <c r="I81" s="123"/>
      <c r="J81" s="78"/>
      <c r="L81" s="78"/>
    </row>
    <row r="82" spans="1:23">
      <c r="A82" s="113"/>
      <c r="B82" s="113"/>
      <c r="C82" s="114"/>
      <c r="D82" s="130"/>
      <c r="E82" s="131"/>
      <c r="F82" s="132"/>
      <c r="G82" s="123"/>
      <c r="H82" s="133"/>
      <c r="I82" s="123"/>
      <c r="J82" s="78"/>
      <c r="L82" s="78"/>
    </row>
    <row r="83" spans="1:23">
      <c r="A83" s="513" t="s">
        <v>214</v>
      </c>
      <c r="B83" s="514"/>
      <c r="C83" s="209">
        <v>2015</v>
      </c>
      <c r="D83" s="209">
        <v>2016</v>
      </c>
      <c r="E83" s="209">
        <v>2017</v>
      </c>
      <c r="F83" s="209">
        <v>2018</v>
      </c>
      <c r="G83" s="209">
        <v>2019</v>
      </c>
      <c r="H83" s="209">
        <v>2020</v>
      </c>
      <c r="I83" s="209">
        <v>2021</v>
      </c>
      <c r="J83" s="209">
        <v>2022</v>
      </c>
      <c r="K83" s="209">
        <v>2023</v>
      </c>
      <c r="L83" s="209">
        <v>2024</v>
      </c>
      <c r="M83" s="209">
        <v>2025</v>
      </c>
      <c r="N83" s="209">
        <v>2026</v>
      </c>
      <c r="O83" s="209">
        <v>2027</v>
      </c>
      <c r="P83" s="209">
        <v>2028</v>
      </c>
      <c r="Q83" s="209">
        <v>2029</v>
      </c>
      <c r="R83" s="209">
        <v>2030</v>
      </c>
      <c r="S83" s="209">
        <v>2031</v>
      </c>
      <c r="T83" s="209">
        <v>2032</v>
      </c>
      <c r="U83" s="209">
        <v>2033</v>
      </c>
      <c r="V83" s="209">
        <v>2034</v>
      </c>
      <c r="W83" s="209">
        <v>2035</v>
      </c>
    </row>
    <row r="84" spans="1:23">
      <c r="A84" s="146" t="s">
        <v>225</v>
      </c>
      <c r="B84" s="238"/>
      <c r="C84" s="151">
        <f t="shared" ref="C84:W84" si="35">C69</f>
        <v>365245.08790372015</v>
      </c>
      <c r="D84" s="151">
        <f t="shared" si="35"/>
        <v>1302362.3909077162</v>
      </c>
      <c r="E84" s="151">
        <f t="shared" si="35"/>
        <v>1039523.889600717</v>
      </c>
      <c r="F84" s="151">
        <f t="shared" si="35"/>
        <v>762084.58250693826</v>
      </c>
      <c r="G84" s="151">
        <f t="shared" si="35"/>
        <v>472079.70547265885</v>
      </c>
      <c r="H84" s="151">
        <f t="shared" si="35"/>
        <v>752013.00944824889</v>
      </c>
      <c r="I84" s="151">
        <f t="shared" si="35"/>
        <v>56369.439780942863</v>
      </c>
      <c r="J84" s="151">
        <f t="shared" si="35"/>
        <v>63105.615304881474</v>
      </c>
      <c r="K84" s="151">
        <f t="shared" si="35"/>
        <v>62514.628383421339</v>
      </c>
      <c r="L84" s="151">
        <f t="shared" si="35"/>
        <v>65635.27684911713</v>
      </c>
      <c r="M84" s="151">
        <f t="shared" si="35"/>
        <v>63064.505909090862</v>
      </c>
      <c r="N84" s="151">
        <f t="shared" si="35"/>
        <v>61967.698762524175</v>
      </c>
      <c r="O84" s="151">
        <f t="shared" si="35"/>
        <v>61139.775534175336</v>
      </c>
      <c r="P84" s="151">
        <f t="shared" si="35"/>
        <v>60928.713587929728</v>
      </c>
      <c r="Q84" s="151">
        <f t="shared" si="35"/>
        <v>60580.143306650687</v>
      </c>
      <c r="R84" s="151">
        <f t="shared" si="35"/>
        <v>58009.410168891074</v>
      </c>
      <c r="S84" s="151">
        <f t="shared" si="35"/>
        <v>60036.548672015313</v>
      </c>
      <c r="T84" s="151">
        <f t="shared" si="35"/>
        <v>62490.481631359784</v>
      </c>
      <c r="U84" s="151">
        <f t="shared" si="35"/>
        <v>62850.093137516174</v>
      </c>
      <c r="V84" s="151">
        <f t="shared" si="35"/>
        <v>61426.683632964268</v>
      </c>
      <c r="W84" s="151">
        <f t="shared" si="35"/>
        <v>62113.726017750101</v>
      </c>
    </row>
    <row r="85" spans="1:23">
      <c r="A85" s="146" t="s">
        <v>224</v>
      </c>
      <c r="B85" s="238"/>
      <c r="C85" s="151">
        <f t="shared" ref="C85:W85" si="36">C79</f>
        <v>46535.458139816415</v>
      </c>
      <c r="D85" s="151">
        <f t="shared" si="36"/>
        <v>212467.95807512899</v>
      </c>
      <c r="E85" s="151">
        <f t="shared" si="36"/>
        <v>344912.50572803279</v>
      </c>
      <c r="F85" s="151">
        <f t="shared" si="36"/>
        <v>442008.82916332438</v>
      </c>
      <c r="G85" s="151">
        <f t="shared" si="36"/>
        <v>502155.96351293335</v>
      </c>
      <c r="H85" s="151">
        <f t="shared" si="36"/>
        <v>597969.07936516148</v>
      </c>
      <c r="I85" s="151">
        <f t="shared" si="36"/>
        <v>605151.04509766819</v>
      </c>
      <c r="J85" s="151">
        <f t="shared" si="36"/>
        <v>613191.25923514564</v>
      </c>
      <c r="K85" s="151">
        <f t="shared" si="36"/>
        <v>621156.17640613229</v>
      </c>
      <c r="L85" s="151">
        <f t="shared" si="36"/>
        <v>629518.6918223903</v>
      </c>
      <c r="M85" s="151">
        <f t="shared" si="36"/>
        <v>637553.66825885454</v>
      </c>
      <c r="N85" s="151">
        <f t="shared" si="36"/>
        <v>645448.9017535327</v>
      </c>
      <c r="O85" s="151">
        <f t="shared" si="36"/>
        <v>653238.65049834934</v>
      </c>
      <c r="P85" s="151">
        <f t="shared" si="36"/>
        <v>661001.5080824364</v>
      </c>
      <c r="Q85" s="151">
        <f t="shared" si="36"/>
        <v>668719.95472638926</v>
      </c>
      <c r="R85" s="151">
        <f t="shared" si="36"/>
        <v>676110.86720689188</v>
      </c>
      <c r="S85" s="151">
        <f t="shared" si="36"/>
        <v>683760.05508131464</v>
      </c>
      <c r="T85" s="151">
        <f t="shared" si="36"/>
        <v>691721.89574228937</v>
      </c>
      <c r="U85" s="151">
        <f t="shared" si="36"/>
        <v>699729.55409320863</v>
      </c>
      <c r="V85" s="151">
        <f t="shared" si="36"/>
        <v>707555.85747014289</v>
      </c>
      <c r="W85" s="151">
        <f t="shared" si="36"/>
        <v>715469.69613008667</v>
      </c>
    </row>
    <row r="86" spans="1:23">
      <c r="A86" s="152" t="s">
        <v>226</v>
      </c>
      <c r="B86" s="238"/>
      <c r="C86" s="153">
        <f>SUM(C84:C85)</f>
        <v>411780.54604353657</v>
      </c>
      <c r="D86" s="153">
        <f t="shared" ref="D86:W86" si="37">SUM(D84:D85)</f>
        <v>1514830.3489828452</v>
      </c>
      <c r="E86" s="153">
        <f t="shared" si="37"/>
        <v>1384436.3953287499</v>
      </c>
      <c r="F86" s="153">
        <f t="shared" si="37"/>
        <v>1204093.4116702627</v>
      </c>
      <c r="G86" s="153">
        <f t="shared" si="37"/>
        <v>974235.6689855922</v>
      </c>
      <c r="H86" s="153">
        <f t="shared" si="37"/>
        <v>1349982.0888134104</v>
      </c>
      <c r="I86" s="153">
        <f t="shared" si="37"/>
        <v>661520.48487861105</v>
      </c>
      <c r="J86" s="153">
        <f t="shared" si="37"/>
        <v>676296.87454002711</v>
      </c>
      <c r="K86" s="153">
        <f t="shared" si="37"/>
        <v>683670.80478955363</v>
      </c>
      <c r="L86" s="153">
        <f t="shared" si="37"/>
        <v>695153.96867150743</v>
      </c>
      <c r="M86" s="153">
        <f t="shared" si="37"/>
        <v>700618.1741679454</v>
      </c>
      <c r="N86" s="153">
        <f t="shared" si="37"/>
        <v>707416.60051605687</v>
      </c>
      <c r="O86" s="153">
        <f t="shared" si="37"/>
        <v>714378.42603252467</v>
      </c>
      <c r="P86" s="153">
        <f t="shared" si="37"/>
        <v>721930.22167036613</v>
      </c>
      <c r="Q86" s="153">
        <f t="shared" si="37"/>
        <v>729300.09803303995</v>
      </c>
      <c r="R86" s="153">
        <f t="shared" si="37"/>
        <v>734120.27737578296</v>
      </c>
      <c r="S86" s="153">
        <f t="shared" si="37"/>
        <v>743796.60375332995</v>
      </c>
      <c r="T86" s="153">
        <f t="shared" si="37"/>
        <v>754212.37737364916</v>
      </c>
      <c r="U86" s="153">
        <f t="shared" si="37"/>
        <v>762579.6472307248</v>
      </c>
      <c r="V86" s="153">
        <f t="shared" si="37"/>
        <v>768982.54110310716</v>
      </c>
      <c r="W86" s="153">
        <f t="shared" si="37"/>
        <v>777583.42214783677</v>
      </c>
    </row>
    <row r="89" spans="1:23" s="70" customFormat="1" ht="14.4"/>
  </sheetData>
  <mergeCells count="15">
    <mergeCell ref="A1:W1"/>
    <mergeCell ref="C4:W4"/>
    <mergeCell ref="C33:W33"/>
    <mergeCell ref="C63:W63"/>
    <mergeCell ref="C73:W73"/>
    <mergeCell ref="A83:B83"/>
    <mergeCell ref="C43:W43"/>
    <mergeCell ref="B43:B44"/>
    <mergeCell ref="A43:A44"/>
    <mergeCell ref="B73:B74"/>
    <mergeCell ref="A73:A74"/>
    <mergeCell ref="A63:A64"/>
    <mergeCell ref="B63:B64"/>
    <mergeCell ref="B53:B54"/>
    <mergeCell ref="C53:W53"/>
  </mergeCells>
  <pageMargins left="0.75" right="0.75" top="1" bottom="1" header="0.5" footer="0.5"/>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W91"/>
  <sheetViews>
    <sheetView topLeftCell="A67" workbookViewId="0">
      <selection activeCell="C88" sqref="C88:W88"/>
    </sheetView>
  </sheetViews>
  <sheetFormatPr defaultRowHeight="13.2"/>
  <cols>
    <col min="1" max="1" width="39.44140625" style="76" customWidth="1"/>
    <col min="2" max="2" width="32.109375" style="76" customWidth="1"/>
    <col min="3" max="3" width="19.88671875" style="76" bestFit="1" customWidth="1"/>
    <col min="4" max="4" width="15" style="76" customWidth="1"/>
    <col min="5" max="5" width="17" style="76" bestFit="1" customWidth="1"/>
    <col min="6" max="7" width="13.88671875" style="76" bestFit="1" customWidth="1"/>
    <col min="8" max="8" width="13.6640625" style="76" customWidth="1"/>
    <col min="9" max="23" width="14.44140625" style="76" customWidth="1"/>
    <col min="24" max="255" width="9.109375" style="76"/>
    <col min="256" max="256" width="33.88671875" style="76" customWidth="1"/>
    <col min="257" max="257" width="19.33203125" style="76" customWidth="1"/>
    <col min="258" max="279" width="12.88671875" style="76" customWidth="1"/>
    <col min="280" max="511" width="9.109375" style="76"/>
    <col min="512" max="512" width="33.88671875" style="76" customWidth="1"/>
    <col min="513" max="513" width="19.33203125" style="76" customWidth="1"/>
    <col min="514" max="535" width="12.88671875" style="76" customWidth="1"/>
    <col min="536" max="767" width="9.109375" style="76"/>
    <col min="768" max="768" width="33.88671875" style="76" customWidth="1"/>
    <col min="769" max="769" width="19.33203125" style="76" customWidth="1"/>
    <col min="770" max="791" width="12.88671875" style="76" customWidth="1"/>
    <col min="792" max="1023" width="9.109375" style="76"/>
    <col min="1024" max="1024" width="33.88671875" style="76" customWidth="1"/>
    <col min="1025" max="1025" width="19.33203125" style="76" customWidth="1"/>
    <col min="1026" max="1047" width="12.88671875" style="76" customWidth="1"/>
    <col min="1048" max="1279" width="9.109375" style="76"/>
    <col min="1280" max="1280" width="33.88671875" style="76" customWidth="1"/>
    <col min="1281" max="1281" width="19.33203125" style="76" customWidth="1"/>
    <col min="1282" max="1303" width="12.88671875" style="76" customWidth="1"/>
    <col min="1304" max="1535" width="9.109375" style="76"/>
    <col min="1536" max="1536" width="33.88671875" style="76" customWidth="1"/>
    <col min="1537" max="1537" width="19.33203125" style="76" customWidth="1"/>
    <col min="1538" max="1559" width="12.88671875" style="76" customWidth="1"/>
    <col min="1560" max="1791" width="9.109375" style="76"/>
    <col min="1792" max="1792" width="33.88671875" style="76" customWidth="1"/>
    <col min="1793" max="1793" width="19.33203125" style="76" customWidth="1"/>
    <col min="1794" max="1815" width="12.88671875" style="76" customWidth="1"/>
    <col min="1816" max="2047" width="9.109375" style="76"/>
    <col min="2048" max="2048" width="33.88671875" style="76" customWidth="1"/>
    <col min="2049" max="2049" width="19.33203125" style="76" customWidth="1"/>
    <col min="2050" max="2071" width="12.88671875" style="76" customWidth="1"/>
    <col min="2072" max="2303" width="9.109375" style="76"/>
    <col min="2304" max="2304" width="33.88671875" style="76" customWidth="1"/>
    <col min="2305" max="2305" width="19.33203125" style="76" customWidth="1"/>
    <col min="2306" max="2327" width="12.88671875" style="76" customWidth="1"/>
    <col min="2328" max="2559" width="9.109375" style="76"/>
    <col min="2560" max="2560" width="33.88671875" style="76" customWidth="1"/>
    <col min="2561" max="2561" width="19.33203125" style="76" customWidth="1"/>
    <col min="2562" max="2583" width="12.88671875" style="76" customWidth="1"/>
    <col min="2584" max="2815" width="9.109375" style="76"/>
    <col min="2816" max="2816" width="33.88671875" style="76" customWidth="1"/>
    <col min="2817" max="2817" width="19.33203125" style="76" customWidth="1"/>
    <col min="2818" max="2839" width="12.88671875" style="76" customWidth="1"/>
    <col min="2840" max="3071" width="9.109375" style="76"/>
    <col min="3072" max="3072" width="33.88671875" style="76" customWidth="1"/>
    <col min="3073" max="3073" width="19.33203125" style="76" customWidth="1"/>
    <col min="3074" max="3095" width="12.88671875" style="76" customWidth="1"/>
    <col min="3096" max="3327" width="9.109375" style="76"/>
    <col min="3328" max="3328" width="33.88671875" style="76" customWidth="1"/>
    <col min="3329" max="3329" width="19.33203125" style="76" customWidth="1"/>
    <col min="3330" max="3351" width="12.88671875" style="76" customWidth="1"/>
    <col min="3352" max="3583" width="9.109375" style="76"/>
    <col min="3584" max="3584" width="33.88671875" style="76" customWidth="1"/>
    <col min="3585" max="3585" width="19.33203125" style="76" customWidth="1"/>
    <col min="3586" max="3607" width="12.88671875" style="76" customWidth="1"/>
    <col min="3608" max="3839" width="9.109375" style="76"/>
    <col min="3840" max="3840" width="33.88671875" style="76" customWidth="1"/>
    <col min="3841" max="3841" width="19.33203125" style="76" customWidth="1"/>
    <col min="3842" max="3863" width="12.88671875" style="76" customWidth="1"/>
    <col min="3864" max="4095" width="9.109375" style="76"/>
    <col min="4096" max="4096" width="33.88671875" style="76" customWidth="1"/>
    <col min="4097" max="4097" width="19.33203125" style="76" customWidth="1"/>
    <col min="4098" max="4119" width="12.88671875" style="76" customWidth="1"/>
    <col min="4120" max="4351" width="9.109375" style="76"/>
    <col min="4352" max="4352" width="33.88671875" style="76" customWidth="1"/>
    <col min="4353" max="4353" width="19.33203125" style="76" customWidth="1"/>
    <col min="4354" max="4375" width="12.88671875" style="76" customWidth="1"/>
    <col min="4376" max="4607" width="9.109375" style="76"/>
    <col min="4608" max="4608" width="33.88671875" style="76" customWidth="1"/>
    <col min="4609" max="4609" width="19.33203125" style="76" customWidth="1"/>
    <col min="4610" max="4631" width="12.88671875" style="76" customWidth="1"/>
    <col min="4632" max="4863" width="9.109375" style="76"/>
    <col min="4864" max="4864" width="33.88671875" style="76" customWidth="1"/>
    <col min="4865" max="4865" width="19.33203125" style="76" customWidth="1"/>
    <col min="4866" max="4887" width="12.88671875" style="76" customWidth="1"/>
    <col min="4888" max="5119" width="9.109375" style="76"/>
    <col min="5120" max="5120" width="33.88671875" style="76" customWidth="1"/>
    <col min="5121" max="5121" width="19.33203125" style="76" customWidth="1"/>
    <col min="5122" max="5143" width="12.88671875" style="76" customWidth="1"/>
    <col min="5144" max="5375" width="9.109375" style="76"/>
    <col min="5376" max="5376" width="33.88671875" style="76" customWidth="1"/>
    <col min="5377" max="5377" width="19.33203125" style="76" customWidth="1"/>
    <col min="5378" max="5399" width="12.88671875" style="76" customWidth="1"/>
    <col min="5400" max="5631" width="9.109375" style="76"/>
    <col min="5632" max="5632" width="33.88671875" style="76" customWidth="1"/>
    <col min="5633" max="5633" width="19.33203125" style="76" customWidth="1"/>
    <col min="5634" max="5655" width="12.88671875" style="76" customWidth="1"/>
    <col min="5656" max="5887" width="9.109375" style="76"/>
    <col min="5888" max="5888" width="33.88671875" style="76" customWidth="1"/>
    <col min="5889" max="5889" width="19.33203125" style="76" customWidth="1"/>
    <col min="5890" max="5911" width="12.88671875" style="76" customWidth="1"/>
    <col min="5912" max="6143" width="9.109375" style="76"/>
    <col min="6144" max="6144" width="33.88671875" style="76" customWidth="1"/>
    <col min="6145" max="6145" width="19.33203125" style="76" customWidth="1"/>
    <col min="6146" max="6167" width="12.88671875" style="76" customWidth="1"/>
    <col min="6168" max="6399" width="9.109375" style="76"/>
    <col min="6400" max="6400" width="33.88671875" style="76" customWidth="1"/>
    <col min="6401" max="6401" width="19.33203125" style="76" customWidth="1"/>
    <col min="6402" max="6423" width="12.88671875" style="76" customWidth="1"/>
    <col min="6424" max="6655" width="9.109375" style="76"/>
    <col min="6656" max="6656" width="33.88671875" style="76" customWidth="1"/>
    <col min="6657" max="6657" width="19.33203125" style="76" customWidth="1"/>
    <col min="6658" max="6679" width="12.88671875" style="76" customWidth="1"/>
    <col min="6680" max="6911" width="9.109375" style="76"/>
    <col min="6912" max="6912" width="33.88671875" style="76" customWidth="1"/>
    <col min="6913" max="6913" width="19.33203125" style="76" customWidth="1"/>
    <col min="6914" max="6935" width="12.88671875" style="76" customWidth="1"/>
    <col min="6936" max="7167" width="9.109375" style="76"/>
    <col min="7168" max="7168" width="33.88671875" style="76" customWidth="1"/>
    <col min="7169" max="7169" width="19.33203125" style="76" customWidth="1"/>
    <col min="7170" max="7191" width="12.88671875" style="76" customWidth="1"/>
    <col min="7192" max="7423" width="9.109375" style="76"/>
    <col min="7424" max="7424" width="33.88671875" style="76" customWidth="1"/>
    <col min="7425" max="7425" width="19.33203125" style="76" customWidth="1"/>
    <col min="7426" max="7447" width="12.88671875" style="76" customWidth="1"/>
    <col min="7448" max="7679" width="9.109375" style="76"/>
    <col min="7680" max="7680" width="33.88671875" style="76" customWidth="1"/>
    <col min="7681" max="7681" width="19.33203125" style="76" customWidth="1"/>
    <col min="7682" max="7703" width="12.88671875" style="76" customWidth="1"/>
    <col min="7704" max="7935" width="9.109375" style="76"/>
    <col min="7936" max="7936" width="33.88671875" style="76" customWidth="1"/>
    <col min="7937" max="7937" width="19.33203125" style="76" customWidth="1"/>
    <col min="7938" max="7959" width="12.88671875" style="76" customWidth="1"/>
    <col min="7960" max="8191" width="9.109375" style="76"/>
    <col min="8192" max="8192" width="33.88671875" style="76" customWidth="1"/>
    <col min="8193" max="8193" width="19.33203125" style="76" customWidth="1"/>
    <col min="8194" max="8215" width="12.88671875" style="76" customWidth="1"/>
    <col min="8216" max="8447" width="9.109375" style="76"/>
    <col min="8448" max="8448" width="33.88671875" style="76" customWidth="1"/>
    <col min="8449" max="8449" width="19.33203125" style="76" customWidth="1"/>
    <col min="8450" max="8471" width="12.88671875" style="76" customWidth="1"/>
    <col min="8472" max="8703" width="9.109375" style="76"/>
    <col min="8704" max="8704" width="33.88671875" style="76" customWidth="1"/>
    <col min="8705" max="8705" width="19.33203125" style="76" customWidth="1"/>
    <col min="8706" max="8727" width="12.88671875" style="76" customWidth="1"/>
    <col min="8728" max="8959" width="9.109375" style="76"/>
    <col min="8960" max="8960" width="33.88671875" style="76" customWidth="1"/>
    <col min="8961" max="8961" width="19.33203125" style="76" customWidth="1"/>
    <col min="8962" max="8983" width="12.88671875" style="76" customWidth="1"/>
    <col min="8984" max="9215" width="9.109375" style="76"/>
    <col min="9216" max="9216" width="33.88671875" style="76" customWidth="1"/>
    <col min="9217" max="9217" width="19.33203125" style="76" customWidth="1"/>
    <col min="9218" max="9239" width="12.88671875" style="76" customWidth="1"/>
    <col min="9240" max="9471" width="9.109375" style="76"/>
    <col min="9472" max="9472" width="33.88671875" style="76" customWidth="1"/>
    <col min="9473" max="9473" width="19.33203125" style="76" customWidth="1"/>
    <col min="9474" max="9495" width="12.88671875" style="76" customWidth="1"/>
    <col min="9496" max="9727" width="9.109375" style="76"/>
    <col min="9728" max="9728" width="33.88671875" style="76" customWidth="1"/>
    <col min="9729" max="9729" width="19.33203125" style="76" customWidth="1"/>
    <col min="9730" max="9751" width="12.88671875" style="76" customWidth="1"/>
    <col min="9752" max="9983" width="9.109375" style="76"/>
    <col min="9984" max="9984" width="33.88671875" style="76" customWidth="1"/>
    <col min="9985" max="9985" width="19.33203125" style="76" customWidth="1"/>
    <col min="9986" max="10007" width="12.88671875" style="76" customWidth="1"/>
    <col min="10008" max="10239" width="9.109375" style="76"/>
    <col min="10240" max="10240" width="33.88671875" style="76" customWidth="1"/>
    <col min="10241" max="10241" width="19.33203125" style="76" customWidth="1"/>
    <col min="10242" max="10263" width="12.88671875" style="76" customWidth="1"/>
    <col min="10264" max="10495" width="9.109375" style="76"/>
    <col min="10496" max="10496" width="33.88671875" style="76" customWidth="1"/>
    <col min="10497" max="10497" width="19.33203125" style="76" customWidth="1"/>
    <col min="10498" max="10519" width="12.88671875" style="76" customWidth="1"/>
    <col min="10520" max="10751" width="9.109375" style="76"/>
    <col min="10752" max="10752" width="33.88671875" style="76" customWidth="1"/>
    <col min="10753" max="10753" width="19.33203125" style="76" customWidth="1"/>
    <col min="10754" max="10775" width="12.88671875" style="76" customWidth="1"/>
    <col min="10776" max="11007" width="9.109375" style="76"/>
    <col min="11008" max="11008" width="33.88671875" style="76" customWidth="1"/>
    <col min="11009" max="11009" width="19.33203125" style="76" customWidth="1"/>
    <col min="11010" max="11031" width="12.88671875" style="76" customWidth="1"/>
    <col min="11032" max="11263" width="9.109375" style="76"/>
    <col min="11264" max="11264" width="33.88671875" style="76" customWidth="1"/>
    <col min="11265" max="11265" width="19.33203125" style="76" customWidth="1"/>
    <col min="11266" max="11287" width="12.88671875" style="76" customWidth="1"/>
    <col min="11288" max="11519" width="9.109375" style="76"/>
    <col min="11520" max="11520" width="33.88671875" style="76" customWidth="1"/>
    <col min="11521" max="11521" width="19.33203125" style="76" customWidth="1"/>
    <col min="11522" max="11543" width="12.88671875" style="76" customWidth="1"/>
    <col min="11544" max="11775" width="9.109375" style="76"/>
    <col min="11776" max="11776" width="33.88671875" style="76" customWidth="1"/>
    <col min="11777" max="11777" width="19.33203125" style="76" customWidth="1"/>
    <col min="11778" max="11799" width="12.88671875" style="76" customWidth="1"/>
    <col min="11800" max="12031" width="9.109375" style="76"/>
    <col min="12032" max="12032" width="33.88671875" style="76" customWidth="1"/>
    <col min="12033" max="12033" width="19.33203125" style="76" customWidth="1"/>
    <col min="12034" max="12055" width="12.88671875" style="76" customWidth="1"/>
    <col min="12056" max="12287" width="9.109375" style="76"/>
    <col min="12288" max="12288" width="33.88671875" style="76" customWidth="1"/>
    <col min="12289" max="12289" width="19.33203125" style="76" customWidth="1"/>
    <col min="12290" max="12311" width="12.88671875" style="76" customWidth="1"/>
    <col min="12312" max="12543" width="9.109375" style="76"/>
    <col min="12544" max="12544" width="33.88671875" style="76" customWidth="1"/>
    <col min="12545" max="12545" width="19.33203125" style="76" customWidth="1"/>
    <col min="12546" max="12567" width="12.88671875" style="76" customWidth="1"/>
    <col min="12568" max="12799" width="9.109375" style="76"/>
    <col min="12800" max="12800" width="33.88671875" style="76" customWidth="1"/>
    <col min="12801" max="12801" width="19.33203125" style="76" customWidth="1"/>
    <col min="12802" max="12823" width="12.88671875" style="76" customWidth="1"/>
    <col min="12824" max="13055" width="9.109375" style="76"/>
    <col min="13056" max="13056" width="33.88671875" style="76" customWidth="1"/>
    <col min="13057" max="13057" width="19.33203125" style="76" customWidth="1"/>
    <col min="13058" max="13079" width="12.88671875" style="76" customWidth="1"/>
    <col min="13080" max="13311" width="9.109375" style="76"/>
    <col min="13312" max="13312" width="33.88671875" style="76" customWidth="1"/>
    <col min="13313" max="13313" width="19.33203125" style="76" customWidth="1"/>
    <col min="13314" max="13335" width="12.88671875" style="76" customWidth="1"/>
    <col min="13336" max="13567" width="9.109375" style="76"/>
    <col min="13568" max="13568" width="33.88671875" style="76" customWidth="1"/>
    <col min="13569" max="13569" width="19.33203125" style="76" customWidth="1"/>
    <col min="13570" max="13591" width="12.88671875" style="76" customWidth="1"/>
    <col min="13592" max="13823" width="9.109375" style="76"/>
    <col min="13824" max="13824" width="33.88671875" style="76" customWidth="1"/>
    <col min="13825" max="13825" width="19.33203125" style="76" customWidth="1"/>
    <col min="13826" max="13847" width="12.88671875" style="76" customWidth="1"/>
    <col min="13848" max="14079" width="9.109375" style="76"/>
    <col min="14080" max="14080" width="33.88671875" style="76" customWidth="1"/>
    <col min="14081" max="14081" width="19.33203125" style="76" customWidth="1"/>
    <col min="14082" max="14103" width="12.88671875" style="76" customWidth="1"/>
    <col min="14104" max="14335" width="9.109375" style="76"/>
    <col min="14336" max="14336" width="33.88671875" style="76" customWidth="1"/>
    <col min="14337" max="14337" width="19.33203125" style="76" customWidth="1"/>
    <col min="14338" max="14359" width="12.88671875" style="76" customWidth="1"/>
    <col min="14360" max="14591" width="9.109375" style="76"/>
    <col min="14592" max="14592" width="33.88671875" style="76" customWidth="1"/>
    <col min="14593" max="14593" width="19.33203125" style="76" customWidth="1"/>
    <col min="14594" max="14615" width="12.88671875" style="76" customWidth="1"/>
    <col min="14616" max="14847" width="9.109375" style="76"/>
    <col min="14848" max="14848" width="33.88671875" style="76" customWidth="1"/>
    <col min="14849" max="14849" width="19.33203125" style="76" customWidth="1"/>
    <col min="14850" max="14871" width="12.88671875" style="76" customWidth="1"/>
    <col min="14872" max="15103" width="9.109375" style="76"/>
    <col min="15104" max="15104" width="33.88671875" style="76" customWidth="1"/>
    <col min="15105" max="15105" width="19.33203125" style="76" customWidth="1"/>
    <col min="15106" max="15127" width="12.88671875" style="76" customWidth="1"/>
    <col min="15128" max="15359" width="9.109375" style="76"/>
    <col min="15360" max="15360" width="33.88671875" style="76" customWidth="1"/>
    <col min="15361" max="15361" width="19.33203125" style="76" customWidth="1"/>
    <col min="15362" max="15383" width="12.88671875" style="76" customWidth="1"/>
    <col min="15384" max="15615" width="9.109375" style="76"/>
    <col min="15616" max="15616" width="33.88671875" style="76" customWidth="1"/>
    <col min="15617" max="15617" width="19.33203125" style="76" customWidth="1"/>
    <col min="15618" max="15639" width="12.88671875" style="76" customWidth="1"/>
    <col min="15640" max="15871" width="9.109375" style="76"/>
    <col min="15872" max="15872" width="33.88671875" style="76" customWidth="1"/>
    <col min="15873" max="15873" width="19.33203125" style="76" customWidth="1"/>
    <col min="15874" max="15895" width="12.88671875" style="76" customWidth="1"/>
    <col min="15896" max="16127" width="9.109375" style="76"/>
    <col min="16128" max="16128" width="33.88671875" style="76" customWidth="1"/>
    <col min="16129" max="16129" width="19.33203125" style="76" customWidth="1"/>
    <col min="16130" max="16151" width="12.88671875" style="76" customWidth="1"/>
    <col min="16152" max="16384" width="9.109375" style="76"/>
  </cols>
  <sheetData>
    <row r="1" spans="1:23" ht="16.2" thickBot="1">
      <c r="A1" s="494" t="s">
        <v>320</v>
      </c>
      <c r="B1" s="495"/>
      <c r="C1" s="495"/>
      <c r="D1" s="495"/>
      <c r="E1" s="495"/>
      <c r="F1" s="495"/>
      <c r="G1" s="495"/>
      <c r="H1" s="495"/>
      <c r="I1" s="495"/>
      <c r="J1" s="495"/>
      <c r="K1" s="495"/>
      <c r="L1" s="495"/>
      <c r="M1" s="495"/>
      <c r="N1" s="495"/>
      <c r="O1" s="495"/>
      <c r="P1" s="495"/>
      <c r="Q1" s="495"/>
      <c r="R1" s="495"/>
      <c r="S1" s="495"/>
      <c r="T1" s="495"/>
      <c r="U1" s="495"/>
      <c r="V1" s="495"/>
      <c r="W1" s="496"/>
    </row>
    <row r="2" spans="1:23" ht="16.2" thickBot="1">
      <c r="A2" s="181" t="s">
        <v>235</v>
      </c>
      <c r="B2" s="182"/>
      <c r="C2" s="182"/>
      <c r="D2" s="182"/>
      <c r="E2" s="182"/>
      <c r="F2" s="182"/>
      <c r="G2" s="182"/>
      <c r="H2" s="182"/>
      <c r="I2" s="182"/>
      <c r="J2" s="182"/>
      <c r="K2" s="182"/>
      <c r="L2" s="182"/>
      <c r="M2" s="183"/>
      <c r="N2" s="183"/>
      <c r="O2" s="183"/>
      <c r="P2" s="183"/>
      <c r="Q2" s="183"/>
      <c r="R2" s="183"/>
      <c r="S2" s="183"/>
      <c r="T2" s="183"/>
      <c r="U2" s="183"/>
      <c r="V2" s="183"/>
      <c r="W2" s="184"/>
    </row>
    <row r="3" spans="1:23" ht="15.6">
      <c r="A3" s="154" t="s">
        <v>233</v>
      </c>
      <c r="B3" s="155"/>
      <c r="C3" s="155"/>
      <c r="D3" s="156"/>
      <c r="E3" s="156"/>
      <c r="F3" s="156"/>
      <c r="G3" s="156"/>
      <c r="H3" s="156"/>
      <c r="I3" s="156"/>
      <c r="J3" s="156"/>
      <c r="K3" s="156"/>
      <c r="L3" s="156"/>
      <c r="M3" s="157"/>
      <c r="N3" s="157"/>
      <c r="O3" s="157"/>
      <c r="P3" s="157"/>
      <c r="Q3" s="157"/>
      <c r="R3" s="157"/>
      <c r="S3" s="157"/>
      <c r="T3" s="157"/>
      <c r="U3" s="157"/>
      <c r="V3" s="157"/>
      <c r="W3" s="158"/>
    </row>
    <row r="4" spans="1:23">
      <c r="A4" s="159"/>
      <c r="B4" s="160"/>
      <c r="C4" s="498" t="s">
        <v>230</v>
      </c>
      <c r="D4" s="498"/>
      <c r="E4" s="498"/>
      <c r="F4" s="498"/>
      <c r="G4" s="498"/>
      <c r="H4" s="498"/>
      <c r="I4" s="498"/>
      <c r="J4" s="498"/>
      <c r="K4" s="498"/>
      <c r="L4" s="498"/>
      <c r="M4" s="498"/>
      <c r="N4" s="498"/>
      <c r="O4" s="498"/>
      <c r="P4" s="498"/>
      <c r="Q4" s="498"/>
      <c r="R4" s="498"/>
      <c r="S4" s="498"/>
      <c r="T4" s="498"/>
      <c r="U4" s="498"/>
      <c r="V4" s="498"/>
      <c r="W4" s="499"/>
    </row>
    <row r="5" spans="1:23">
      <c r="A5" s="159"/>
      <c r="B5" s="161" t="s">
        <v>1</v>
      </c>
      <c r="C5" s="162">
        <v>2015</v>
      </c>
      <c r="D5" s="162">
        <v>2016</v>
      </c>
      <c r="E5" s="162">
        <v>2017</v>
      </c>
      <c r="F5" s="162">
        <v>2018</v>
      </c>
      <c r="G5" s="162">
        <v>2019</v>
      </c>
      <c r="H5" s="162">
        <v>2020</v>
      </c>
      <c r="I5" s="162">
        <v>2021</v>
      </c>
      <c r="J5" s="162">
        <v>2022</v>
      </c>
      <c r="K5" s="162">
        <v>2023</v>
      </c>
      <c r="L5" s="162">
        <v>2024</v>
      </c>
      <c r="M5" s="162">
        <v>2025</v>
      </c>
      <c r="N5" s="162">
        <v>2026</v>
      </c>
      <c r="O5" s="162">
        <v>2027</v>
      </c>
      <c r="P5" s="162">
        <v>2028</v>
      </c>
      <c r="Q5" s="162">
        <v>2029</v>
      </c>
      <c r="R5" s="162">
        <v>2030</v>
      </c>
      <c r="S5" s="162">
        <v>2031</v>
      </c>
      <c r="T5" s="162">
        <v>2032</v>
      </c>
      <c r="U5" s="162">
        <v>2033</v>
      </c>
      <c r="V5" s="162">
        <v>2034</v>
      </c>
      <c r="W5" s="163">
        <v>2035</v>
      </c>
    </row>
    <row r="6" spans="1:23" s="100" customFormat="1">
      <c r="A6" s="159"/>
      <c r="B6" s="161" t="s">
        <v>325</v>
      </c>
      <c r="C6" s="255">
        <f>'NW Customers'!B5-C7</f>
        <v>29279.767481969688</v>
      </c>
      <c r="D6" s="255">
        <f>'NW Customers'!C5-D7</f>
        <v>29707.394263233007</v>
      </c>
      <c r="E6" s="255">
        <f>'NW Customers'!D5-E7</f>
        <v>30141.16777539911</v>
      </c>
      <c r="F6" s="255">
        <f>'NW Customers'!E5-F7</f>
        <v>30561.39554703897</v>
      </c>
      <c r="G6" s="255">
        <f>'NW Customers'!F5-G7</f>
        <v>30975.767977234213</v>
      </c>
      <c r="H6" s="255">
        <f>'NW Customers'!G5-H7</f>
        <v>31353.145008649793</v>
      </c>
      <c r="I6" s="255">
        <f>'NW Customers'!H5-I7</f>
        <v>31729.715003368419</v>
      </c>
      <c r="J6" s="255">
        <f>'NW Customers'!I5-J7</f>
        <v>32151.285295967089</v>
      </c>
      <c r="K6" s="255">
        <f>'NW Customers'!J5-K7</f>
        <v>32568.907563842458</v>
      </c>
      <c r="L6" s="255">
        <f>'NW Customers'!K5-L7</f>
        <v>33007.376988986252</v>
      </c>
      <c r="M6" s="255">
        <f>'NW Customers'!L5-M7</f>
        <v>33428.672654676862</v>
      </c>
      <c r="N6" s="255">
        <f>'NW Customers'!M5-N7</f>
        <v>33842.64121789857</v>
      </c>
      <c r="O6" s="255">
        <f>'NW Customers'!N5-O7</f>
        <v>34251.07892881913</v>
      </c>
      <c r="P6" s="255">
        <f>'NW Customers'!O5-P7</f>
        <v>34658.106663052095</v>
      </c>
      <c r="Q6" s="255">
        <f>'NW Customers'!P5-Q7</f>
        <v>35062.805810918224</v>
      </c>
      <c r="R6" s="255">
        <f>'NW Customers'!Q5-R7</f>
        <v>35450.331451865175</v>
      </c>
      <c r="S6" s="255">
        <f>'NW Customers'!R5-S7</f>
        <v>35851.399174095553</v>
      </c>
      <c r="T6" s="255">
        <f>'NW Customers'!S5-T7</f>
        <v>36268.860132184433</v>
      </c>
      <c r="U6" s="255">
        <f>'NW Customers'!T5-U7</f>
        <v>36688.723436358341</v>
      </c>
      <c r="V6" s="255">
        <f>'NW Customers'!U5-V7</f>
        <v>37099.077806051202</v>
      </c>
      <c r="W6" s="256">
        <f>'NW Customers'!V5-W7</f>
        <v>37514.021888684547</v>
      </c>
    </row>
    <row r="7" spans="1:23" ht="13.8" thickBot="1">
      <c r="A7" s="159"/>
      <c r="B7" s="254" t="s">
        <v>324</v>
      </c>
      <c r="C7" s="257">
        <f>C8*0.15</f>
        <v>5167.0177909358272</v>
      </c>
      <c r="D7" s="257">
        <f t="shared" ref="D7:V7" si="0">D8*0.15</f>
        <v>5242.4813405705299</v>
      </c>
      <c r="E7" s="257">
        <f t="shared" si="0"/>
        <v>5319.029607423372</v>
      </c>
      <c r="F7" s="257">
        <f t="shared" si="0"/>
        <v>5393.1874494774656</v>
      </c>
      <c r="G7" s="257">
        <f t="shared" si="0"/>
        <v>5466.3119959825081</v>
      </c>
      <c r="H7" s="257">
        <f t="shared" si="0"/>
        <v>5532.9079427029046</v>
      </c>
      <c r="I7" s="257">
        <f t="shared" si="0"/>
        <v>5599.3614711826622</v>
      </c>
      <c r="J7" s="257">
        <f t="shared" si="0"/>
        <v>5673.7562287000737</v>
      </c>
      <c r="K7" s="257">
        <f t="shared" si="0"/>
        <v>5747.454275972198</v>
      </c>
      <c r="L7" s="257">
        <f t="shared" si="0"/>
        <v>5824.8312333505155</v>
      </c>
      <c r="M7" s="257">
        <f t="shared" si="0"/>
        <v>5899.1775272959176</v>
      </c>
      <c r="N7" s="257">
        <f t="shared" si="0"/>
        <v>5972.2308031585708</v>
      </c>
      <c r="O7" s="257">
        <f t="shared" si="0"/>
        <v>6044.3080462621983</v>
      </c>
      <c r="P7" s="257">
        <f t="shared" si="0"/>
        <v>6116.1364699503692</v>
      </c>
      <c r="Q7" s="257">
        <f t="shared" si="0"/>
        <v>6187.5539666326276</v>
      </c>
      <c r="R7" s="257">
        <f t="shared" si="0"/>
        <v>6255.9408444467945</v>
      </c>
      <c r="S7" s="257">
        <f t="shared" si="0"/>
        <v>6326.71750131098</v>
      </c>
      <c r="T7" s="257">
        <f t="shared" si="0"/>
        <v>6400.3870821501932</v>
      </c>
      <c r="U7" s="257">
        <f t="shared" si="0"/>
        <v>6474.4806064161785</v>
      </c>
      <c r="V7" s="257">
        <f t="shared" si="0"/>
        <v>6546.8960834208001</v>
      </c>
      <c r="W7" s="257">
        <f>W8*0.15</f>
        <v>6620.1215097678605</v>
      </c>
    </row>
    <row r="8" spans="1:23" ht="13.8" thickBot="1">
      <c r="A8" s="258"/>
      <c r="B8" s="261" t="s">
        <v>323</v>
      </c>
      <c r="C8" s="259">
        <f>'NW Customers'!B5</f>
        <v>34446.785272905516</v>
      </c>
      <c r="D8" s="259">
        <f>'NW Customers'!C5</f>
        <v>34949.875603803535</v>
      </c>
      <c r="E8" s="259">
        <f>'NW Customers'!D5</f>
        <v>35460.19738282248</v>
      </c>
      <c r="F8" s="259">
        <f>'NW Customers'!E5</f>
        <v>35954.582996516438</v>
      </c>
      <c r="G8" s="259">
        <f>'NW Customers'!F5</f>
        <v>36442.079973216722</v>
      </c>
      <c r="H8" s="259">
        <f>'NW Customers'!G5</f>
        <v>36886.0529513527</v>
      </c>
      <c r="I8" s="259">
        <f>'NW Customers'!H5</f>
        <v>37329.076474551082</v>
      </c>
      <c r="J8" s="259">
        <f>'NW Customers'!I5</f>
        <v>37825.041524667162</v>
      </c>
      <c r="K8" s="259">
        <f>'NW Customers'!J5</f>
        <v>38316.361839814657</v>
      </c>
      <c r="L8" s="259">
        <f>'NW Customers'!K5</f>
        <v>38832.208222336769</v>
      </c>
      <c r="M8" s="259">
        <f>'NW Customers'!L5</f>
        <v>39327.850181972783</v>
      </c>
      <c r="N8" s="259">
        <f>'NW Customers'!M5</f>
        <v>39814.872021057141</v>
      </c>
      <c r="O8" s="259">
        <f>'NW Customers'!N5</f>
        <v>40295.386975081325</v>
      </c>
      <c r="P8" s="259">
        <f>'NW Customers'!O5</f>
        <v>40774.243133002463</v>
      </c>
      <c r="Q8" s="259">
        <f>'NW Customers'!P5</f>
        <v>41250.359777550853</v>
      </c>
      <c r="R8" s="259">
        <f>'NW Customers'!Q5</f>
        <v>41706.272296311967</v>
      </c>
      <c r="S8" s="259">
        <f>'NW Customers'!R5</f>
        <v>42178.116675406534</v>
      </c>
      <c r="T8" s="259">
        <f>'NW Customers'!S5</f>
        <v>42669.247214334624</v>
      </c>
      <c r="U8" s="259">
        <f>'NW Customers'!T5</f>
        <v>43163.204042774523</v>
      </c>
      <c r="V8" s="259">
        <f>'NW Customers'!U5</f>
        <v>43645.973889471999</v>
      </c>
      <c r="W8" s="260">
        <f>'NW Customers'!V5</f>
        <v>44134.143398452405</v>
      </c>
    </row>
    <row r="9" spans="1:23" s="230" customFormat="1" ht="16.2" thickBot="1">
      <c r="A9" s="242"/>
      <c r="B9" s="242"/>
      <c r="C9" s="242"/>
      <c r="D9" s="243"/>
      <c r="E9" s="243"/>
      <c r="F9" s="243"/>
      <c r="G9" s="243"/>
      <c r="H9" s="243"/>
      <c r="I9" s="243"/>
      <c r="J9" s="243"/>
      <c r="K9" s="243"/>
      <c r="L9" s="243"/>
    </row>
    <row r="10" spans="1:23" ht="15.6">
      <c r="A10" s="154" t="s">
        <v>313</v>
      </c>
      <c r="B10" s="155"/>
      <c r="C10" s="155"/>
      <c r="D10" s="156"/>
      <c r="E10" s="156"/>
      <c r="F10" s="156"/>
      <c r="G10" s="156"/>
      <c r="H10" s="156"/>
      <c r="I10" s="156"/>
      <c r="J10" s="156"/>
      <c r="K10" s="156"/>
      <c r="L10" s="156"/>
      <c r="M10" s="157"/>
      <c r="N10" s="157"/>
      <c r="O10" s="157"/>
      <c r="P10" s="157"/>
      <c r="Q10" s="157"/>
      <c r="R10" s="157"/>
      <c r="S10" s="157"/>
      <c r="T10" s="157"/>
      <c r="U10" s="157"/>
      <c r="V10" s="157"/>
      <c r="W10" s="158"/>
    </row>
    <row r="11" spans="1:23" ht="15.6">
      <c r="A11" s="188"/>
      <c r="B11" s="161" t="s">
        <v>241</v>
      </c>
      <c r="C11" s="177">
        <f>KeyAssumptions!K11</f>
        <v>0.7</v>
      </c>
      <c r="D11" s="166"/>
      <c r="E11" s="166"/>
      <c r="F11" s="166"/>
      <c r="G11" s="166"/>
      <c r="H11" s="166"/>
      <c r="I11" s="166"/>
      <c r="J11" s="166"/>
      <c r="K11" s="166"/>
      <c r="L11" s="166"/>
      <c r="M11" s="167"/>
      <c r="N11" s="167"/>
      <c r="O11" s="167"/>
      <c r="P11" s="167"/>
      <c r="Q11" s="167"/>
      <c r="R11" s="167"/>
      <c r="S11" s="167"/>
      <c r="T11" s="167"/>
      <c r="U11" s="167"/>
      <c r="V11" s="167"/>
      <c r="W11" s="168"/>
    </row>
    <row r="12" spans="1:23" ht="15.6">
      <c r="A12" s="188"/>
      <c r="B12" s="161" t="s">
        <v>207</v>
      </c>
      <c r="C12" s="177">
        <f>KeyAssumptions!L11</f>
        <v>0.2</v>
      </c>
      <c r="D12" s="166"/>
      <c r="E12" s="166"/>
      <c r="F12" s="166"/>
      <c r="G12" s="166"/>
      <c r="H12" s="166"/>
      <c r="I12" s="166"/>
      <c r="J12" s="166"/>
      <c r="K12" s="166"/>
      <c r="L12" s="166"/>
      <c r="M12" s="167"/>
      <c r="N12" s="167"/>
      <c r="O12" s="167"/>
      <c r="P12" s="167"/>
      <c r="Q12" s="167"/>
      <c r="R12" s="167"/>
      <c r="S12" s="167"/>
      <c r="T12" s="167"/>
      <c r="U12" s="167"/>
      <c r="V12" s="167"/>
      <c r="W12" s="168"/>
    </row>
    <row r="13" spans="1:23" ht="15.75" customHeight="1">
      <c r="A13" s="188"/>
      <c r="B13" s="191" t="s">
        <v>355</v>
      </c>
      <c r="C13" s="177">
        <v>0.95</v>
      </c>
      <c r="D13" s="166"/>
      <c r="E13" s="166"/>
      <c r="F13" s="166"/>
      <c r="G13" s="166"/>
      <c r="H13" s="166"/>
      <c r="I13" s="166"/>
      <c r="J13" s="166"/>
      <c r="K13" s="166"/>
      <c r="L13" s="166"/>
      <c r="M13" s="167"/>
      <c r="N13" s="167"/>
      <c r="O13" s="167"/>
      <c r="P13" s="167"/>
      <c r="Q13" s="167"/>
      <c r="R13" s="167"/>
      <c r="S13" s="167"/>
      <c r="T13" s="167"/>
      <c r="U13" s="167"/>
      <c r="V13" s="167"/>
      <c r="W13" s="168"/>
    </row>
    <row r="14" spans="1:23" ht="15.6">
      <c r="A14" s="188"/>
      <c r="B14" s="160"/>
      <c r="C14" s="160"/>
      <c r="D14" s="166"/>
      <c r="E14" s="166"/>
      <c r="F14" s="166"/>
      <c r="G14" s="166"/>
      <c r="H14" s="166"/>
      <c r="I14" s="166"/>
      <c r="J14" s="166"/>
      <c r="K14" s="166"/>
      <c r="L14" s="166"/>
      <c r="M14" s="167"/>
      <c r="N14" s="167"/>
      <c r="O14" s="167"/>
      <c r="P14" s="167"/>
      <c r="Q14" s="167"/>
      <c r="R14" s="167"/>
      <c r="S14" s="167"/>
      <c r="T14" s="167"/>
      <c r="U14" s="167"/>
      <c r="V14" s="167"/>
      <c r="W14" s="168"/>
    </row>
    <row r="15" spans="1:23">
      <c r="A15" s="159"/>
      <c r="B15" s="161" t="s">
        <v>1</v>
      </c>
      <c r="C15" s="162">
        <v>2015</v>
      </c>
      <c r="D15" s="162">
        <v>2016</v>
      </c>
      <c r="E15" s="162">
        <v>2017</v>
      </c>
      <c r="F15" s="162">
        <v>2018</v>
      </c>
      <c r="G15" s="162">
        <v>2019</v>
      </c>
      <c r="H15" s="162">
        <v>2020</v>
      </c>
      <c r="I15" s="162">
        <v>2021</v>
      </c>
      <c r="J15" s="162">
        <v>2022</v>
      </c>
      <c r="K15" s="162">
        <v>2023</v>
      </c>
      <c r="L15" s="162">
        <v>2024</v>
      </c>
      <c r="M15" s="162">
        <v>2025</v>
      </c>
      <c r="N15" s="162">
        <v>2026</v>
      </c>
      <c r="O15" s="162">
        <v>2027</v>
      </c>
      <c r="P15" s="162">
        <v>2028</v>
      </c>
      <c r="Q15" s="162">
        <v>2029</v>
      </c>
      <c r="R15" s="162">
        <v>2030</v>
      </c>
      <c r="S15" s="162">
        <v>2031</v>
      </c>
      <c r="T15" s="162">
        <v>2032</v>
      </c>
      <c r="U15" s="162">
        <v>2033</v>
      </c>
      <c r="V15" s="162">
        <v>2034</v>
      </c>
      <c r="W15" s="163">
        <v>2035</v>
      </c>
    </row>
    <row r="16" spans="1:23">
      <c r="A16" s="159"/>
      <c r="B16" s="161" t="s">
        <v>231</v>
      </c>
      <c r="C16" s="177">
        <v>0.05</v>
      </c>
      <c r="D16" s="177">
        <v>0.2</v>
      </c>
      <c r="E16" s="177">
        <v>0.2</v>
      </c>
      <c r="F16" s="177">
        <v>0.2</v>
      </c>
      <c r="G16" s="177">
        <v>0.2</v>
      </c>
      <c r="H16" s="177">
        <v>0.15</v>
      </c>
      <c r="I16" s="177">
        <v>0</v>
      </c>
      <c r="J16" s="177">
        <v>0</v>
      </c>
      <c r="K16" s="177">
        <v>0</v>
      </c>
      <c r="L16" s="177">
        <v>0</v>
      </c>
      <c r="M16" s="177">
        <v>0</v>
      </c>
      <c r="N16" s="177">
        <v>0</v>
      </c>
      <c r="O16" s="177">
        <v>0</v>
      </c>
      <c r="P16" s="177">
        <v>0</v>
      </c>
      <c r="Q16" s="177">
        <v>0</v>
      </c>
      <c r="R16" s="177">
        <v>0</v>
      </c>
      <c r="S16" s="177">
        <v>0</v>
      </c>
      <c r="T16" s="177">
        <v>0</v>
      </c>
      <c r="U16" s="177">
        <v>0</v>
      </c>
      <c r="V16" s="177">
        <v>0</v>
      </c>
      <c r="W16" s="225">
        <v>0</v>
      </c>
    </row>
    <row r="17" spans="1:23">
      <c r="A17" s="159"/>
      <c r="B17" s="161" t="s">
        <v>237</v>
      </c>
      <c r="C17" s="177">
        <f>C16</f>
        <v>0.05</v>
      </c>
      <c r="D17" s="177">
        <f>C17+D16</f>
        <v>0.25</v>
      </c>
      <c r="E17" s="177">
        <f t="shared" ref="E17:W17" si="1">D17+E16</f>
        <v>0.45</v>
      </c>
      <c r="F17" s="177">
        <f t="shared" si="1"/>
        <v>0.65</v>
      </c>
      <c r="G17" s="177">
        <f t="shared" si="1"/>
        <v>0.85000000000000009</v>
      </c>
      <c r="H17" s="177">
        <f t="shared" si="1"/>
        <v>1</v>
      </c>
      <c r="I17" s="177">
        <f t="shared" si="1"/>
        <v>1</v>
      </c>
      <c r="J17" s="177">
        <f t="shared" si="1"/>
        <v>1</v>
      </c>
      <c r="K17" s="177">
        <f t="shared" si="1"/>
        <v>1</v>
      </c>
      <c r="L17" s="177">
        <f t="shared" si="1"/>
        <v>1</v>
      </c>
      <c r="M17" s="177">
        <f t="shared" si="1"/>
        <v>1</v>
      </c>
      <c r="N17" s="177">
        <f t="shared" si="1"/>
        <v>1</v>
      </c>
      <c r="O17" s="177">
        <f t="shared" si="1"/>
        <v>1</v>
      </c>
      <c r="P17" s="177">
        <f t="shared" si="1"/>
        <v>1</v>
      </c>
      <c r="Q17" s="177">
        <f t="shared" si="1"/>
        <v>1</v>
      </c>
      <c r="R17" s="177">
        <f t="shared" si="1"/>
        <v>1</v>
      </c>
      <c r="S17" s="177">
        <f t="shared" si="1"/>
        <v>1</v>
      </c>
      <c r="T17" s="177">
        <f t="shared" si="1"/>
        <v>1</v>
      </c>
      <c r="U17" s="177">
        <f t="shared" si="1"/>
        <v>1</v>
      </c>
      <c r="V17" s="177">
        <f t="shared" si="1"/>
        <v>1</v>
      </c>
      <c r="W17" s="225">
        <f t="shared" si="1"/>
        <v>1</v>
      </c>
    </row>
    <row r="18" spans="1:23">
      <c r="A18" s="159"/>
      <c r="B18" s="161" t="s">
        <v>232</v>
      </c>
      <c r="C18" s="177">
        <v>0.01</v>
      </c>
      <c r="D18" s="177">
        <v>0.01</v>
      </c>
      <c r="E18" s="177">
        <v>0.01</v>
      </c>
      <c r="F18" s="177">
        <v>0.01</v>
      </c>
      <c r="G18" s="177">
        <v>0.01</v>
      </c>
      <c r="H18" s="177">
        <v>0.01</v>
      </c>
      <c r="I18" s="177">
        <v>0.01</v>
      </c>
      <c r="J18" s="177">
        <v>0.01</v>
      </c>
      <c r="K18" s="177">
        <v>0.01</v>
      </c>
      <c r="L18" s="177">
        <v>0.01</v>
      </c>
      <c r="M18" s="177">
        <v>0.01</v>
      </c>
      <c r="N18" s="177">
        <v>0.01</v>
      </c>
      <c r="O18" s="177">
        <v>0.01</v>
      </c>
      <c r="P18" s="177">
        <v>0.01</v>
      </c>
      <c r="Q18" s="177">
        <v>0.01</v>
      </c>
      <c r="R18" s="177">
        <v>0.01</v>
      </c>
      <c r="S18" s="177">
        <v>0.01</v>
      </c>
      <c r="T18" s="177">
        <v>0.01</v>
      </c>
      <c r="U18" s="177">
        <v>0.01</v>
      </c>
      <c r="V18" s="177">
        <v>0.01</v>
      </c>
      <c r="W18" s="225">
        <v>0.01</v>
      </c>
    </row>
    <row r="19" spans="1:23" ht="13.8" thickBot="1">
      <c r="A19" s="164"/>
      <c r="B19" s="165" t="s">
        <v>247</v>
      </c>
      <c r="C19" s="226">
        <v>0.5</v>
      </c>
      <c r="D19" s="226">
        <v>0.5</v>
      </c>
      <c r="E19" s="226">
        <v>0.5</v>
      </c>
      <c r="F19" s="226">
        <v>0.5</v>
      </c>
      <c r="G19" s="226">
        <v>0.5</v>
      </c>
      <c r="H19" s="226">
        <v>0.5</v>
      </c>
      <c r="I19" s="226">
        <v>0.5</v>
      </c>
      <c r="J19" s="226">
        <v>0.5</v>
      </c>
      <c r="K19" s="226">
        <v>0.5</v>
      </c>
      <c r="L19" s="226">
        <v>0.5</v>
      </c>
      <c r="M19" s="226">
        <v>0.5</v>
      </c>
      <c r="N19" s="226">
        <v>0.5</v>
      </c>
      <c r="O19" s="226">
        <v>0.5</v>
      </c>
      <c r="P19" s="226">
        <v>0.5</v>
      </c>
      <c r="Q19" s="226">
        <v>0.5</v>
      </c>
      <c r="R19" s="226">
        <v>0.5</v>
      </c>
      <c r="S19" s="226">
        <v>0.5</v>
      </c>
      <c r="T19" s="226">
        <v>0.5</v>
      </c>
      <c r="U19" s="226">
        <v>0.5</v>
      </c>
      <c r="V19" s="226">
        <v>0.5</v>
      </c>
      <c r="W19" s="226">
        <v>0.5</v>
      </c>
    </row>
    <row r="20" spans="1:23" s="230" customFormat="1" ht="16.2" thickBot="1">
      <c r="A20" s="242"/>
      <c r="B20" s="242"/>
      <c r="C20" s="242"/>
      <c r="D20" s="243"/>
      <c r="E20" s="243"/>
      <c r="F20" s="243"/>
      <c r="G20" s="243"/>
      <c r="H20" s="243"/>
      <c r="I20" s="243"/>
      <c r="J20" s="243"/>
      <c r="K20" s="243"/>
      <c r="L20" s="243"/>
    </row>
    <row r="21" spans="1:23" ht="15.6">
      <c r="A21" s="154" t="s">
        <v>322</v>
      </c>
      <c r="B21" s="155"/>
      <c r="C21" s="155"/>
      <c r="D21" s="156"/>
      <c r="E21" s="156"/>
      <c r="F21" s="156"/>
      <c r="G21" s="156"/>
      <c r="H21" s="156"/>
      <c r="I21" s="156"/>
      <c r="J21" s="156"/>
      <c r="K21" s="156"/>
      <c r="L21" s="156"/>
      <c r="M21" s="157"/>
      <c r="N21" s="157"/>
      <c r="O21" s="157"/>
      <c r="P21" s="157"/>
      <c r="Q21" s="157"/>
      <c r="R21" s="157"/>
      <c r="S21" s="157"/>
      <c r="T21" s="157"/>
      <c r="U21" s="157"/>
      <c r="V21" s="157"/>
      <c r="W21" s="158"/>
    </row>
    <row r="22" spans="1:23" ht="15.6">
      <c r="A22" s="188"/>
      <c r="B22" s="161" t="s">
        <v>241</v>
      </c>
      <c r="C22" s="176">
        <f>KeyAssumptions!K12</f>
        <v>0.7</v>
      </c>
      <c r="D22" s="166"/>
      <c r="E22" s="166"/>
      <c r="F22" s="166"/>
      <c r="G22" s="166"/>
      <c r="H22" s="166"/>
      <c r="I22" s="166"/>
      <c r="J22" s="166"/>
      <c r="K22" s="166"/>
      <c r="L22" s="166"/>
      <c r="M22" s="167"/>
      <c r="N22" s="167"/>
      <c r="O22" s="167"/>
      <c r="P22" s="167"/>
      <c r="Q22" s="167"/>
      <c r="R22" s="167"/>
      <c r="S22" s="167"/>
      <c r="T22" s="167"/>
      <c r="U22" s="167"/>
      <c r="V22" s="167"/>
      <c r="W22" s="168"/>
    </row>
    <row r="23" spans="1:23" ht="15.6">
      <c r="A23" s="188"/>
      <c r="B23" s="161" t="s">
        <v>207</v>
      </c>
      <c r="C23" s="177">
        <f>KeyAssumptions!L12</f>
        <v>0.25</v>
      </c>
      <c r="D23" s="166"/>
      <c r="E23" s="166"/>
      <c r="F23" s="166"/>
      <c r="G23" s="166"/>
      <c r="H23" s="166"/>
      <c r="I23" s="166"/>
      <c r="J23" s="166"/>
      <c r="K23" s="166"/>
      <c r="L23" s="166"/>
      <c r="M23" s="167"/>
      <c r="N23" s="167"/>
      <c r="O23" s="167"/>
      <c r="P23" s="167"/>
      <c r="Q23" s="167"/>
      <c r="R23" s="167"/>
      <c r="S23" s="167"/>
      <c r="T23" s="167"/>
      <c r="U23" s="167"/>
      <c r="V23" s="167"/>
      <c r="W23" s="168"/>
    </row>
    <row r="24" spans="1:23" ht="15.75" customHeight="1">
      <c r="A24" s="188"/>
      <c r="B24" s="191" t="s">
        <v>355</v>
      </c>
      <c r="C24" s="177">
        <v>0.95</v>
      </c>
      <c r="D24" s="166"/>
      <c r="E24" s="166"/>
      <c r="F24" s="166"/>
      <c r="G24" s="166"/>
      <c r="H24" s="166"/>
      <c r="I24" s="166"/>
      <c r="J24" s="166"/>
      <c r="K24" s="166"/>
      <c r="L24" s="166"/>
      <c r="M24" s="167"/>
      <c r="N24" s="167"/>
      <c r="O24" s="167"/>
      <c r="P24" s="167"/>
      <c r="Q24" s="167"/>
      <c r="R24" s="167"/>
      <c r="S24" s="167"/>
      <c r="T24" s="167"/>
      <c r="U24" s="167"/>
      <c r="V24" s="167"/>
      <c r="W24" s="168"/>
    </row>
    <row r="25" spans="1:23" ht="15.6">
      <c r="A25" s="188"/>
      <c r="B25" s="160"/>
      <c r="C25" s="160"/>
      <c r="D25" s="166"/>
      <c r="E25" s="166"/>
      <c r="F25" s="166"/>
      <c r="G25" s="166"/>
      <c r="H25" s="166"/>
      <c r="I25" s="166"/>
      <c r="J25" s="166"/>
      <c r="K25" s="166"/>
      <c r="L25" s="166"/>
      <c r="M25" s="167"/>
      <c r="N25" s="167"/>
      <c r="O25" s="167"/>
      <c r="P25" s="167"/>
      <c r="Q25" s="167"/>
      <c r="R25" s="167"/>
      <c r="S25" s="167"/>
      <c r="T25" s="167"/>
      <c r="U25" s="167"/>
      <c r="V25" s="167"/>
      <c r="W25" s="168"/>
    </row>
    <row r="26" spans="1:23">
      <c r="A26" s="159"/>
      <c r="B26" s="161" t="s">
        <v>1</v>
      </c>
      <c r="C26" s="162">
        <v>2015</v>
      </c>
      <c r="D26" s="162">
        <v>2016</v>
      </c>
      <c r="E26" s="162">
        <v>2017</v>
      </c>
      <c r="F26" s="162">
        <v>2018</v>
      </c>
      <c r="G26" s="162">
        <v>2019</v>
      </c>
      <c r="H26" s="162">
        <v>2020</v>
      </c>
      <c r="I26" s="162">
        <v>2021</v>
      </c>
      <c r="J26" s="162">
        <v>2022</v>
      </c>
      <c r="K26" s="162">
        <v>2023</v>
      </c>
      <c r="L26" s="162">
        <v>2024</v>
      </c>
      <c r="M26" s="162">
        <v>2025</v>
      </c>
      <c r="N26" s="162">
        <v>2026</v>
      </c>
      <c r="O26" s="162">
        <v>2027</v>
      </c>
      <c r="P26" s="162">
        <v>2028</v>
      </c>
      <c r="Q26" s="162">
        <v>2029</v>
      </c>
      <c r="R26" s="162">
        <v>2030</v>
      </c>
      <c r="S26" s="162">
        <v>2031</v>
      </c>
      <c r="T26" s="162">
        <v>2032</v>
      </c>
      <c r="U26" s="162">
        <v>2033</v>
      </c>
      <c r="V26" s="162">
        <v>2034</v>
      </c>
      <c r="W26" s="163">
        <v>2035</v>
      </c>
    </row>
    <row r="27" spans="1:23">
      <c r="A27" s="159"/>
      <c r="B27" s="161" t="s">
        <v>231</v>
      </c>
      <c r="C27" s="177">
        <v>0.05</v>
      </c>
      <c r="D27" s="177">
        <v>0.2</v>
      </c>
      <c r="E27" s="177">
        <v>0.2</v>
      </c>
      <c r="F27" s="177">
        <v>0.2</v>
      </c>
      <c r="G27" s="177">
        <v>0.2</v>
      </c>
      <c r="H27" s="177">
        <v>0.15</v>
      </c>
      <c r="I27" s="177">
        <v>0</v>
      </c>
      <c r="J27" s="177">
        <v>0</v>
      </c>
      <c r="K27" s="177">
        <v>0</v>
      </c>
      <c r="L27" s="177">
        <v>0</v>
      </c>
      <c r="M27" s="177">
        <v>0</v>
      </c>
      <c r="N27" s="177">
        <v>0</v>
      </c>
      <c r="O27" s="177">
        <v>0</v>
      </c>
      <c r="P27" s="177">
        <v>0</v>
      </c>
      <c r="Q27" s="177">
        <v>0</v>
      </c>
      <c r="R27" s="177">
        <v>0</v>
      </c>
      <c r="S27" s="177">
        <v>0</v>
      </c>
      <c r="T27" s="177">
        <v>0</v>
      </c>
      <c r="U27" s="177">
        <v>0</v>
      </c>
      <c r="V27" s="177">
        <v>0</v>
      </c>
      <c r="W27" s="225">
        <v>0</v>
      </c>
    </row>
    <row r="28" spans="1:23">
      <c r="A28" s="159"/>
      <c r="B28" s="161" t="s">
        <v>237</v>
      </c>
      <c r="C28" s="177">
        <f>C27</f>
        <v>0.05</v>
      </c>
      <c r="D28" s="177">
        <f t="shared" ref="D28:W28" si="2">C28+D27</f>
        <v>0.25</v>
      </c>
      <c r="E28" s="177">
        <f t="shared" si="2"/>
        <v>0.45</v>
      </c>
      <c r="F28" s="177">
        <f t="shared" si="2"/>
        <v>0.65</v>
      </c>
      <c r="G28" s="177">
        <f t="shared" si="2"/>
        <v>0.85000000000000009</v>
      </c>
      <c r="H28" s="177">
        <f t="shared" si="2"/>
        <v>1</v>
      </c>
      <c r="I28" s="177">
        <f t="shared" si="2"/>
        <v>1</v>
      </c>
      <c r="J28" s="177">
        <f t="shared" si="2"/>
        <v>1</v>
      </c>
      <c r="K28" s="177">
        <f t="shared" si="2"/>
        <v>1</v>
      </c>
      <c r="L28" s="177">
        <f t="shared" si="2"/>
        <v>1</v>
      </c>
      <c r="M28" s="177">
        <f t="shared" si="2"/>
        <v>1</v>
      </c>
      <c r="N28" s="177">
        <f t="shared" si="2"/>
        <v>1</v>
      </c>
      <c r="O28" s="177">
        <f t="shared" si="2"/>
        <v>1</v>
      </c>
      <c r="P28" s="177">
        <f t="shared" si="2"/>
        <v>1</v>
      </c>
      <c r="Q28" s="177">
        <f t="shared" si="2"/>
        <v>1</v>
      </c>
      <c r="R28" s="177">
        <f t="shared" si="2"/>
        <v>1</v>
      </c>
      <c r="S28" s="177">
        <f t="shared" si="2"/>
        <v>1</v>
      </c>
      <c r="T28" s="177">
        <f t="shared" si="2"/>
        <v>1</v>
      </c>
      <c r="U28" s="177">
        <f t="shared" si="2"/>
        <v>1</v>
      </c>
      <c r="V28" s="177">
        <f t="shared" si="2"/>
        <v>1</v>
      </c>
      <c r="W28" s="225">
        <f t="shared" si="2"/>
        <v>1</v>
      </c>
    </row>
    <row r="29" spans="1:23">
      <c r="A29" s="159"/>
      <c r="B29" s="161" t="s">
        <v>232</v>
      </c>
      <c r="C29" s="177">
        <v>0.01</v>
      </c>
      <c r="D29" s="177">
        <v>0.01</v>
      </c>
      <c r="E29" s="177">
        <v>0.01</v>
      </c>
      <c r="F29" s="177">
        <v>0.01</v>
      </c>
      <c r="G29" s="177">
        <v>0.01</v>
      </c>
      <c r="H29" s="177">
        <v>0.01</v>
      </c>
      <c r="I29" s="177">
        <v>0.01</v>
      </c>
      <c r="J29" s="177">
        <v>0.01</v>
      </c>
      <c r="K29" s="177">
        <v>0.01</v>
      </c>
      <c r="L29" s="177">
        <v>0.01</v>
      </c>
      <c r="M29" s="177">
        <v>0.01</v>
      </c>
      <c r="N29" s="177">
        <v>0.01</v>
      </c>
      <c r="O29" s="177">
        <v>0.01</v>
      </c>
      <c r="P29" s="177">
        <v>0.01</v>
      </c>
      <c r="Q29" s="177">
        <v>0.01</v>
      </c>
      <c r="R29" s="177">
        <v>0.01</v>
      </c>
      <c r="S29" s="177">
        <v>0.01</v>
      </c>
      <c r="T29" s="177">
        <v>0.01</v>
      </c>
      <c r="U29" s="177">
        <v>0.01</v>
      </c>
      <c r="V29" s="177">
        <v>0.01</v>
      </c>
      <c r="W29" s="225">
        <v>0.01</v>
      </c>
    </row>
    <row r="30" spans="1:23" ht="13.8" thickBot="1">
      <c r="A30" s="164"/>
      <c r="B30" s="165" t="s">
        <v>301</v>
      </c>
      <c r="C30" s="226">
        <v>0.2</v>
      </c>
      <c r="D30" s="226">
        <v>0.2</v>
      </c>
      <c r="E30" s="226">
        <v>0.2</v>
      </c>
      <c r="F30" s="226">
        <v>0.2</v>
      </c>
      <c r="G30" s="226">
        <v>0.2</v>
      </c>
      <c r="H30" s="226">
        <v>0.2</v>
      </c>
      <c r="I30" s="226">
        <v>0.2</v>
      </c>
      <c r="J30" s="226">
        <v>0.2</v>
      </c>
      <c r="K30" s="226">
        <v>0.2</v>
      </c>
      <c r="L30" s="226">
        <v>0.2</v>
      </c>
      <c r="M30" s="226">
        <v>0.2</v>
      </c>
      <c r="N30" s="226">
        <v>0.2</v>
      </c>
      <c r="O30" s="226">
        <v>0.2</v>
      </c>
      <c r="P30" s="226">
        <v>0.2</v>
      </c>
      <c r="Q30" s="226">
        <v>0.2</v>
      </c>
      <c r="R30" s="226">
        <v>0.2</v>
      </c>
      <c r="S30" s="226">
        <v>0.2</v>
      </c>
      <c r="T30" s="226">
        <v>0.2</v>
      </c>
      <c r="U30" s="226">
        <v>0.2</v>
      </c>
      <c r="V30" s="226">
        <v>0.2</v>
      </c>
      <c r="W30" s="227">
        <v>0.2</v>
      </c>
    </row>
    <row r="31" spans="1:23" s="230" customFormat="1" ht="13.8" thickBot="1">
      <c r="A31" s="239"/>
      <c r="B31" s="239"/>
    </row>
    <row r="32" spans="1:23" ht="14.4" thickBot="1">
      <c r="A32" s="189" t="s">
        <v>240</v>
      </c>
      <c r="B32" s="190"/>
      <c r="C32" s="183"/>
      <c r="D32" s="183"/>
      <c r="E32" s="183"/>
      <c r="F32" s="183"/>
      <c r="G32" s="183"/>
      <c r="H32" s="183"/>
      <c r="I32" s="183"/>
      <c r="J32" s="183"/>
      <c r="K32" s="183"/>
      <c r="L32" s="183"/>
      <c r="M32" s="183"/>
      <c r="N32" s="183"/>
      <c r="O32" s="183"/>
      <c r="P32" s="183"/>
      <c r="Q32" s="183"/>
      <c r="R32" s="183"/>
      <c r="S32" s="183"/>
      <c r="T32" s="183"/>
      <c r="U32" s="183"/>
      <c r="V32" s="183"/>
      <c r="W32" s="184"/>
    </row>
    <row r="33" spans="1:23">
      <c r="A33" s="77" t="s">
        <v>212</v>
      </c>
      <c r="B33" s="77"/>
      <c r="F33" s="78"/>
      <c r="G33" s="78"/>
    </row>
    <row r="35" spans="1:23">
      <c r="A35" s="79"/>
      <c r="B35" s="101"/>
      <c r="C35" s="504" t="s">
        <v>213</v>
      </c>
      <c r="D35" s="504"/>
      <c r="E35" s="504"/>
      <c r="F35" s="504"/>
      <c r="G35" s="504"/>
      <c r="H35" s="504"/>
      <c r="I35" s="504"/>
      <c r="J35" s="504"/>
      <c r="K35" s="504"/>
      <c r="L35" s="504"/>
      <c r="M35" s="504"/>
      <c r="N35" s="504"/>
      <c r="O35" s="504"/>
      <c r="P35" s="504"/>
      <c r="Q35" s="504"/>
      <c r="R35" s="504"/>
      <c r="S35" s="504"/>
      <c r="T35" s="504"/>
      <c r="U35" s="504"/>
      <c r="V35" s="504"/>
      <c r="W35" s="504"/>
    </row>
    <row r="36" spans="1:23" ht="16.5" customHeight="1">
      <c r="A36" s="81" t="s">
        <v>214</v>
      </c>
      <c r="B36" s="82"/>
      <c r="C36" s="102">
        <v>2015</v>
      </c>
      <c r="D36" s="102">
        <v>2016</v>
      </c>
      <c r="E36" s="102">
        <v>2017</v>
      </c>
      <c r="F36" s="102">
        <v>2018</v>
      </c>
      <c r="G36" s="102">
        <v>2019</v>
      </c>
      <c r="H36" s="102">
        <v>2020</v>
      </c>
      <c r="I36" s="102">
        <v>2021</v>
      </c>
      <c r="J36" s="102">
        <v>2022</v>
      </c>
      <c r="K36" s="102">
        <v>2023</v>
      </c>
      <c r="L36" s="102">
        <v>2024</v>
      </c>
      <c r="M36" s="102">
        <v>2025</v>
      </c>
      <c r="N36" s="102">
        <v>2026</v>
      </c>
      <c r="O36" s="102">
        <v>2027</v>
      </c>
      <c r="P36" s="102">
        <v>2028</v>
      </c>
      <c r="Q36" s="102">
        <v>2029</v>
      </c>
      <c r="R36" s="102">
        <v>2030</v>
      </c>
      <c r="S36" s="102">
        <v>2031</v>
      </c>
      <c r="T36" s="102">
        <v>2032</v>
      </c>
      <c r="U36" s="102">
        <v>2033</v>
      </c>
      <c r="V36" s="102">
        <v>2034</v>
      </c>
      <c r="W36" s="102">
        <v>2035</v>
      </c>
    </row>
    <row r="37" spans="1:23">
      <c r="A37" s="84"/>
      <c r="B37" s="85"/>
      <c r="C37" s="84"/>
      <c r="D37" s="84"/>
      <c r="E37" s="84"/>
      <c r="F37" s="84"/>
      <c r="G37" s="84"/>
      <c r="H37" s="86"/>
      <c r="I37" s="84"/>
      <c r="J37" s="84"/>
      <c r="K37" s="84"/>
      <c r="L37" s="84"/>
      <c r="M37" s="84"/>
      <c r="N37" s="84"/>
      <c r="O37" s="84"/>
      <c r="P37" s="84"/>
      <c r="Q37" s="84"/>
      <c r="R37" s="84"/>
      <c r="S37" s="84"/>
      <c r="T37" s="84"/>
      <c r="U37" s="84"/>
      <c r="V37" s="84"/>
      <c r="W37" s="84"/>
    </row>
    <row r="38" spans="1:23">
      <c r="A38" s="169" t="s">
        <v>328</v>
      </c>
      <c r="B38" s="85"/>
      <c r="C38" s="88">
        <f>C48</f>
        <v>17.903716645592645</v>
      </c>
      <c r="D38" s="88">
        <f t="shared" ref="D38:W38" si="3">D48</f>
        <v>90.825989225384433</v>
      </c>
      <c r="E38" s="88">
        <f t="shared" si="3"/>
        <v>165.87393830749784</v>
      </c>
      <c r="F38" s="88">
        <f t="shared" si="3"/>
        <v>242.93612866171242</v>
      </c>
      <c r="G38" s="88">
        <f t="shared" si="3"/>
        <v>321.99310812334966</v>
      </c>
      <c r="H38" s="88">
        <f t="shared" si="3"/>
        <v>383.43052042931123</v>
      </c>
      <c r="I38" s="88">
        <f t="shared" si="3"/>
        <v>388.0357499529585</v>
      </c>
      <c r="J38" s="88">
        <f t="shared" si="3"/>
        <v>393.19130664891509</v>
      </c>
      <c r="K38" s="88">
        <f t="shared" si="3"/>
        <v>398.29858132487334</v>
      </c>
      <c r="L38" s="88">
        <f t="shared" si="3"/>
        <v>403.66080447119072</v>
      </c>
      <c r="M38" s="88">
        <f t="shared" si="3"/>
        <v>408.81300264160711</v>
      </c>
      <c r="N38" s="88">
        <f t="shared" si="3"/>
        <v>413.87559465888893</v>
      </c>
      <c r="O38" s="88">
        <f t="shared" si="3"/>
        <v>418.87054760597039</v>
      </c>
      <c r="P38" s="88">
        <f t="shared" si="3"/>
        <v>423.84825736756062</v>
      </c>
      <c r="Q38" s="88">
        <f t="shared" si="3"/>
        <v>428.79748988764106</v>
      </c>
      <c r="R38" s="88">
        <f t="shared" si="3"/>
        <v>433.53670052016287</v>
      </c>
      <c r="S38" s="88">
        <f t="shared" si="3"/>
        <v>438.44152284085089</v>
      </c>
      <c r="T38" s="88">
        <f t="shared" si="3"/>
        <v>443.5468247930084</v>
      </c>
      <c r="U38" s="88">
        <f t="shared" si="3"/>
        <v>448.68150602464118</v>
      </c>
      <c r="V38" s="88">
        <f t="shared" si="3"/>
        <v>453.69989858106146</v>
      </c>
      <c r="W38" s="88">
        <f t="shared" si="3"/>
        <v>458.77442062691267</v>
      </c>
    </row>
    <row r="39" spans="1:23">
      <c r="A39" s="169" t="s">
        <v>321</v>
      </c>
      <c r="B39" s="85"/>
      <c r="C39" s="88">
        <f>C49</f>
        <v>50.727197162512482</v>
      </c>
      <c r="D39" s="88">
        <f t="shared" ref="D39:W39" si="4">D49-C49</f>
        <v>206.61310564274345</v>
      </c>
      <c r="E39" s="88">
        <f t="shared" si="4"/>
        <v>212.6358557326547</v>
      </c>
      <c r="F39" s="88">
        <f t="shared" si="4"/>
        <v>218.34287267027452</v>
      </c>
      <c r="G39" s="88">
        <f t="shared" si="4"/>
        <v>223.99477514130547</v>
      </c>
      <c r="H39" s="88">
        <f t="shared" si="4"/>
        <v>174.07266820022471</v>
      </c>
      <c r="I39" s="88">
        <f t="shared" si="4"/>
        <v>13.048150317000363</v>
      </c>
      <c r="J39" s="88">
        <f t="shared" si="4"/>
        <v>14.607410638544025</v>
      </c>
      <c r="K39" s="88">
        <f t="shared" si="4"/>
        <v>14.470611581881485</v>
      </c>
      <c r="L39" s="88">
        <f t="shared" si="4"/>
        <v>15.192965581232556</v>
      </c>
      <c r="M39" s="88">
        <f t="shared" si="4"/>
        <v>14.597894816179405</v>
      </c>
      <c r="N39" s="88">
        <f t="shared" si="4"/>
        <v>14.344010715632294</v>
      </c>
      <c r="O39" s="88">
        <f t="shared" si="4"/>
        <v>14.152366683397304</v>
      </c>
      <c r="P39" s="88">
        <f t="shared" si="4"/>
        <v>14.10351099117247</v>
      </c>
      <c r="Q39" s="88">
        <f t="shared" si="4"/>
        <v>14.02282547356117</v>
      </c>
      <c r="R39" s="88">
        <f t="shared" si="4"/>
        <v>13.427763458811796</v>
      </c>
      <c r="S39" s="88">
        <f t="shared" si="4"/>
        <v>13.896996575282628</v>
      </c>
      <c r="T39" s="88">
        <f t="shared" si="4"/>
        <v>14.465022197779717</v>
      </c>
      <c r="U39" s="88">
        <f t="shared" si="4"/>
        <v>14.548263489626152</v>
      </c>
      <c r="V39" s="88">
        <f t="shared" si="4"/>
        <v>14.218778909857292</v>
      </c>
      <c r="W39" s="88">
        <f t="shared" si="4"/>
        <v>14.377812463245618</v>
      </c>
    </row>
    <row r="40" spans="1:23">
      <c r="A40" s="89"/>
      <c r="B40" s="90"/>
      <c r="C40" s="91"/>
      <c r="D40" s="92"/>
      <c r="E40" s="92"/>
      <c r="F40" s="92"/>
      <c r="G40" s="92"/>
      <c r="H40" s="92"/>
      <c r="I40" s="92"/>
      <c r="J40" s="92"/>
      <c r="K40" s="92"/>
      <c r="L40" s="92"/>
      <c r="M40" s="92"/>
      <c r="N40" s="92"/>
      <c r="O40" s="92"/>
      <c r="P40" s="92"/>
      <c r="Q40" s="92"/>
      <c r="R40" s="92"/>
      <c r="S40" s="92"/>
      <c r="T40" s="92"/>
      <c r="U40" s="92"/>
      <c r="V40" s="92"/>
      <c r="W40" s="92"/>
    </row>
    <row r="41" spans="1:23">
      <c r="A41" s="93" t="s">
        <v>216</v>
      </c>
      <c r="B41" s="94"/>
      <c r="C41" s="95">
        <f>SUM(C38:C39)</f>
        <v>68.630913808105134</v>
      </c>
      <c r="D41" s="95">
        <f t="shared" ref="D41:V41" si="5">SUM(D38:D39)</f>
        <v>297.43909486812788</v>
      </c>
      <c r="E41" s="95">
        <f t="shared" si="5"/>
        <v>378.50979404015254</v>
      </c>
      <c r="F41" s="95">
        <f t="shared" si="5"/>
        <v>461.27900133198693</v>
      </c>
      <c r="G41" s="95">
        <f t="shared" si="5"/>
        <v>545.98788326465512</v>
      </c>
      <c r="H41" s="95">
        <f t="shared" si="5"/>
        <v>557.503188629536</v>
      </c>
      <c r="I41" s="95">
        <f t="shared" si="5"/>
        <v>401.08390026995886</v>
      </c>
      <c r="J41" s="95">
        <f t="shared" si="5"/>
        <v>407.79871728745911</v>
      </c>
      <c r="K41" s="95">
        <f t="shared" si="5"/>
        <v>412.76919290675482</v>
      </c>
      <c r="L41" s="95">
        <f t="shared" si="5"/>
        <v>418.85377005242327</v>
      </c>
      <c r="M41" s="95">
        <f t="shared" si="5"/>
        <v>423.41089745778652</v>
      </c>
      <c r="N41" s="95">
        <f t="shared" si="5"/>
        <v>428.21960537452122</v>
      </c>
      <c r="O41" s="95">
        <f t="shared" si="5"/>
        <v>433.02291428936769</v>
      </c>
      <c r="P41" s="95">
        <f t="shared" si="5"/>
        <v>437.95176835873309</v>
      </c>
      <c r="Q41" s="95">
        <f t="shared" si="5"/>
        <v>442.82031536120223</v>
      </c>
      <c r="R41" s="95">
        <f t="shared" si="5"/>
        <v>446.96446397897466</v>
      </c>
      <c r="S41" s="95">
        <f t="shared" si="5"/>
        <v>452.33851941613352</v>
      </c>
      <c r="T41" s="95">
        <f t="shared" si="5"/>
        <v>458.01184699078811</v>
      </c>
      <c r="U41" s="95">
        <f t="shared" si="5"/>
        <v>463.22976951426733</v>
      </c>
      <c r="V41" s="95">
        <f t="shared" si="5"/>
        <v>467.91867749091875</v>
      </c>
      <c r="W41" s="95">
        <f>SUM(W38:W39)</f>
        <v>473.15223309015829</v>
      </c>
    </row>
    <row r="42" spans="1:23">
      <c r="A42" s="96"/>
      <c r="B42" s="96"/>
      <c r="C42" s="97"/>
      <c r="D42" s="97"/>
      <c r="E42" s="97"/>
      <c r="F42" s="97"/>
      <c r="G42" s="97"/>
      <c r="H42" s="97"/>
      <c r="I42" s="97"/>
      <c r="J42" s="96"/>
      <c r="K42" s="96"/>
      <c r="L42" s="96"/>
    </row>
    <row r="43" spans="1:23">
      <c r="A43" s="98" t="s">
        <v>217</v>
      </c>
      <c r="B43" s="98"/>
      <c r="C43" s="99"/>
      <c r="D43" s="99"/>
      <c r="E43" s="99"/>
      <c r="F43" s="99"/>
      <c r="G43" s="99"/>
      <c r="H43" s="99"/>
      <c r="I43" s="99"/>
      <c r="J43" s="100"/>
      <c r="K43" s="100"/>
      <c r="L43" s="100"/>
    </row>
    <row r="44" spans="1:23">
      <c r="A44" s="98"/>
      <c r="B44" s="98"/>
      <c r="C44" s="99"/>
      <c r="D44" s="99"/>
      <c r="E44" s="99"/>
      <c r="F44" s="99"/>
      <c r="G44" s="99"/>
      <c r="H44" s="99"/>
      <c r="I44" s="99"/>
      <c r="J44" s="100"/>
      <c r="K44" s="100"/>
      <c r="L44" s="100"/>
    </row>
    <row r="45" spans="1:23">
      <c r="A45" s="509" t="s">
        <v>214</v>
      </c>
      <c r="B45" s="511"/>
      <c r="C45" s="504" t="s">
        <v>218</v>
      </c>
      <c r="D45" s="504"/>
      <c r="E45" s="504"/>
      <c r="F45" s="504"/>
      <c r="G45" s="504"/>
      <c r="H45" s="504"/>
      <c r="I45" s="504"/>
      <c r="J45" s="504"/>
      <c r="K45" s="504"/>
      <c r="L45" s="504"/>
      <c r="M45" s="504"/>
      <c r="N45" s="504"/>
      <c r="O45" s="504"/>
      <c r="P45" s="504"/>
      <c r="Q45" s="504"/>
      <c r="R45" s="504"/>
      <c r="S45" s="504"/>
      <c r="T45" s="504"/>
      <c r="U45" s="504"/>
      <c r="V45" s="504"/>
      <c r="W45" s="504"/>
    </row>
    <row r="46" spans="1:23">
      <c r="A46" s="510"/>
      <c r="B46" s="512"/>
      <c r="C46" s="102">
        <v>2015</v>
      </c>
      <c r="D46" s="102">
        <v>2016</v>
      </c>
      <c r="E46" s="102">
        <v>2017</v>
      </c>
      <c r="F46" s="102">
        <v>2018</v>
      </c>
      <c r="G46" s="102">
        <v>2019</v>
      </c>
      <c r="H46" s="102">
        <v>2020</v>
      </c>
      <c r="I46" s="102">
        <v>2021</v>
      </c>
      <c r="J46" s="102">
        <v>2022</v>
      </c>
      <c r="K46" s="102">
        <v>2023</v>
      </c>
      <c r="L46" s="102">
        <v>2024</v>
      </c>
      <c r="M46" s="102">
        <v>2025</v>
      </c>
      <c r="N46" s="102">
        <v>2026</v>
      </c>
      <c r="O46" s="102">
        <v>2027</v>
      </c>
      <c r="P46" s="102">
        <v>2028</v>
      </c>
      <c r="Q46" s="102">
        <v>2029</v>
      </c>
      <c r="R46" s="102">
        <v>2030</v>
      </c>
      <c r="S46" s="102">
        <v>2031</v>
      </c>
      <c r="T46" s="102">
        <v>2032</v>
      </c>
      <c r="U46" s="102">
        <v>2033</v>
      </c>
      <c r="V46" s="102">
        <v>2034</v>
      </c>
      <c r="W46" s="102">
        <v>2035</v>
      </c>
    </row>
    <row r="47" spans="1:23">
      <c r="A47" s="84"/>
      <c r="B47" s="87"/>
      <c r="C47" s="92"/>
      <c r="D47" s="92"/>
      <c r="E47" s="92"/>
      <c r="F47" s="92"/>
      <c r="G47" s="92"/>
      <c r="H47" s="92"/>
      <c r="I47" s="92"/>
      <c r="J47" s="92"/>
      <c r="K47" s="92"/>
      <c r="L47" s="92"/>
      <c r="M47" s="92"/>
      <c r="N47" s="92"/>
      <c r="O47" s="92"/>
      <c r="P47" s="92"/>
      <c r="Q47" s="92"/>
      <c r="R47" s="92"/>
      <c r="S47" s="92"/>
      <c r="T47" s="92"/>
      <c r="U47" s="92"/>
      <c r="V47" s="92"/>
      <c r="W47" s="92"/>
    </row>
    <row r="48" spans="1:23">
      <c r="A48" s="103" t="str">
        <f>A38</f>
        <v>a. Irrigation Pumping - Switch</v>
      </c>
      <c r="B48" s="87"/>
      <c r="C48" s="92">
        <f>C7*$C$11*$C$12*C19*C17*(1-C18)</f>
        <v>17.903716645592645</v>
      </c>
      <c r="D48" s="92">
        <f t="shared" ref="D48:W48" si="6">D7*$C$11*$C$12*D19*D17*(1-D18)</f>
        <v>90.825989225384433</v>
      </c>
      <c r="E48" s="92">
        <f t="shared" si="6"/>
        <v>165.87393830749784</v>
      </c>
      <c r="F48" s="92">
        <f t="shared" si="6"/>
        <v>242.93612866171242</v>
      </c>
      <c r="G48" s="92">
        <f t="shared" si="6"/>
        <v>321.99310812334966</v>
      </c>
      <c r="H48" s="92">
        <f t="shared" si="6"/>
        <v>383.43052042931123</v>
      </c>
      <c r="I48" s="92">
        <f t="shared" si="6"/>
        <v>388.0357499529585</v>
      </c>
      <c r="J48" s="92">
        <f t="shared" si="6"/>
        <v>393.19130664891509</v>
      </c>
      <c r="K48" s="92">
        <f t="shared" si="6"/>
        <v>398.29858132487334</v>
      </c>
      <c r="L48" s="92">
        <f t="shared" si="6"/>
        <v>403.66080447119072</v>
      </c>
      <c r="M48" s="92">
        <f t="shared" si="6"/>
        <v>408.81300264160711</v>
      </c>
      <c r="N48" s="92">
        <f t="shared" si="6"/>
        <v>413.87559465888893</v>
      </c>
      <c r="O48" s="92">
        <f t="shared" si="6"/>
        <v>418.87054760597039</v>
      </c>
      <c r="P48" s="92">
        <f t="shared" si="6"/>
        <v>423.84825736756062</v>
      </c>
      <c r="Q48" s="92">
        <f t="shared" si="6"/>
        <v>428.79748988764106</v>
      </c>
      <c r="R48" s="92">
        <f t="shared" si="6"/>
        <v>433.53670052016287</v>
      </c>
      <c r="S48" s="92">
        <f t="shared" si="6"/>
        <v>438.44152284085089</v>
      </c>
      <c r="T48" s="92">
        <f t="shared" si="6"/>
        <v>443.5468247930084</v>
      </c>
      <c r="U48" s="92">
        <f t="shared" si="6"/>
        <v>448.68150602464118</v>
      </c>
      <c r="V48" s="92">
        <f t="shared" si="6"/>
        <v>453.69989858106146</v>
      </c>
      <c r="W48" s="92">
        <f t="shared" si="6"/>
        <v>458.77442062691267</v>
      </c>
    </row>
    <row r="49" spans="1:23">
      <c r="A49" s="103" t="str">
        <f>+A39</f>
        <v>b. Curtailable/Interruptible Tariff</v>
      </c>
      <c r="B49" s="104"/>
      <c r="C49" s="92">
        <f t="shared" ref="C49:W49" si="7">C6*$C$22*$C$23*C30*C28*(1-C29)</f>
        <v>50.727197162512482</v>
      </c>
      <c r="D49" s="92">
        <f t="shared" si="7"/>
        <v>257.34030280525593</v>
      </c>
      <c r="E49" s="92">
        <f t="shared" si="7"/>
        <v>469.97615853791064</v>
      </c>
      <c r="F49" s="92">
        <f t="shared" si="7"/>
        <v>688.31903120818515</v>
      </c>
      <c r="G49" s="92">
        <f t="shared" si="7"/>
        <v>912.31380634949062</v>
      </c>
      <c r="H49" s="92">
        <f t="shared" si="7"/>
        <v>1086.3864745497153</v>
      </c>
      <c r="I49" s="92">
        <f t="shared" si="7"/>
        <v>1099.4346248667157</v>
      </c>
      <c r="J49" s="92">
        <f t="shared" si="7"/>
        <v>1114.0420355052597</v>
      </c>
      <c r="K49" s="92">
        <f t="shared" si="7"/>
        <v>1128.5126470871412</v>
      </c>
      <c r="L49" s="92">
        <f t="shared" si="7"/>
        <v>1143.7056126683738</v>
      </c>
      <c r="M49" s="92">
        <f t="shared" si="7"/>
        <v>1158.3035074845532</v>
      </c>
      <c r="N49" s="92">
        <f t="shared" si="7"/>
        <v>1172.6475182001855</v>
      </c>
      <c r="O49" s="92">
        <f t="shared" si="7"/>
        <v>1186.7998848835828</v>
      </c>
      <c r="P49" s="92">
        <f t="shared" si="7"/>
        <v>1200.9033958747552</v>
      </c>
      <c r="Q49" s="92">
        <f t="shared" si="7"/>
        <v>1214.9262213483164</v>
      </c>
      <c r="R49" s="92">
        <f t="shared" si="7"/>
        <v>1228.3539848071282</v>
      </c>
      <c r="S49" s="92">
        <f t="shared" si="7"/>
        <v>1242.2509813824108</v>
      </c>
      <c r="T49" s="92">
        <f t="shared" si="7"/>
        <v>1256.7160035801905</v>
      </c>
      <c r="U49" s="92">
        <f t="shared" si="7"/>
        <v>1271.2642670698167</v>
      </c>
      <c r="V49" s="92">
        <f t="shared" si="7"/>
        <v>1285.483045979674</v>
      </c>
      <c r="W49" s="92">
        <f t="shared" si="7"/>
        <v>1299.8608584429196</v>
      </c>
    </row>
    <row r="50" spans="1:23">
      <c r="A50" s="87"/>
      <c r="B50" s="87"/>
      <c r="C50" s="105"/>
      <c r="D50" s="105"/>
      <c r="E50" s="105"/>
      <c r="F50" s="105"/>
      <c r="G50" s="105"/>
      <c r="H50" s="105"/>
      <c r="I50" s="105"/>
      <c r="J50" s="105"/>
      <c r="K50" s="105"/>
      <c r="L50" s="105"/>
      <c r="M50" s="105"/>
      <c r="N50" s="105"/>
      <c r="O50" s="105"/>
      <c r="P50" s="105"/>
      <c r="Q50" s="105"/>
      <c r="R50" s="105"/>
      <c r="S50" s="105"/>
      <c r="T50" s="105"/>
      <c r="U50" s="105"/>
      <c r="V50" s="105"/>
      <c r="W50" s="105"/>
    </row>
    <row r="51" spans="1:23">
      <c r="A51" s="93" t="s">
        <v>219</v>
      </c>
      <c r="B51" s="93"/>
      <c r="C51" s="95">
        <f>SUM(C48:C49)</f>
        <v>68.630913808105134</v>
      </c>
      <c r="D51" s="95">
        <f t="shared" ref="D51:W51" si="8">SUM(D48:D49)</f>
        <v>348.16629203064036</v>
      </c>
      <c r="E51" s="95">
        <f t="shared" si="8"/>
        <v>635.85009684540842</v>
      </c>
      <c r="F51" s="95">
        <f t="shared" si="8"/>
        <v>931.25515986989762</v>
      </c>
      <c r="G51" s="95">
        <f t="shared" si="8"/>
        <v>1234.3069144728402</v>
      </c>
      <c r="H51" s="95">
        <f t="shared" si="8"/>
        <v>1469.8169949790265</v>
      </c>
      <c r="I51" s="95">
        <f t="shared" si="8"/>
        <v>1487.4703748196741</v>
      </c>
      <c r="J51" s="95">
        <f t="shared" si="8"/>
        <v>1507.2333421541748</v>
      </c>
      <c r="K51" s="95">
        <f t="shared" si="8"/>
        <v>1526.8112284120145</v>
      </c>
      <c r="L51" s="95">
        <f t="shared" si="8"/>
        <v>1547.3664171395644</v>
      </c>
      <c r="M51" s="95">
        <f t="shared" si="8"/>
        <v>1567.1165101261604</v>
      </c>
      <c r="N51" s="95">
        <f t="shared" si="8"/>
        <v>1586.5231128590744</v>
      </c>
      <c r="O51" s="95">
        <f t="shared" si="8"/>
        <v>1605.6704324895531</v>
      </c>
      <c r="P51" s="95">
        <f t="shared" si="8"/>
        <v>1624.7516532423158</v>
      </c>
      <c r="Q51" s="95">
        <f t="shared" si="8"/>
        <v>1643.7237112359576</v>
      </c>
      <c r="R51" s="95">
        <f t="shared" si="8"/>
        <v>1661.8906853272911</v>
      </c>
      <c r="S51" s="95">
        <f t="shared" si="8"/>
        <v>1680.6925042232617</v>
      </c>
      <c r="T51" s="95">
        <f t="shared" si="8"/>
        <v>1700.262828373199</v>
      </c>
      <c r="U51" s="95">
        <f t="shared" si="8"/>
        <v>1719.9457730944578</v>
      </c>
      <c r="V51" s="95">
        <f t="shared" si="8"/>
        <v>1739.1829445607355</v>
      </c>
      <c r="W51" s="95">
        <f t="shared" si="8"/>
        <v>1758.6352790698322</v>
      </c>
    </row>
    <row r="53" spans="1:23">
      <c r="A53" s="77" t="s">
        <v>220</v>
      </c>
      <c r="B53" s="77"/>
      <c r="D53" s="223"/>
      <c r="E53" s="78"/>
      <c r="F53" s="78"/>
      <c r="G53" s="224"/>
    </row>
    <row r="55" spans="1:23">
      <c r="A55" s="106"/>
      <c r="B55" s="502" t="s">
        <v>242</v>
      </c>
      <c r="C55" s="507" t="s">
        <v>221</v>
      </c>
      <c r="D55" s="508"/>
      <c r="E55" s="508"/>
      <c r="F55" s="508"/>
      <c r="G55" s="508"/>
      <c r="H55" s="508"/>
      <c r="I55" s="508"/>
      <c r="J55" s="508"/>
      <c r="K55" s="508"/>
      <c r="L55" s="508"/>
      <c r="M55" s="508"/>
      <c r="N55" s="508"/>
      <c r="O55" s="508"/>
      <c r="P55" s="508"/>
      <c r="Q55" s="508"/>
      <c r="R55" s="508"/>
      <c r="S55" s="508"/>
      <c r="T55" s="508"/>
      <c r="U55" s="508"/>
      <c r="V55" s="508"/>
      <c r="W55" s="508"/>
    </row>
    <row r="56" spans="1:23">
      <c r="A56" s="117" t="s">
        <v>214</v>
      </c>
      <c r="B56" s="506"/>
      <c r="C56" s="102">
        <v>2015</v>
      </c>
      <c r="D56" s="102">
        <v>2016</v>
      </c>
      <c r="E56" s="102">
        <v>2017</v>
      </c>
      <c r="F56" s="102">
        <v>2018</v>
      </c>
      <c r="G56" s="102">
        <v>2019</v>
      </c>
      <c r="H56" s="102">
        <v>2020</v>
      </c>
      <c r="I56" s="102">
        <v>2021</v>
      </c>
      <c r="J56" s="102">
        <v>2022</v>
      </c>
      <c r="K56" s="102">
        <v>2023</v>
      </c>
      <c r="L56" s="102">
        <v>2024</v>
      </c>
      <c r="M56" s="102">
        <v>2025</v>
      </c>
      <c r="N56" s="102">
        <v>2026</v>
      </c>
      <c r="O56" s="102">
        <v>2027</v>
      </c>
      <c r="P56" s="102">
        <v>2028</v>
      </c>
      <c r="Q56" s="102">
        <v>2029</v>
      </c>
      <c r="R56" s="102">
        <v>2030</v>
      </c>
      <c r="S56" s="102">
        <v>2031</v>
      </c>
      <c r="T56" s="102">
        <v>2032</v>
      </c>
      <c r="U56" s="102">
        <v>2033</v>
      </c>
      <c r="V56" s="102">
        <v>2034</v>
      </c>
      <c r="W56" s="102">
        <v>2035</v>
      </c>
    </row>
    <row r="57" spans="1:23">
      <c r="A57" s="84"/>
      <c r="B57" s="84"/>
      <c r="C57" s="84"/>
      <c r="D57" s="108"/>
      <c r="E57" s="84"/>
      <c r="F57" s="84"/>
      <c r="G57" s="84"/>
      <c r="H57" s="84"/>
      <c r="I57" s="84"/>
      <c r="J57" s="84"/>
      <c r="K57" s="84"/>
      <c r="L57" s="84"/>
      <c r="M57" s="84"/>
      <c r="N57" s="84"/>
      <c r="O57" s="84"/>
      <c r="P57" s="84"/>
      <c r="Q57" s="84"/>
      <c r="R57" s="84"/>
      <c r="S57" s="84"/>
      <c r="T57" s="84"/>
      <c r="U57" s="84"/>
      <c r="V57" s="84"/>
      <c r="W57" s="84"/>
    </row>
    <row r="58" spans="1:23">
      <c r="A58" s="103" t="str">
        <f>A38</f>
        <v>a. Irrigation Pumping - Switch</v>
      </c>
      <c r="B58" s="234">
        <f>KeyAssumptions!J11</f>
        <v>25</v>
      </c>
      <c r="C58" s="192">
        <f>$B58/1000*C48*$C$13</f>
        <v>0.42521327033282535</v>
      </c>
      <c r="D58" s="192">
        <f t="shared" ref="D58:W58" si="9">$B58/1000*D48*$C$13</f>
        <v>2.1571172441028801</v>
      </c>
      <c r="E58" s="192">
        <f t="shared" si="9"/>
        <v>3.9395060348030739</v>
      </c>
      <c r="F58" s="192">
        <f t="shared" si="9"/>
        <v>5.7697330557156699</v>
      </c>
      <c r="G58" s="192">
        <f t="shared" si="9"/>
        <v>7.6473363179295539</v>
      </c>
      <c r="H58" s="192">
        <f t="shared" si="9"/>
        <v>9.1064748601961423</v>
      </c>
      <c r="I58" s="192">
        <f t="shared" si="9"/>
        <v>9.2158490613827642</v>
      </c>
      <c r="J58" s="192">
        <f t="shared" si="9"/>
        <v>9.3382935329117327</v>
      </c>
      <c r="K58" s="192">
        <f t="shared" si="9"/>
        <v>9.4595913064657431</v>
      </c>
      <c r="L58" s="192">
        <f t="shared" si="9"/>
        <v>9.5869441061907796</v>
      </c>
      <c r="M58" s="192">
        <f t="shared" si="9"/>
        <v>9.7093088127381684</v>
      </c>
      <c r="N58" s="192">
        <f t="shared" si="9"/>
        <v>9.8295453731486138</v>
      </c>
      <c r="O58" s="192">
        <f t="shared" si="9"/>
        <v>9.948175505641796</v>
      </c>
      <c r="P58" s="192">
        <f t="shared" si="9"/>
        <v>10.066396112479564</v>
      </c>
      <c r="Q58" s="192">
        <f t="shared" si="9"/>
        <v>10.183940384831475</v>
      </c>
      <c r="R58" s="192">
        <f t="shared" si="9"/>
        <v>10.296496637353869</v>
      </c>
      <c r="S58" s="192">
        <f t="shared" si="9"/>
        <v>10.412986167470208</v>
      </c>
      <c r="T58" s="192">
        <f t="shared" si="9"/>
        <v>10.534237088833949</v>
      </c>
      <c r="U58" s="192">
        <f t="shared" si="9"/>
        <v>10.656185768085228</v>
      </c>
      <c r="V58" s="192">
        <f t="shared" si="9"/>
        <v>10.775372591300211</v>
      </c>
      <c r="W58" s="192">
        <f t="shared" si="9"/>
        <v>10.895892489889176</v>
      </c>
    </row>
    <row r="59" spans="1:23">
      <c r="A59" s="103" t="str">
        <f>+A39</f>
        <v>b. Curtailable/Interruptible Tariff</v>
      </c>
      <c r="B59" s="234">
        <f>KeyAssumptions!J12</f>
        <v>500</v>
      </c>
      <c r="C59" s="192">
        <f t="shared" ref="C59:W59" si="10">$B59/1000*C49*$C$24</f>
        <v>24.095418652193427</v>
      </c>
      <c r="D59" s="192">
        <f t="shared" si="10"/>
        <v>122.23664383249655</v>
      </c>
      <c r="E59" s="192">
        <f t="shared" si="10"/>
        <v>223.23867530550754</v>
      </c>
      <c r="F59" s="192">
        <f t="shared" si="10"/>
        <v>326.95153982388791</v>
      </c>
      <c r="G59" s="192">
        <f t="shared" si="10"/>
        <v>433.34905801600803</v>
      </c>
      <c r="H59" s="192">
        <f t="shared" si="10"/>
        <v>516.03357541111473</v>
      </c>
      <c r="I59" s="192">
        <f t="shared" si="10"/>
        <v>522.23144681168992</v>
      </c>
      <c r="J59" s="192">
        <f t="shared" si="10"/>
        <v>529.16996686499829</v>
      </c>
      <c r="K59" s="192">
        <f t="shared" si="10"/>
        <v>536.04350736639208</v>
      </c>
      <c r="L59" s="192">
        <f t="shared" si="10"/>
        <v>543.26016601747756</v>
      </c>
      <c r="M59" s="192">
        <f t="shared" si="10"/>
        <v>550.19416605516278</v>
      </c>
      <c r="N59" s="192">
        <f t="shared" si="10"/>
        <v>557.00757114508804</v>
      </c>
      <c r="O59" s="192">
        <f t="shared" si="10"/>
        <v>563.72994531970176</v>
      </c>
      <c r="P59" s="192">
        <f t="shared" si="10"/>
        <v>570.4291130405087</v>
      </c>
      <c r="Q59" s="192">
        <f t="shared" si="10"/>
        <v>577.08995514045023</v>
      </c>
      <c r="R59" s="192">
        <f t="shared" si="10"/>
        <v>583.46814278338582</v>
      </c>
      <c r="S59" s="192">
        <f t="shared" si="10"/>
        <v>590.0692161566451</v>
      </c>
      <c r="T59" s="192">
        <f t="shared" si="10"/>
        <v>596.9401017005905</v>
      </c>
      <c r="U59" s="192">
        <f t="shared" si="10"/>
        <v>603.85052685816288</v>
      </c>
      <c r="V59" s="192">
        <f t="shared" si="10"/>
        <v>610.60444684034508</v>
      </c>
      <c r="W59" s="192">
        <f t="shared" si="10"/>
        <v>617.43390776038677</v>
      </c>
    </row>
    <row r="60" spans="1:23">
      <c r="A60" s="87"/>
      <c r="B60" s="87"/>
      <c r="C60" s="109"/>
      <c r="D60" s="109"/>
      <c r="E60" s="109"/>
      <c r="F60" s="109"/>
      <c r="G60" s="109"/>
      <c r="H60" s="109"/>
      <c r="I60" s="109"/>
      <c r="J60" s="109"/>
      <c r="K60" s="109"/>
      <c r="L60" s="109"/>
      <c r="M60" s="109"/>
      <c r="N60" s="109"/>
      <c r="O60" s="109"/>
      <c r="P60" s="109"/>
      <c r="Q60" s="109"/>
      <c r="R60" s="109"/>
      <c r="S60" s="109"/>
      <c r="T60" s="109"/>
      <c r="U60" s="109"/>
      <c r="V60" s="109"/>
      <c r="W60" s="109"/>
    </row>
    <row r="61" spans="1:23">
      <c r="A61" s="110" t="s">
        <v>269</v>
      </c>
      <c r="B61" s="111"/>
      <c r="C61" s="229">
        <f>SUM(C58:C59)</f>
        <v>24.520631922526253</v>
      </c>
      <c r="D61" s="229">
        <f t="shared" ref="D61:W61" si="11">SUM(D58:D59)</f>
        <v>124.39376107659943</v>
      </c>
      <c r="E61" s="229">
        <f t="shared" si="11"/>
        <v>227.17818134031063</v>
      </c>
      <c r="F61" s="229">
        <f t="shared" si="11"/>
        <v>332.72127287960359</v>
      </c>
      <c r="G61" s="229">
        <f t="shared" si="11"/>
        <v>440.99639433393759</v>
      </c>
      <c r="H61" s="229">
        <f t="shared" si="11"/>
        <v>525.14005027131088</v>
      </c>
      <c r="I61" s="229">
        <f t="shared" si="11"/>
        <v>531.44729587307268</v>
      </c>
      <c r="J61" s="229">
        <f t="shared" si="11"/>
        <v>538.50826039791002</v>
      </c>
      <c r="K61" s="229">
        <f t="shared" si="11"/>
        <v>545.50309867285785</v>
      </c>
      <c r="L61" s="229">
        <f t="shared" si="11"/>
        <v>552.84711012366836</v>
      </c>
      <c r="M61" s="229">
        <f t="shared" si="11"/>
        <v>559.90347486790097</v>
      </c>
      <c r="N61" s="229">
        <f t="shared" si="11"/>
        <v>566.8371165182366</v>
      </c>
      <c r="O61" s="229">
        <f t="shared" si="11"/>
        <v>573.67812082534351</v>
      </c>
      <c r="P61" s="229">
        <f t="shared" si="11"/>
        <v>580.49550915298823</v>
      </c>
      <c r="Q61" s="229">
        <f t="shared" si="11"/>
        <v>587.27389552528166</v>
      </c>
      <c r="R61" s="229">
        <f t="shared" si="11"/>
        <v>593.76463942073974</v>
      </c>
      <c r="S61" s="229">
        <f t="shared" si="11"/>
        <v>600.48220232411529</v>
      </c>
      <c r="T61" s="229">
        <f t="shared" si="11"/>
        <v>607.47433878942445</v>
      </c>
      <c r="U61" s="229">
        <f t="shared" si="11"/>
        <v>614.50671262624815</v>
      </c>
      <c r="V61" s="229">
        <f t="shared" si="11"/>
        <v>621.37981943164527</v>
      </c>
      <c r="W61" s="229">
        <f t="shared" si="11"/>
        <v>628.32980025027598</v>
      </c>
    </row>
    <row r="62" spans="1:23">
      <c r="A62" s="123"/>
      <c r="B62" s="113"/>
      <c r="C62" s="124"/>
      <c r="D62" s="124"/>
      <c r="E62" s="124"/>
      <c r="F62" s="124"/>
      <c r="G62" s="124"/>
      <c r="H62" s="124"/>
      <c r="I62" s="124"/>
      <c r="J62" s="124"/>
      <c r="K62" s="124"/>
      <c r="L62" s="124"/>
      <c r="M62" s="124"/>
      <c r="N62" s="124"/>
      <c r="O62" s="124"/>
      <c r="P62" s="124"/>
      <c r="Q62" s="124"/>
      <c r="R62" s="124"/>
      <c r="S62" s="124"/>
      <c r="T62" s="124"/>
      <c r="U62" s="124"/>
      <c r="V62" s="124"/>
      <c r="W62" s="124"/>
    </row>
    <row r="63" spans="1:23">
      <c r="A63" s="77" t="s">
        <v>277</v>
      </c>
      <c r="B63" s="113"/>
      <c r="C63" s="100"/>
      <c r="D63" s="125"/>
      <c r="E63" s="124"/>
      <c r="F63" s="124"/>
      <c r="G63" s="124"/>
      <c r="H63" s="124"/>
      <c r="I63" s="124"/>
      <c r="J63" s="124"/>
      <c r="K63" s="124"/>
      <c r="L63" s="124"/>
      <c r="M63" s="124"/>
      <c r="N63" s="124"/>
      <c r="O63" s="124"/>
      <c r="P63" s="124"/>
      <c r="Q63" s="124"/>
      <c r="R63" s="124"/>
      <c r="S63" s="124"/>
      <c r="T63" s="124"/>
      <c r="U63" s="124"/>
      <c r="V63" s="124"/>
      <c r="W63" s="124"/>
    </row>
    <row r="64" spans="1:23">
      <c r="A64" s="116"/>
      <c r="B64" s="113"/>
      <c r="C64" s="100"/>
      <c r="D64" s="124"/>
      <c r="E64" s="124"/>
      <c r="F64" s="124"/>
      <c r="G64" s="124"/>
      <c r="H64" s="124"/>
      <c r="I64" s="124"/>
      <c r="J64" s="124"/>
      <c r="K64" s="124"/>
      <c r="L64" s="124"/>
      <c r="M64" s="124"/>
      <c r="N64" s="124"/>
      <c r="O64" s="124"/>
      <c r="P64" s="124"/>
      <c r="Q64" s="124"/>
      <c r="R64" s="124"/>
      <c r="S64" s="124"/>
      <c r="T64" s="124"/>
      <c r="U64" s="124"/>
      <c r="V64" s="124"/>
      <c r="W64" s="124"/>
    </row>
    <row r="65" spans="1:23" ht="12.75" customHeight="1">
      <c r="A65" s="500" t="s">
        <v>214</v>
      </c>
      <c r="B65" s="502" t="s">
        <v>308</v>
      </c>
      <c r="C65" s="504" t="s">
        <v>222</v>
      </c>
      <c r="D65" s="504"/>
      <c r="E65" s="504"/>
      <c r="F65" s="504"/>
      <c r="G65" s="504"/>
      <c r="H65" s="504"/>
      <c r="I65" s="504"/>
      <c r="J65" s="504"/>
      <c r="K65" s="504"/>
      <c r="L65" s="504"/>
      <c r="M65" s="504"/>
      <c r="N65" s="504"/>
      <c r="O65" s="504"/>
      <c r="P65" s="504"/>
      <c r="Q65" s="504"/>
      <c r="R65" s="504"/>
      <c r="S65" s="504"/>
      <c r="T65" s="504"/>
      <c r="U65" s="504"/>
      <c r="V65" s="504"/>
      <c r="W65" s="504"/>
    </row>
    <row r="66" spans="1:23">
      <c r="A66" s="501"/>
      <c r="B66" s="503"/>
      <c r="C66" s="102">
        <v>2015</v>
      </c>
      <c r="D66" s="102">
        <v>2016</v>
      </c>
      <c r="E66" s="102">
        <v>2017</v>
      </c>
      <c r="F66" s="102">
        <v>2018</v>
      </c>
      <c r="G66" s="102">
        <v>2019</v>
      </c>
      <c r="H66" s="102">
        <v>2020</v>
      </c>
      <c r="I66" s="102">
        <v>2021</v>
      </c>
      <c r="J66" s="102">
        <v>2022</v>
      </c>
      <c r="K66" s="102">
        <v>2023</v>
      </c>
      <c r="L66" s="102">
        <v>2024</v>
      </c>
      <c r="M66" s="102">
        <v>2025</v>
      </c>
      <c r="N66" s="102">
        <v>2026</v>
      </c>
      <c r="O66" s="102">
        <v>2027</v>
      </c>
      <c r="P66" s="102">
        <v>2028</v>
      </c>
      <c r="Q66" s="102">
        <v>2029</v>
      </c>
      <c r="R66" s="102">
        <v>2030</v>
      </c>
      <c r="S66" s="102">
        <v>2031</v>
      </c>
      <c r="T66" s="102">
        <v>2032</v>
      </c>
      <c r="U66" s="102">
        <v>2033</v>
      </c>
      <c r="V66" s="102">
        <v>2034</v>
      </c>
      <c r="W66" s="102">
        <v>2035</v>
      </c>
    </row>
    <row r="67" spans="1:23">
      <c r="A67" s="126"/>
      <c r="B67" s="127"/>
      <c r="C67" s="78"/>
      <c r="D67" s="84"/>
      <c r="E67" s="84"/>
      <c r="F67" s="84"/>
      <c r="G67" s="84"/>
      <c r="H67" s="84"/>
      <c r="I67" s="84"/>
      <c r="J67" s="84"/>
      <c r="K67" s="84"/>
      <c r="L67" s="84"/>
      <c r="M67" s="84"/>
      <c r="N67" s="84"/>
      <c r="O67" s="84"/>
      <c r="P67" s="84"/>
      <c r="Q67" s="84"/>
      <c r="R67" s="84"/>
      <c r="S67" s="84"/>
      <c r="T67" s="84"/>
      <c r="U67" s="84"/>
      <c r="V67" s="84"/>
      <c r="W67" s="84"/>
    </row>
    <row r="68" spans="1:23">
      <c r="A68" s="169" t="str">
        <f>A38</f>
        <v>a. Irrigation Pumping - Switch</v>
      </c>
      <c r="B68" s="235">
        <f>SUM(KeyAssumptions!F11:H11)</f>
        <v>1100</v>
      </c>
      <c r="C68" s="119">
        <f>MAX(0,($B$68*C38))</f>
        <v>19694.08831015191</v>
      </c>
      <c r="D68" s="119">
        <f t="shared" ref="D68:W68" si="12">MAX(0,($B$68*D38))</f>
        <v>99908.58814792287</v>
      </c>
      <c r="E68" s="119">
        <f t="shared" si="12"/>
        <v>182461.33213824761</v>
      </c>
      <c r="F68" s="119">
        <f t="shared" si="12"/>
        <v>267229.74152788369</v>
      </c>
      <c r="G68" s="119">
        <f t="shared" si="12"/>
        <v>354192.4189356846</v>
      </c>
      <c r="H68" s="119">
        <f t="shared" si="12"/>
        <v>421773.57247224235</v>
      </c>
      <c r="I68" s="119">
        <f t="shared" si="12"/>
        <v>426839.32494825433</v>
      </c>
      <c r="J68" s="119">
        <f t="shared" si="12"/>
        <v>432510.43731380661</v>
      </c>
      <c r="K68" s="119">
        <f t="shared" si="12"/>
        <v>438128.43945736066</v>
      </c>
      <c r="L68" s="119">
        <f t="shared" si="12"/>
        <v>444026.88491830981</v>
      </c>
      <c r="M68" s="119">
        <f t="shared" si="12"/>
        <v>449694.30290576781</v>
      </c>
      <c r="N68" s="119">
        <f t="shared" si="12"/>
        <v>455263.15412477782</v>
      </c>
      <c r="O68" s="119">
        <f t="shared" si="12"/>
        <v>460757.60236656741</v>
      </c>
      <c r="P68" s="119">
        <f t="shared" si="12"/>
        <v>466233.08310431667</v>
      </c>
      <c r="Q68" s="119">
        <f t="shared" si="12"/>
        <v>471677.23887640517</v>
      </c>
      <c r="R68" s="119">
        <f t="shared" si="12"/>
        <v>476890.37057217915</v>
      </c>
      <c r="S68" s="119">
        <f t="shared" si="12"/>
        <v>482285.67512493598</v>
      </c>
      <c r="T68" s="119">
        <f t="shared" si="12"/>
        <v>487901.50727230922</v>
      </c>
      <c r="U68" s="119">
        <f t="shared" si="12"/>
        <v>493549.65662710532</v>
      </c>
      <c r="V68" s="119">
        <f t="shared" si="12"/>
        <v>499069.88843916758</v>
      </c>
      <c r="W68" s="119">
        <f t="shared" si="12"/>
        <v>504651.86268960393</v>
      </c>
    </row>
    <row r="69" spans="1:23">
      <c r="A69" s="87" t="str">
        <f>+A39</f>
        <v>b. Curtailable/Interruptible Tariff</v>
      </c>
      <c r="B69" s="235">
        <f>SUM(KeyAssumptions!F12:H12)</f>
        <v>0</v>
      </c>
      <c r="C69" s="119">
        <f t="shared" ref="C69:W69" si="13">MAX(0,($B$69*C39))</f>
        <v>0</v>
      </c>
      <c r="D69" s="119">
        <f t="shared" si="13"/>
        <v>0</v>
      </c>
      <c r="E69" s="119">
        <f t="shared" si="13"/>
        <v>0</v>
      </c>
      <c r="F69" s="119">
        <f t="shared" si="13"/>
        <v>0</v>
      </c>
      <c r="G69" s="119">
        <f t="shared" si="13"/>
        <v>0</v>
      </c>
      <c r="H69" s="119">
        <f t="shared" si="13"/>
        <v>0</v>
      </c>
      <c r="I69" s="119">
        <f t="shared" si="13"/>
        <v>0</v>
      </c>
      <c r="J69" s="119">
        <f t="shared" si="13"/>
        <v>0</v>
      </c>
      <c r="K69" s="119">
        <f t="shared" si="13"/>
        <v>0</v>
      </c>
      <c r="L69" s="119">
        <f t="shared" si="13"/>
        <v>0</v>
      </c>
      <c r="M69" s="119">
        <f t="shared" si="13"/>
        <v>0</v>
      </c>
      <c r="N69" s="119">
        <f t="shared" si="13"/>
        <v>0</v>
      </c>
      <c r="O69" s="119">
        <f t="shared" si="13"/>
        <v>0</v>
      </c>
      <c r="P69" s="119">
        <f t="shared" si="13"/>
        <v>0</v>
      </c>
      <c r="Q69" s="119">
        <f t="shared" si="13"/>
        <v>0</v>
      </c>
      <c r="R69" s="119">
        <f t="shared" si="13"/>
        <v>0</v>
      </c>
      <c r="S69" s="119">
        <f t="shared" si="13"/>
        <v>0</v>
      </c>
      <c r="T69" s="119">
        <f t="shared" si="13"/>
        <v>0</v>
      </c>
      <c r="U69" s="119">
        <f t="shared" si="13"/>
        <v>0</v>
      </c>
      <c r="V69" s="119">
        <f t="shared" si="13"/>
        <v>0</v>
      </c>
      <c r="W69" s="119">
        <f t="shared" si="13"/>
        <v>0</v>
      </c>
    </row>
    <row r="70" spans="1:23">
      <c r="A70" s="87"/>
      <c r="B70" s="113"/>
      <c r="C70" s="120"/>
      <c r="D70" s="120"/>
      <c r="E70" s="120"/>
      <c r="F70" s="120"/>
      <c r="G70" s="120"/>
      <c r="H70" s="120"/>
      <c r="I70" s="120"/>
      <c r="J70" s="120"/>
      <c r="K70" s="120"/>
      <c r="L70" s="120"/>
      <c r="M70" s="120"/>
      <c r="N70" s="120"/>
      <c r="O70" s="120"/>
      <c r="P70" s="120"/>
      <c r="Q70" s="120"/>
      <c r="R70" s="120"/>
      <c r="S70" s="120"/>
      <c r="T70" s="120"/>
      <c r="U70" s="120"/>
      <c r="V70" s="120"/>
      <c r="W70" s="120"/>
    </row>
    <row r="71" spans="1:23">
      <c r="A71" s="129" t="s">
        <v>296</v>
      </c>
      <c r="B71" s="110"/>
      <c r="C71" s="122">
        <f>SUM(C68:C69)</f>
        <v>19694.08831015191</v>
      </c>
      <c r="D71" s="122">
        <f t="shared" ref="D71:W71" si="14">SUM(D68:D69)</f>
        <v>99908.58814792287</v>
      </c>
      <c r="E71" s="122">
        <f t="shared" si="14"/>
        <v>182461.33213824761</v>
      </c>
      <c r="F71" s="122">
        <f t="shared" si="14"/>
        <v>267229.74152788369</v>
      </c>
      <c r="G71" s="122">
        <f t="shared" si="14"/>
        <v>354192.4189356846</v>
      </c>
      <c r="H71" s="122">
        <f t="shared" si="14"/>
        <v>421773.57247224235</v>
      </c>
      <c r="I71" s="122">
        <f t="shared" si="14"/>
        <v>426839.32494825433</v>
      </c>
      <c r="J71" s="122">
        <f t="shared" si="14"/>
        <v>432510.43731380661</v>
      </c>
      <c r="K71" s="122">
        <f t="shared" si="14"/>
        <v>438128.43945736066</v>
      </c>
      <c r="L71" s="122">
        <f t="shared" si="14"/>
        <v>444026.88491830981</v>
      </c>
      <c r="M71" s="122">
        <f t="shared" si="14"/>
        <v>449694.30290576781</v>
      </c>
      <c r="N71" s="122">
        <f t="shared" si="14"/>
        <v>455263.15412477782</v>
      </c>
      <c r="O71" s="122">
        <f t="shared" si="14"/>
        <v>460757.60236656741</v>
      </c>
      <c r="P71" s="122">
        <f t="shared" si="14"/>
        <v>466233.08310431667</v>
      </c>
      <c r="Q71" s="122">
        <f t="shared" si="14"/>
        <v>471677.23887640517</v>
      </c>
      <c r="R71" s="122">
        <f t="shared" si="14"/>
        <v>476890.37057217915</v>
      </c>
      <c r="S71" s="122">
        <f t="shared" si="14"/>
        <v>482285.67512493598</v>
      </c>
      <c r="T71" s="122">
        <f t="shared" si="14"/>
        <v>487901.50727230922</v>
      </c>
      <c r="U71" s="122">
        <f t="shared" si="14"/>
        <v>493549.65662710532</v>
      </c>
      <c r="V71" s="122">
        <f t="shared" si="14"/>
        <v>499069.88843916758</v>
      </c>
      <c r="W71" s="122">
        <f t="shared" si="14"/>
        <v>504651.86268960393</v>
      </c>
    </row>
    <row r="72" spans="1:23">
      <c r="A72" s="113"/>
      <c r="B72" s="113"/>
      <c r="C72" s="124"/>
      <c r="D72" s="124"/>
      <c r="E72" s="124"/>
      <c r="F72" s="124"/>
      <c r="G72" s="124"/>
      <c r="H72" s="124"/>
      <c r="I72" s="124"/>
      <c r="J72" s="124"/>
      <c r="K72" s="124"/>
      <c r="L72" s="124"/>
      <c r="M72" s="124"/>
      <c r="N72" s="124"/>
      <c r="O72" s="124"/>
      <c r="P72" s="124"/>
      <c r="Q72" s="124"/>
      <c r="R72" s="124"/>
      <c r="S72" s="124"/>
      <c r="T72" s="124"/>
      <c r="U72" s="124"/>
      <c r="V72" s="124"/>
      <c r="W72" s="124"/>
    </row>
    <row r="73" spans="1:23">
      <c r="A73" s="98" t="s">
        <v>278</v>
      </c>
      <c r="B73" s="98"/>
      <c r="C73" s="114"/>
      <c r="D73" s="130"/>
      <c r="E73" s="131"/>
      <c r="F73" s="132"/>
      <c r="G73" s="123"/>
      <c r="H73" s="133"/>
      <c r="I73" s="123"/>
      <c r="J73" s="78"/>
      <c r="L73" s="78"/>
    </row>
    <row r="74" spans="1:23">
      <c r="A74" s="113"/>
      <c r="B74" s="113"/>
      <c r="C74" s="114"/>
      <c r="D74" s="130"/>
      <c r="E74" s="131"/>
      <c r="F74" s="132"/>
      <c r="G74" s="123"/>
      <c r="H74" s="133"/>
      <c r="I74" s="123"/>
      <c r="J74" s="78"/>
      <c r="L74" s="78"/>
    </row>
    <row r="75" spans="1:23">
      <c r="A75" s="518" t="s">
        <v>214</v>
      </c>
      <c r="B75" s="497" t="s">
        <v>356</v>
      </c>
      <c r="C75" s="505" t="s">
        <v>223</v>
      </c>
      <c r="D75" s="505"/>
      <c r="E75" s="505"/>
      <c r="F75" s="505"/>
      <c r="G75" s="505"/>
      <c r="H75" s="505"/>
      <c r="I75" s="505"/>
      <c r="J75" s="505"/>
      <c r="K75" s="505"/>
      <c r="L75" s="505"/>
      <c r="M75" s="505"/>
      <c r="N75" s="505"/>
      <c r="O75" s="505"/>
      <c r="P75" s="505"/>
      <c r="Q75" s="505"/>
      <c r="R75" s="505"/>
      <c r="S75" s="505"/>
      <c r="T75" s="505"/>
      <c r="U75" s="505"/>
      <c r="V75" s="505"/>
      <c r="W75" s="505"/>
    </row>
    <row r="76" spans="1:23">
      <c r="A76" s="519"/>
      <c r="B76" s="497"/>
      <c r="C76" s="102">
        <v>2015</v>
      </c>
      <c r="D76" s="102">
        <v>2016</v>
      </c>
      <c r="E76" s="102">
        <v>2017</v>
      </c>
      <c r="F76" s="102">
        <v>2018</v>
      </c>
      <c r="G76" s="102">
        <v>2019</v>
      </c>
      <c r="H76" s="102">
        <v>2020</v>
      </c>
      <c r="I76" s="102">
        <v>2021</v>
      </c>
      <c r="J76" s="102">
        <v>2022</v>
      </c>
      <c r="K76" s="102">
        <v>2023</v>
      </c>
      <c r="L76" s="102">
        <v>2024</v>
      </c>
      <c r="M76" s="102">
        <v>2025</v>
      </c>
      <c r="N76" s="102">
        <v>2026</v>
      </c>
      <c r="O76" s="102">
        <v>2027</v>
      </c>
      <c r="P76" s="102">
        <v>2028</v>
      </c>
      <c r="Q76" s="102">
        <v>2029</v>
      </c>
      <c r="R76" s="102">
        <v>2030</v>
      </c>
      <c r="S76" s="102">
        <v>2031</v>
      </c>
      <c r="T76" s="102">
        <v>2032</v>
      </c>
      <c r="U76" s="102">
        <v>2033</v>
      </c>
      <c r="V76" s="102">
        <v>2034</v>
      </c>
      <c r="W76" s="102">
        <v>2035</v>
      </c>
    </row>
    <row r="77" spans="1:23">
      <c r="A77" s="134"/>
      <c r="B77" s="135"/>
      <c r="C77" s="135"/>
      <c r="D77" s="136"/>
      <c r="E77" s="136"/>
      <c r="F77" s="136"/>
      <c r="G77" s="136"/>
      <c r="H77" s="136"/>
      <c r="I77" s="136"/>
      <c r="J77" s="136"/>
      <c r="K77" s="136"/>
      <c r="L77" s="136"/>
      <c r="M77" s="136"/>
      <c r="N77" s="136"/>
      <c r="O77" s="136"/>
      <c r="P77" s="136"/>
      <c r="Q77" s="136"/>
      <c r="R77" s="136"/>
      <c r="S77" s="136"/>
      <c r="T77" s="136"/>
      <c r="U77" s="136"/>
      <c r="V77" s="136"/>
      <c r="W77" s="136"/>
    </row>
    <row r="78" spans="1:23">
      <c r="A78" s="253" t="str">
        <f>A38</f>
        <v>a. Irrigation Pumping - Switch</v>
      </c>
      <c r="B78" s="139">
        <f>KeyAssumptions!I11</f>
        <v>10</v>
      </c>
      <c r="C78" s="202">
        <f>$B78*C58*1000</f>
        <v>4252.1327033282541</v>
      </c>
      <c r="D78" s="202">
        <f t="shared" ref="D78:W78" si="15">$B78*D58*1000</f>
        <v>21571.172441028801</v>
      </c>
      <c r="E78" s="202">
        <f t="shared" si="15"/>
        <v>39395.06034803074</v>
      </c>
      <c r="F78" s="202">
        <f t="shared" si="15"/>
        <v>57697.330557156696</v>
      </c>
      <c r="G78" s="202">
        <f t="shared" si="15"/>
        <v>76473.363179295542</v>
      </c>
      <c r="H78" s="202">
        <f t="shared" si="15"/>
        <v>91064.74860196143</v>
      </c>
      <c r="I78" s="202">
        <f t="shared" si="15"/>
        <v>92158.490613827642</v>
      </c>
      <c r="J78" s="202">
        <f t="shared" si="15"/>
        <v>93382.935329117332</v>
      </c>
      <c r="K78" s="202">
        <f t="shared" si="15"/>
        <v>94595.913064657419</v>
      </c>
      <c r="L78" s="202">
        <f t="shared" si="15"/>
        <v>95869.441061907797</v>
      </c>
      <c r="M78" s="202">
        <f t="shared" si="15"/>
        <v>97093.088127381692</v>
      </c>
      <c r="N78" s="202">
        <f t="shared" si="15"/>
        <v>98295.453731486137</v>
      </c>
      <c r="O78" s="202">
        <f t="shared" si="15"/>
        <v>99481.755056417969</v>
      </c>
      <c r="P78" s="202">
        <f t="shared" si="15"/>
        <v>100663.96112479565</v>
      </c>
      <c r="Q78" s="202">
        <f t="shared" si="15"/>
        <v>101839.40384831475</v>
      </c>
      <c r="R78" s="202">
        <f t="shared" si="15"/>
        <v>102964.96637353869</v>
      </c>
      <c r="S78" s="202">
        <f t="shared" si="15"/>
        <v>104129.86167470209</v>
      </c>
      <c r="T78" s="202">
        <f t="shared" si="15"/>
        <v>105342.37088833949</v>
      </c>
      <c r="U78" s="202">
        <f t="shared" si="15"/>
        <v>106561.85768085228</v>
      </c>
      <c r="V78" s="202">
        <f t="shared" si="15"/>
        <v>107753.72591300211</v>
      </c>
      <c r="W78" s="202">
        <f t="shared" si="15"/>
        <v>108958.92489889177</v>
      </c>
    </row>
    <row r="79" spans="1:23">
      <c r="A79" s="138" t="str">
        <f>A39</f>
        <v>b. Curtailable/Interruptible Tariff</v>
      </c>
      <c r="B79" s="139">
        <f>KeyAssumptions!I12</f>
        <v>10</v>
      </c>
      <c r="C79" s="202">
        <f>$B79*C59*1000</f>
        <v>240954.18652193429</v>
      </c>
      <c r="D79" s="202">
        <f t="shared" ref="D79:W79" si="16">$B79*D59*1000</f>
        <v>1222366.4383249658</v>
      </c>
      <c r="E79" s="202">
        <f t="shared" si="16"/>
        <v>2232386.7530550756</v>
      </c>
      <c r="F79" s="202">
        <f t="shared" si="16"/>
        <v>3269515.3982388792</v>
      </c>
      <c r="G79" s="202">
        <f t="shared" si="16"/>
        <v>4333490.5801600795</v>
      </c>
      <c r="H79" s="202">
        <f t="shared" si="16"/>
        <v>5160335.7541111475</v>
      </c>
      <c r="I79" s="202">
        <f t="shared" si="16"/>
        <v>5222314.4681169</v>
      </c>
      <c r="J79" s="202">
        <f t="shared" si="16"/>
        <v>5291699.6686499827</v>
      </c>
      <c r="K79" s="202">
        <f t="shared" si="16"/>
        <v>5360435.0736639211</v>
      </c>
      <c r="L79" s="202">
        <f t="shared" si="16"/>
        <v>5432601.6601747759</v>
      </c>
      <c r="M79" s="202">
        <f t="shared" si="16"/>
        <v>5501941.6605516281</v>
      </c>
      <c r="N79" s="202">
        <f t="shared" si="16"/>
        <v>5570075.7114508804</v>
      </c>
      <c r="O79" s="202">
        <f t="shared" si="16"/>
        <v>5637299.4531970182</v>
      </c>
      <c r="P79" s="202">
        <f t="shared" si="16"/>
        <v>5704291.130405087</v>
      </c>
      <c r="Q79" s="202">
        <f t="shared" si="16"/>
        <v>5770899.5514045022</v>
      </c>
      <c r="R79" s="202">
        <f t="shared" si="16"/>
        <v>5834681.4278338579</v>
      </c>
      <c r="S79" s="202">
        <f t="shared" si="16"/>
        <v>5900692.1615664503</v>
      </c>
      <c r="T79" s="202">
        <f t="shared" si="16"/>
        <v>5969401.0170059046</v>
      </c>
      <c r="U79" s="202">
        <f t="shared" si="16"/>
        <v>6038505.2685816288</v>
      </c>
      <c r="V79" s="202">
        <f t="shared" si="16"/>
        <v>6106044.4684034511</v>
      </c>
      <c r="W79" s="202">
        <f t="shared" si="16"/>
        <v>6174339.0776038673</v>
      </c>
    </row>
    <row r="80" spans="1:23">
      <c r="A80" s="144"/>
      <c r="B80" s="145"/>
      <c r="C80" s="137"/>
      <c r="D80" s="137"/>
      <c r="E80" s="137"/>
      <c r="F80" s="137"/>
      <c r="G80" s="137"/>
      <c r="H80" s="137"/>
      <c r="I80" s="137"/>
      <c r="J80" s="137"/>
      <c r="K80" s="137"/>
      <c r="L80" s="137"/>
      <c r="M80" s="137"/>
      <c r="N80" s="137"/>
      <c r="O80" s="137"/>
      <c r="P80" s="137"/>
      <c r="Q80" s="137"/>
      <c r="R80" s="137"/>
      <c r="S80" s="137"/>
      <c r="T80" s="137"/>
      <c r="U80" s="137"/>
      <c r="V80" s="137"/>
      <c r="W80" s="137"/>
    </row>
    <row r="81" spans="1:23">
      <c r="A81" s="146" t="s">
        <v>224</v>
      </c>
      <c r="B81" s="147"/>
      <c r="C81" s="148">
        <f>SUM(C78:C79)</f>
        <v>245206.31922526253</v>
      </c>
      <c r="D81" s="148">
        <f t="shared" ref="D81:V81" si="17">SUM(D78:D79)</f>
        <v>1243937.6107659945</v>
      </c>
      <c r="E81" s="148">
        <f t="shared" si="17"/>
        <v>2271781.8134031063</v>
      </c>
      <c r="F81" s="148">
        <f t="shared" si="17"/>
        <v>3327212.728796036</v>
      </c>
      <c r="G81" s="148">
        <f t="shared" si="17"/>
        <v>4409963.9433393748</v>
      </c>
      <c r="H81" s="148">
        <f t="shared" si="17"/>
        <v>5251400.5027131094</v>
      </c>
      <c r="I81" s="148">
        <f t="shared" si="17"/>
        <v>5314472.9587307274</v>
      </c>
      <c r="J81" s="148">
        <f t="shared" si="17"/>
        <v>5385082.6039790995</v>
      </c>
      <c r="K81" s="148">
        <f t="shared" si="17"/>
        <v>5455030.9867285788</v>
      </c>
      <c r="L81" s="148">
        <f t="shared" si="17"/>
        <v>5528471.1012366833</v>
      </c>
      <c r="M81" s="148">
        <f t="shared" si="17"/>
        <v>5599034.7486790102</v>
      </c>
      <c r="N81" s="148">
        <f t="shared" si="17"/>
        <v>5668371.165182367</v>
      </c>
      <c r="O81" s="148">
        <f t="shared" si="17"/>
        <v>5736781.2082534358</v>
      </c>
      <c r="P81" s="148">
        <f t="shared" si="17"/>
        <v>5804955.0915298825</v>
      </c>
      <c r="Q81" s="148">
        <f t="shared" si="17"/>
        <v>5872738.9552528169</v>
      </c>
      <c r="R81" s="148">
        <f t="shared" si="17"/>
        <v>5937646.3942073965</v>
      </c>
      <c r="S81" s="148">
        <f t="shared" si="17"/>
        <v>6004822.0232411521</v>
      </c>
      <c r="T81" s="148">
        <f t="shared" si="17"/>
        <v>6074743.3878942439</v>
      </c>
      <c r="U81" s="148">
        <f t="shared" si="17"/>
        <v>6145067.1262624813</v>
      </c>
      <c r="V81" s="148">
        <f t="shared" si="17"/>
        <v>6213798.1943164533</v>
      </c>
      <c r="W81" s="148">
        <f>SUM(W78:W79)</f>
        <v>6283298.002502759</v>
      </c>
    </row>
    <row r="82" spans="1:23">
      <c r="A82" s="123"/>
      <c r="B82" s="123"/>
      <c r="C82" s="149"/>
      <c r="D82" s="149"/>
      <c r="E82" s="149"/>
      <c r="F82" s="149"/>
      <c r="G82" s="149"/>
      <c r="H82" s="149"/>
      <c r="I82" s="149"/>
      <c r="J82" s="149"/>
      <c r="K82" s="149"/>
      <c r="L82" s="149"/>
      <c r="M82" s="149"/>
      <c r="N82" s="149"/>
      <c r="O82" s="149"/>
      <c r="P82" s="149"/>
      <c r="Q82" s="149"/>
      <c r="R82" s="149"/>
      <c r="S82" s="149"/>
      <c r="T82" s="149"/>
      <c r="U82" s="149"/>
      <c r="V82" s="149"/>
      <c r="W82" s="149"/>
    </row>
    <row r="83" spans="1:23">
      <c r="A83" s="98" t="s">
        <v>312</v>
      </c>
      <c r="B83" s="98"/>
      <c r="C83" s="114"/>
      <c r="D83" s="130"/>
      <c r="E83" s="131"/>
      <c r="F83" s="193"/>
      <c r="G83" s="123"/>
      <c r="H83" s="133"/>
      <c r="I83" s="123"/>
      <c r="J83" s="78"/>
      <c r="L83" s="78"/>
    </row>
    <row r="84" spans="1:23">
      <c r="A84" s="113"/>
      <c r="B84" s="113"/>
      <c r="C84" s="114"/>
      <c r="D84" s="130"/>
      <c r="E84" s="131"/>
      <c r="F84" s="132"/>
      <c r="G84" s="123"/>
      <c r="H84" s="133"/>
      <c r="I84" s="123"/>
      <c r="J84" s="78"/>
      <c r="L84" s="78"/>
    </row>
    <row r="85" spans="1:23">
      <c r="A85" s="513" t="s">
        <v>214</v>
      </c>
      <c r="B85" s="514"/>
      <c r="C85" s="209">
        <v>2015</v>
      </c>
      <c r="D85" s="209">
        <v>2016</v>
      </c>
      <c r="E85" s="209">
        <v>2017</v>
      </c>
      <c r="F85" s="209">
        <v>2018</v>
      </c>
      <c r="G85" s="209">
        <v>2019</v>
      </c>
      <c r="H85" s="209">
        <v>2020</v>
      </c>
      <c r="I85" s="209">
        <v>2021</v>
      </c>
      <c r="J85" s="209">
        <v>2022</v>
      </c>
      <c r="K85" s="209">
        <v>2023</v>
      </c>
      <c r="L85" s="209">
        <v>2024</v>
      </c>
      <c r="M85" s="209">
        <v>2025</v>
      </c>
      <c r="N85" s="209">
        <v>2026</v>
      </c>
      <c r="O85" s="209">
        <v>2027</v>
      </c>
      <c r="P85" s="209">
        <v>2028</v>
      </c>
      <c r="Q85" s="209">
        <v>2029</v>
      </c>
      <c r="R85" s="209">
        <v>2030</v>
      </c>
      <c r="S85" s="209">
        <v>2031</v>
      </c>
      <c r="T85" s="209">
        <v>2032</v>
      </c>
      <c r="U85" s="209">
        <v>2033</v>
      </c>
      <c r="V85" s="209">
        <v>2034</v>
      </c>
      <c r="W85" s="209">
        <v>2035</v>
      </c>
    </row>
    <row r="86" spans="1:23">
      <c r="A86" s="146" t="str">
        <f>A71</f>
        <v>TOTAL ENABLEMENT COSTS</v>
      </c>
      <c r="B86" s="150"/>
      <c r="C86" s="151">
        <f t="shared" ref="C86:W86" si="18">C71</f>
        <v>19694.08831015191</v>
      </c>
      <c r="D86" s="151">
        <f t="shared" si="18"/>
        <v>99908.58814792287</v>
      </c>
      <c r="E86" s="151">
        <f t="shared" si="18"/>
        <v>182461.33213824761</v>
      </c>
      <c r="F86" s="151">
        <f t="shared" si="18"/>
        <v>267229.74152788369</v>
      </c>
      <c r="G86" s="151">
        <f t="shared" si="18"/>
        <v>354192.4189356846</v>
      </c>
      <c r="H86" s="151">
        <f t="shared" si="18"/>
        <v>421773.57247224235</v>
      </c>
      <c r="I86" s="151">
        <f t="shared" si="18"/>
        <v>426839.32494825433</v>
      </c>
      <c r="J86" s="151">
        <f t="shared" si="18"/>
        <v>432510.43731380661</v>
      </c>
      <c r="K86" s="151">
        <f t="shared" si="18"/>
        <v>438128.43945736066</v>
      </c>
      <c r="L86" s="151">
        <f t="shared" si="18"/>
        <v>444026.88491830981</v>
      </c>
      <c r="M86" s="151">
        <f t="shared" si="18"/>
        <v>449694.30290576781</v>
      </c>
      <c r="N86" s="151">
        <f t="shared" si="18"/>
        <v>455263.15412477782</v>
      </c>
      <c r="O86" s="151">
        <f t="shared" si="18"/>
        <v>460757.60236656741</v>
      </c>
      <c r="P86" s="151">
        <f t="shared" si="18"/>
        <v>466233.08310431667</v>
      </c>
      <c r="Q86" s="151">
        <f t="shared" si="18"/>
        <v>471677.23887640517</v>
      </c>
      <c r="R86" s="151">
        <f t="shared" si="18"/>
        <v>476890.37057217915</v>
      </c>
      <c r="S86" s="151">
        <f t="shared" si="18"/>
        <v>482285.67512493598</v>
      </c>
      <c r="T86" s="151">
        <f t="shared" si="18"/>
        <v>487901.50727230922</v>
      </c>
      <c r="U86" s="151">
        <f t="shared" si="18"/>
        <v>493549.65662710532</v>
      </c>
      <c r="V86" s="151">
        <f t="shared" si="18"/>
        <v>499069.88843916758</v>
      </c>
      <c r="W86" s="151">
        <f t="shared" si="18"/>
        <v>504651.86268960393</v>
      </c>
    </row>
    <row r="87" spans="1:23">
      <c r="A87" s="146" t="str">
        <f>A81</f>
        <v>TOTAL IMPLEMENTATION COST</v>
      </c>
      <c r="B87" s="150"/>
      <c r="C87" s="151">
        <f t="shared" ref="C87:W87" si="19">C81</f>
        <v>245206.31922526253</v>
      </c>
      <c r="D87" s="151">
        <f t="shared" si="19"/>
        <v>1243937.6107659945</v>
      </c>
      <c r="E87" s="151">
        <f t="shared" si="19"/>
        <v>2271781.8134031063</v>
      </c>
      <c r="F87" s="151">
        <f t="shared" si="19"/>
        <v>3327212.728796036</v>
      </c>
      <c r="G87" s="151">
        <f t="shared" si="19"/>
        <v>4409963.9433393748</v>
      </c>
      <c r="H87" s="151">
        <f t="shared" si="19"/>
        <v>5251400.5027131094</v>
      </c>
      <c r="I87" s="151">
        <f t="shared" si="19"/>
        <v>5314472.9587307274</v>
      </c>
      <c r="J87" s="151">
        <f t="shared" si="19"/>
        <v>5385082.6039790995</v>
      </c>
      <c r="K87" s="151">
        <f t="shared" si="19"/>
        <v>5455030.9867285788</v>
      </c>
      <c r="L87" s="151">
        <f t="shared" si="19"/>
        <v>5528471.1012366833</v>
      </c>
      <c r="M87" s="151">
        <f t="shared" si="19"/>
        <v>5599034.7486790102</v>
      </c>
      <c r="N87" s="151">
        <f t="shared" si="19"/>
        <v>5668371.165182367</v>
      </c>
      <c r="O87" s="151">
        <f t="shared" si="19"/>
        <v>5736781.2082534358</v>
      </c>
      <c r="P87" s="151">
        <f t="shared" si="19"/>
        <v>5804955.0915298825</v>
      </c>
      <c r="Q87" s="151">
        <f t="shared" si="19"/>
        <v>5872738.9552528169</v>
      </c>
      <c r="R87" s="151">
        <f t="shared" si="19"/>
        <v>5937646.3942073965</v>
      </c>
      <c r="S87" s="151">
        <f t="shared" si="19"/>
        <v>6004822.0232411521</v>
      </c>
      <c r="T87" s="151">
        <f t="shared" si="19"/>
        <v>6074743.3878942439</v>
      </c>
      <c r="U87" s="151">
        <f t="shared" si="19"/>
        <v>6145067.1262624813</v>
      </c>
      <c r="V87" s="151">
        <f t="shared" si="19"/>
        <v>6213798.1943164533</v>
      </c>
      <c r="W87" s="151">
        <f t="shared" si="19"/>
        <v>6283298.002502759</v>
      </c>
    </row>
    <row r="88" spans="1:23">
      <c r="A88" s="152" t="s">
        <v>226</v>
      </c>
      <c r="B88" s="150"/>
      <c r="C88" s="153">
        <f>SUM(C86:C87)</f>
        <v>264900.40753541444</v>
      </c>
      <c r="D88" s="153">
        <f t="shared" ref="D88:W88" si="20">SUM(D86:D87)</f>
        <v>1343846.1989139174</v>
      </c>
      <c r="E88" s="153">
        <f t="shared" si="20"/>
        <v>2454243.1455413541</v>
      </c>
      <c r="F88" s="153">
        <f t="shared" si="20"/>
        <v>3594442.4703239198</v>
      </c>
      <c r="G88" s="153">
        <f t="shared" si="20"/>
        <v>4764156.3622750593</v>
      </c>
      <c r="H88" s="153">
        <f t="shared" si="20"/>
        <v>5673174.075185352</v>
      </c>
      <c r="I88" s="153">
        <f t="shared" si="20"/>
        <v>5741312.2836789815</v>
      </c>
      <c r="J88" s="153">
        <f t="shared" si="20"/>
        <v>5817593.0412929058</v>
      </c>
      <c r="K88" s="153">
        <f t="shared" si="20"/>
        <v>5893159.4261859395</v>
      </c>
      <c r="L88" s="153">
        <f t="shared" si="20"/>
        <v>5972497.9861549931</v>
      </c>
      <c r="M88" s="153">
        <f t="shared" si="20"/>
        <v>6048729.0515847784</v>
      </c>
      <c r="N88" s="153">
        <f t="shared" si="20"/>
        <v>6123634.3193071447</v>
      </c>
      <c r="O88" s="153">
        <f t="shared" si="20"/>
        <v>6197538.8106200034</v>
      </c>
      <c r="P88" s="153">
        <f t="shared" si="20"/>
        <v>6271188.1746341996</v>
      </c>
      <c r="Q88" s="153">
        <f t="shared" si="20"/>
        <v>6344416.1941292221</v>
      </c>
      <c r="R88" s="153">
        <f t="shared" si="20"/>
        <v>6414536.7647795761</v>
      </c>
      <c r="S88" s="153">
        <f t="shared" si="20"/>
        <v>6487107.6983660879</v>
      </c>
      <c r="T88" s="153">
        <f t="shared" si="20"/>
        <v>6562644.8951665536</v>
      </c>
      <c r="U88" s="153">
        <f t="shared" si="20"/>
        <v>6638616.7828895869</v>
      </c>
      <c r="V88" s="153">
        <f t="shared" si="20"/>
        <v>6712868.0827556206</v>
      </c>
      <c r="W88" s="153">
        <f t="shared" si="20"/>
        <v>6787949.865192363</v>
      </c>
    </row>
    <row r="91" spans="1:23" s="70" customFormat="1" ht="14.4"/>
  </sheetData>
  <mergeCells count="15">
    <mergeCell ref="B55:B56"/>
    <mergeCell ref="C55:W55"/>
    <mergeCell ref="A1:W1"/>
    <mergeCell ref="C4:W4"/>
    <mergeCell ref="C35:W35"/>
    <mergeCell ref="A45:A46"/>
    <mergeCell ref="B45:B46"/>
    <mergeCell ref="C45:W45"/>
    <mergeCell ref="A65:A66"/>
    <mergeCell ref="B65:B66"/>
    <mergeCell ref="C65:W65"/>
    <mergeCell ref="C75:W75"/>
    <mergeCell ref="A85:B85"/>
    <mergeCell ref="B75:B76"/>
    <mergeCell ref="A75:A76"/>
  </mergeCells>
  <pageMargins left="0.75" right="0.75" top="1" bottom="1" header="0.5" footer="0.5"/>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W121"/>
  <sheetViews>
    <sheetView topLeftCell="A13" workbookViewId="0">
      <selection activeCell="I28" sqref="I28"/>
    </sheetView>
  </sheetViews>
  <sheetFormatPr defaultRowHeight="13.2"/>
  <cols>
    <col min="1" max="1" width="33.88671875" style="76" customWidth="1"/>
    <col min="2" max="2" width="30.5546875" style="76" customWidth="1"/>
    <col min="3" max="4" width="15" style="76" customWidth="1"/>
    <col min="5" max="5" width="17" style="76" bestFit="1" customWidth="1"/>
    <col min="6" max="7" width="12.88671875" style="76" customWidth="1"/>
    <col min="8" max="8" width="13.6640625" style="76" customWidth="1"/>
    <col min="9" max="23" width="12.88671875" style="76" customWidth="1"/>
    <col min="24" max="255" width="9.109375" style="76"/>
    <col min="256" max="256" width="33.88671875" style="76" customWidth="1"/>
    <col min="257" max="257" width="19.33203125" style="76" customWidth="1"/>
    <col min="258" max="279" width="12.88671875" style="76" customWidth="1"/>
    <col min="280" max="511" width="9.109375" style="76"/>
    <col min="512" max="512" width="33.88671875" style="76" customWidth="1"/>
    <col min="513" max="513" width="19.33203125" style="76" customWidth="1"/>
    <col min="514" max="535" width="12.88671875" style="76" customWidth="1"/>
    <col min="536" max="767" width="9.109375" style="76"/>
    <col min="768" max="768" width="33.88671875" style="76" customWidth="1"/>
    <col min="769" max="769" width="19.33203125" style="76" customWidth="1"/>
    <col min="770" max="791" width="12.88671875" style="76" customWidth="1"/>
    <col min="792" max="1023" width="9.109375" style="76"/>
    <col min="1024" max="1024" width="33.88671875" style="76" customWidth="1"/>
    <col min="1025" max="1025" width="19.33203125" style="76" customWidth="1"/>
    <col min="1026" max="1047" width="12.88671875" style="76" customWidth="1"/>
    <col min="1048" max="1279" width="9.109375" style="76"/>
    <col min="1280" max="1280" width="33.88671875" style="76" customWidth="1"/>
    <col min="1281" max="1281" width="19.33203125" style="76" customWidth="1"/>
    <col min="1282" max="1303" width="12.88671875" style="76" customWidth="1"/>
    <col min="1304" max="1535" width="9.109375" style="76"/>
    <col min="1536" max="1536" width="33.88671875" style="76" customWidth="1"/>
    <col min="1537" max="1537" width="19.33203125" style="76" customWidth="1"/>
    <col min="1538" max="1559" width="12.88671875" style="76" customWidth="1"/>
    <col min="1560" max="1791" width="9.109375" style="76"/>
    <col min="1792" max="1792" width="33.88671875" style="76" customWidth="1"/>
    <col min="1793" max="1793" width="19.33203125" style="76" customWidth="1"/>
    <col min="1794" max="1815" width="12.88671875" style="76" customWidth="1"/>
    <col min="1816" max="2047" width="9.109375" style="76"/>
    <col min="2048" max="2048" width="33.88671875" style="76" customWidth="1"/>
    <col min="2049" max="2049" width="19.33203125" style="76" customWidth="1"/>
    <col min="2050" max="2071" width="12.88671875" style="76" customWidth="1"/>
    <col min="2072" max="2303" width="9.109375" style="76"/>
    <col min="2304" max="2304" width="33.88671875" style="76" customWidth="1"/>
    <col min="2305" max="2305" width="19.33203125" style="76" customWidth="1"/>
    <col min="2306" max="2327" width="12.88671875" style="76" customWidth="1"/>
    <col min="2328" max="2559" width="9.109375" style="76"/>
    <col min="2560" max="2560" width="33.88671875" style="76" customWidth="1"/>
    <col min="2561" max="2561" width="19.33203125" style="76" customWidth="1"/>
    <col min="2562" max="2583" width="12.88671875" style="76" customWidth="1"/>
    <col min="2584" max="2815" width="9.109375" style="76"/>
    <col min="2816" max="2816" width="33.88671875" style="76" customWidth="1"/>
    <col min="2817" max="2817" width="19.33203125" style="76" customWidth="1"/>
    <col min="2818" max="2839" width="12.88671875" style="76" customWidth="1"/>
    <col min="2840" max="3071" width="9.109375" style="76"/>
    <col min="3072" max="3072" width="33.88671875" style="76" customWidth="1"/>
    <col min="3073" max="3073" width="19.33203125" style="76" customWidth="1"/>
    <col min="3074" max="3095" width="12.88671875" style="76" customWidth="1"/>
    <col min="3096" max="3327" width="9.109375" style="76"/>
    <col min="3328" max="3328" width="33.88671875" style="76" customWidth="1"/>
    <col min="3329" max="3329" width="19.33203125" style="76" customWidth="1"/>
    <col min="3330" max="3351" width="12.88671875" style="76" customWidth="1"/>
    <col min="3352" max="3583" width="9.109375" style="76"/>
    <col min="3584" max="3584" width="33.88671875" style="76" customWidth="1"/>
    <col min="3585" max="3585" width="19.33203125" style="76" customWidth="1"/>
    <col min="3586" max="3607" width="12.88671875" style="76" customWidth="1"/>
    <col min="3608" max="3839" width="9.109375" style="76"/>
    <col min="3840" max="3840" width="33.88671875" style="76" customWidth="1"/>
    <col min="3841" max="3841" width="19.33203125" style="76" customWidth="1"/>
    <col min="3842" max="3863" width="12.88671875" style="76" customWidth="1"/>
    <col min="3864" max="4095" width="9.109375" style="76"/>
    <col min="4096" max="4096" width="33.88671875" style="76" customWidth="1"/>
    <col min="4097" max="4097" width="19.33203125" style="76" customWidth="1"/>
    <col min="4098" max="4119" width="12.88671875" style="76" customWidth="1"/>
    <col min="4120" max="4351" width="9.109375" style="76"/>
    <col min="4352" max="4352" width="33.88671875" style="76" customWidth="1"/>
    <col min="4353" max="4353" width="19.33203125" style="76" customWidth="1"/>
    <col min="4354" max="4375" width="12.88671875" style="76" customWidth="1"/>
    <col min="4376" max="4607" width="9.109375" style="76"/>
    <col min="4608" max="4608" width="33.88671875" style="76" customWidth="1"/>
    <col min="4609" max="4609" width="19.33203125" style="76" customWidth="1"/>
    <col min="4610" max="4631" width="12.88671875" style="76" customWidth="1"/>
    <col min="4632" max="4863" width="9.109375" style="76"/>
    <col min="4864" max="4864" width="33.88671875" style="76" customWidth="1"/>
    <col min="4865" max="4865" width="19.33203125" style="76" customWidth="1"/>
    <col min="4866" max="4887" width="12.88671875" style="76" customWidth="1"/>
    <col min="4888" max="5119" width="9.109375" style="76"/>
    <col min="5120" max="5120" width="33.88671875" style="76" customWidth="1"/>
    <col min="5121" max="5121" width="19.33203125" style="76" customWidth="1"/>
    <col min="5122" max="5143" width="12.88671875" style="76" customWidth="1"/>
    <col min="5144" max="5375" width="9.109375" style="76"/>
    <col min="5376" max="5376" width="33.88671875" style="76" customWidth="1"/>
    <col min="5377" max="5377" width="19.33203125" style="76" customWidth="1"/>
    <col min="5378" max="5399" width="12.88671875" style="76" customWidth="1"/>
    <col min="5400" max="5631" width="9.109375" style="76"/>
    <col min="5632" max="5632" width="33.88671875" style="76" customWidth="1"/>
    <col min="5633" max="5633" width="19.33203125" style="76" customWidth="1"/>
    <col min="5634" max="5655" width="12.88671875" style="76" customWidth="1"/>
    <col min="5656" max="5887" width="9.109375" style="76"/>
    <col min="5888" max="5888" width="33.88671875" style="76" customWidth="1"/>
    <col min="5889" max="5889" width="19.33203125" style="76" customWidth="1"/>
    <col min="5890" max="5911" width="12.88671875" style="76" customWidth="1"/>
    <col min="5912" max="6143" width="9.109375" style="76"/>
    <col min="6144" max="6144" width="33.88671875" style="76" customWidth="1"/>
    <col min="6145" max="6145" width="19.33203125" style="76" customWidth="1"/>
    <col min="6146" max="6167" width="12.88671875" style="76" customWidth="1"/>
    <col min="6168" max="6399" width="9.109375" style="76"/>
    <col min="6400" max="6400" width="33.88671875" style="76" customWidth="1"/>
    <col min="6401" max="6401" width="19.33203125" style="76" customWidth="1"/>
    <col min="6402" max="6423" width="12.88671875" style="76" customWidth="1"/>
    <col min="6424" max="6655" width="9.109375" style="76"/>
    <col min="6656" max="6656" width="33.88671875" style="76" customWidth="1"/>
    <col min="6657" max="6657" width="19.33203125" style="76" customWidth="1"/>
    <col min="6658" max="6679" width="12.88671875" style="76" customWidth="1"/>
    <col min="6680" max="6911" width="9.109375" style="76"/>
    <col min="6912" max="6912" width="33.88671875" style="76" customWidth="1"/>
    <col min="6913" max="6913" width="19.33203125" style="76" customWidth="1"/>
    <col min="6914" max="6935" width="12.88671875" style="76" customWidth="1"/>
    <col min="6936" max="7167" width="9.109375" style="76"/>
    <col min="7168" max="7168" width="33.88671875" style="76" customWidth="1"/>
    <col min="7169" max="7169" width="19.33203125" style="76" customWidth="1"/>
    <col min="7170" max="7191" width="12.88671875" style="76" customWidth="1"/>
    <col min="7192" max="7423" width="9.109375" style="76"/>
    <col min="7424" max="7424" width="33.88671875" style="76" customWidth="1"/>
    <col min="7425" max="7425" width="19.33203125" style="76" customWidth="1"/>
    <col min="7426" max="7447" width="12.88671875" style="76" customWidth="1"/>
    <col min="7448" max="7679" width="9.109375" style="76"/>
    <col min="7680" max="7680" width="33.88671875" style="76" customWidth="1"/>
    <col min="7681" max="7681" width="19.33203125" style="76" customWidth="1"/>
    <col min="7682" max="7703" width="12.88671875" style="76" customWidth="1"/>
    <col min="7704" max="7935" width="9.109375" style="76"/>
    <col min="7936" max="7936" width="33.88671875" style="76" customWidth="1"/>
    <col min="7937" max="7937" width="19.33203125" style="76" customWidth="1"/>
    <col min="7938" max="7959" width="12.88671875" style="76" customWidth="1"/>
    <col min="7960" max="8191" width="9.109375" style="76"/>
    <col min="8192" max="8192" width="33.88671875" style="76" customWidth="1"/>
    <col min="8193" max="8193" width="19.33203125" style="76" customWidth="1"/>
    <col min="8194" max="8215" width="12.88671875" style="76" customWidth="1"/>
    <col min="8216" max="8447" width="9.109375" style="76"/>
    <col min="8448" max="8448" width="33.88671875" style="76" customWidth="1"/>
    <col min="8449" max="8449" width="19.33203125" style="76" customWidth="1"/>
    <col min="8450" max="8471" width="12.88671875" style="76" customWidth="1"/>
    <col min="8472" max="8703" width="9.109375" style="76"/>
    <col min="8704" max="8704" width="33.88671875" style="76" customWidth="1"/>
    <col min="8705" max="8705" width="19.33203125" style="76" customWidth="1"/>
    <col min="8706" max="8727" width="12.88671875" style="76" customWidth="1"/>
    <col min="8728" max="8959" width="9.109375" style="76"/>
    <col min="8960" max="8960" width="33.88671875" style="76" customWidth="1"/>
    <col min="8961" max="8961" width="19.33203125" style="76" customWidth="1"/>
    <col min="8962" max="8983" width="12.88671875" style="76" customWidth="1"/>
    <col min="8984" max="9215" width="9.109375" style="76"/>
    <col min="9216" max="9216" width="33.88671875" style="76" customWidth="1"/>
    <col min="9217" max="9217" width="19.33203125" style="76" customWidth="1"/>
    <col min="9218" max="9239" width="12.88671875" style="76" customWidth="1"/>
    <col min="9240" max="9471" width="9.109375" style="76"/>
    <col min="9472" max="9472" width="33.88671875" style="76" customWidth="1"/>
    <col min="9473" max="9473" width="19.33203125" style="76" customWidth="1"/>
    <col min="9474" max="9495" width="12.88671875" style="76" customWidth="1"/>
    <col min="9496" max="9727" width="9.109375" style="76"/>
    <col min="9728" max="9728" width="33.88671875" style="76" customWidth="1"/>
    <col min="9729" max="9729" width="19.33203125" style="76" customWidth="1"/>
    <col min="9730" max="9751" width="12.88671875" style="76" customWidth="1"/>
    <col min="9752" max="9983" width="9.109375" style="76"/>
    <col min="9984" max="9984" width="33.88671875" style="76" customWidth="1"/>
    <col min="9985" max="9985" width="19.33203125" style="76" customWidth="1"/>
    <col min="9986" max="10007" width="12.88671875" style="76" customWidth="1"/>
    <col min="10008" max="10239" width="9.109375" style="76"/>
    <col min="10240" max="10240" width="33.88671875" style="76" customWidth="1"/>
    <col min="10241" max="10241" width="19.33203125" style="76" customWidth="1"/>
    <col min="10242" max="10263" width="12.88671875" style="76" customWidth="1"/>
    <col min="10264" max="10495" width="9.109375" style="76"/>
    <col min="10496" max="10496" width="33.88671875" style="76" customWidth="1"/>
    <col min="10497" max="10497" width="19.33203125" style="76" customWidth="1"/>
    <col min="10498" max="10519" width="12.88671875" style="76" customWidth="1"/>
    <col min="10520" max="10751" width="9.109375" style="76"/>
    <col min="10752" max="10752" width="33.88671875" style="76" customWidth="1"/>
    <col min="10753" max="10753" width="19.33203125" style="76" customWidth="1"/>
    <col min="10754" max="10775" width="12.88671875" style="76" customWidth="1"/>
    <col min="10776" max="11007" width="9.109375" style="76"/>
    <col min="11008" max="11008" width="33.88671875" style="76" customWidth="1"/>
    <col min="11009" max="11009" width="19.33203125" style="76" customWidth="1"/>
    <col min="11010" max="11031" width="12.88671875" style="76" customWidth="1"/>
    <col min="11032" max="11263" width="9.109375" style="76"/>
    <col min="11264" max="11264" width="33.88671875" style="76" customWidth="1"/>
    <col min="11265" max="11265" width="19.33203125" style="76" customWidth="1"/>
    <col min="11266" max="11287" width="12.88671875" style="76" customWidth="1"/>
    <col min="11288" max="11519" width="9.109375" style="76"/>
    <col min="11520" max="11520" width="33.88671875" style="76" customWidth="1"/>
    <col min="11521" max="11521" width="19.33203125" style="76" customWidth="1"/>
    <col min="11522" max="11543" width="12.88671875" style="76" customWidth="1"/>
    <col min="11544" max="11775" width="9.109375" style="76"/>
    <col min="11776" max="11776" width="33.88671875" style="76" customWidth="1"/>
    <col min="11777" max="11777" width="19.33203125" style="76" customWidth="1"/>
    <col min="11778" max="11799" width="12.88671875" style="76" customWidth="1"/>
    <col min="11800" max="12031" width="9.109375" style="76"/>
    <col min="12032" max="12032" width="33.88671875" style="76" customWidth="1"/>
    <col min="12033" max="12033" width="19.33203125" style="76" customWidth="1"/>
    <col min="12034" max="12055" width="12.88671875" style="76" customWidth="1"/>
    <col min="12056" max="12287" width="9.109375" style="76"/>
    <col min="12288" max="12288" width="33.88671875" style="76" customWidth="1"/>
    <col min="12289" max="12289" width="19.33203125" style="76" customWidth="1"/>
    <col min="12290" max="12311" width="12.88671875" style="76" customWidth="1"/>
    <col min="12312" max="12543" width="9.109375" style="76"/>
    <col min="12544" max="12544" width="33.88671875" style="76" customWidth="1"/>
    <col min="12545" max="12545" width="19.33203125" style="76" customWidth="1"/>
    <col min="12546" max="12567" width="12.88671875" style="76" customWidth="1"/>
    <col min="12568" max="12799" width="9.109375" style="76"/>
    <col min="12800" max="12800" width="33.88671875" style="76" customWidth="1"/>
    <col min="12801" max="12801" width="19.33203125" style="76" customWidth="1"/>
    <col min="12802" max="12823" width="12.88671875" style="76" customWidth="1"/>
    <col min="12824" max="13055" width="9.109375" style="76"/>
    <col min="13056" max="13056" width="33.88671875" style="76" customWidth="1"/>
    <col min="13057" max="13057" width="19.33203125" style="76" customWidth="1"/>
    <col min="13058" max="13079" width="12.88671875" style="76" customWidth="1"/>
    <col min="13080" max="13311" width="9.109375" style="76"/>
    <col min="13312" max="13312" width="33.88671875" style="76" customWidth="1"/>
    <col min="13313" max="13313" width="19.33203125" style="76" customWidth="1"/>
    <col min="13314" max="13335" width="12.88671875" style="76" customWidth="1"/>
    <col min="13336" max="13567" width="9.109375" style="76"/>
    <col min="13568" max="13568" width="33.88671875" style="76" customWidth="1"/>
    <col min="13569" max="13569" width="19.33203125" style="76" customWidth="1"/>
    <col min="13570" max="13591" width="12.88671875" style="76" customWidth="1"/>
    <col min="13592" max="13823" width="9.109375" style="76"/>
    <col min="13824" max="13824" width="33.88671875" style="76" customWidth="1"/>
    <col min="13825" max="13825" width="19.33203125" style="76" customWidth="1"/>
    <col min="13826" max="13847" width="12.88671875" style="76" customWidth="1"/>
    <col min="13848" max="14079" width="9.109375" style="76"/>
    <col min="14080" max="14080" width="33.88671875" style="76" customWidth="1"/>
    <col min="14081" max="14081" width="19.33203125" style="76" customWidth="1"/>
    <col min="14082" max="14103" width="12.88671875" style="76" customWidth="1"/>
    <col min="14104" max="14335" width="9.109375" style="76"/>
    <col min="14336" max="14336" width="33.88671875" style="76" customWidth="1"/>
    <col min="14337" max="14337" width="19.33203125" style="76" customWidth="1"/>
    <col min="14338" max="14359" width="12.88671875" style="76" customWidth="1"/>
    <col min="14360" max="14591" width="9.109375" style="76"/>
    <col min="14592" max="14592" width="33.88671875" style="76" customWidth="1"/>
    <col min="14593" max="14593" width="19.33203125" style="76" customWidth="1"/>
    <col min="14594" max="14615" width="12.88671875" style="76" customWidth="1"/>
    <col min="14616" max="14847" width="9.109375" style="76"/>
    <col min="14848" max="14848" width="33.88671875" style="76" customWidth="1"/>
    <col min="14849" max="14849" width="19.33203125" style="76" customWidth="1"/>
    <col min="14850" max="14871" width="12.88671875" style="76" customWidth="1"/>
    <col min="14872" max="15103" width="9.109375" style="76"/>
    <col min="15104" max="15104" width="33.88671875" style="76" customWidth="1"/>
    <col min="15105" max="15105" width="19.33203125" style="76" customWidth="1"/>
    <col min="15106" max="15127" width="12.88671875" style="76" customWidth="1"/>
    <col min="15128" max="15359" width="9.109375" style="76"/>
    <col min="15360" max="15360" width="33.88671875" style="76" customWidth="1"/>
    <col min="15361" max="15361" width="19.33203125" style="76" customWidth="1"/>
    <col min="15362" max="15383" width="12.88671875" style="76" customWidth="1"/>
    <col min="15384" max="15615" width="9.109375" style="76"/>
    <col min="15616" max="15616" width="33.88671875" style="76" customWidth="1"/>
    <col min="15617" max="15617" width="19.33203125" style="76" customWidth="1"/>
    <col min="15618" max="15639" width="12.88671875" style="76" customWidth="1"/>
    <col min="15640" max="15871" width="9.109375" style="76"/>
    <col min="15872" max="15872" width="33.88671875" style="76" customWidth="1"/>
    <col min="15873" max="15873" width="19.33203125" style="76" customWidth="1"/>
    <col min="15874" max="15895" width="12.88671875" style="76" customWidth="1"/>
    <col min="15896" max="16127" width="9.109375" style="76"/>
    <col min="16128" max="16128" width="33.88671875" style="76" customWidth="1"/>
    <col min="16129" max="16129" width="19.33203125" style="76" customWidth="1"/>
    <col min="16130" max="16151" width="12.88671875" style="76" customWidth="1"/>
    <col min="16152" max="16384" width="9.109375" style="76"/>
  </cols>
  <sheetData>
    <row r="1" spans="1:23" ht="16.2" thickBot="1">
      <c r="A1" s="494" t="s">
        <v>305</v>
      </c>
      <c r="B1" s="495"/>
      <c r="C1" s="495"/>
      <c r="D1" s="495"/>
      <c r="E1" s="495"/>
      <c r="F1" s="495"/>
      <c r="G1" s="495"/>
      <c r="H1" s="495"/>
      <c r="I1" s="495"/>
      <c r="J1" s="495"/>
      <c r="K1" s="495"/>
      <c r="L1" s="495"/>
      <c r="M1" s="495"/>
      <c r="N1" s="495"/>
      <c r="O1" s="495"/>
      <c r="P1" s="495"/>
      <c r="Q1" s="495"/>
      <c r="R1" s="495"/>
      <c r="S1" s="495"/>
      <c r="T1" s="495"/>
      <c r="U1" s="495"/>
      <c r="V1" s="495"/>
      <c r="W1" s="496"/>
    </row>
    <row r="2" spans="1:23" ht="16.2" thickBot="1">
      <c r="A2" s="181" t="s">
        <v>235</v>
      </c>
      <c r="B2" s="182"/>
      <c r="C2" s="182"/>
      <c r="D2" s="182"/>
      <c r="E2" s="182"/>
      <c r="F2" s="182"/>
      <c r="G2" s="182"/>
      <c r="H2" s="182"/>
      <c r="I2" s="182"/>
      <c r="J2" s="182"/>
      <c r="K2" s="182"/>
      <c r="L2" s="182"/>
      <c r="M2" s="183"/>
      <c r="N2" s="183"/>
      <c r="O2" s="183"/>
      <c r="P2" s="183"/>
      <c r="Q2" s="183"/>
      <c r="R2" s="183"/>
      <c r="S2" s="183"/>
      <c r="T2" s="183"/>
      <c r="U2" s="183"/>
      <c r="V2" s="183"/>
      <c r="W2" s="184"/>
    </row>
    <row r="3" spans="1:23" ht="15.6">
      <c r="A3" s="154" t="s">
        <v>233</v>
      </c>
      <c r="B3" s="155"/>
      <c r="C3" s="155"/>
      <c r="D3" s="156"/>
      <c r="E3" s="156"/>
      <c r="F3" s="156"/>
      <c r="G3" s="156"/>
      <c r="H3" s="156"/>
      <c r="I3" s="156"/>
      <c r="J3" s="156"/>
      <c r="K3" s="156"/>
      <c r="L3" s="156"/>
      <c r="M3" s="157"/>
      <c r="N3" s="157"/>
      <c r="O3" s="157"/>
      <c r="P3" s="157"/>
      <c r="Q3" s="157"/>
      <c r="R3" s="157"/>
      <c r="S3" s="157"/>
      <c r="T3" s="157"/>
      <c r="U3" s="157"/>
      <c r="V3" s="157"/>
      <c r="W3" s="158"/>
    </row>
    <row r="4" spans="1:23">
      <c r="A4" s="159"/>
      <c r="B4" s="160"/>
      <c r="C4" s="498" t="s">
        <v>230</v>
      </c>
      <c r="D4" s="498"/>
      <c r="E4" s="498"/>
      <c r="F4" s="498"/>
      <c r="G4" s="498"/>
      <c r="H4" s="498"/>
      <c r="I4" s="498"/>
      <c r="J4" s="498"/>
      <c r="K4" s="498"/>
      <c r="L4" s="498"/>
      <c r="M4" s="498"/>
      <c r="N4" s="498"/>
      <c r="O4" s="498"/>
      <c r="P4" s="498"/>
      <c r="Q4" s="498"/>
      <c r="R4" s="498"/>
      <c r="S4" s="498"/>
      <c r="T4" s="498"/>
      <c r="U4" s="498"/>
      <c r="V4" s="498"/>
      <c r="W4" s="499"/>
    </row>
    <row r="5" spans="1:23">
      <c r="A5" s="159"/>
      <c r="B5" s="161" t="s">
        <v>1</v>
      </c>
      <c r="C5" s="162">
        <v>2015</v>
      </c>
      <c r="D5" s="162">
        <v>2016</v>
      </c>
      <c r="E5" s="162">
        <v>2017</v>
      </c>
      <c r="F5" s="162">
        <v>2018</v>
      </c>
      <c r="G5" s="162">
        <v>2019</v>
      </c>
      <c r="H5" s="162">
        <v>2020</v>
      </c>
      <c r="I5" s="162">
        <v>2021</v>
      </c>
      <c r="J5" s="162">
        <v>2022</v>
      </c>
      <c r="K5" s="162">
        <v>2023</v>
      </c>
      <c r="L5" s="162">
        <v>2024</v>
      </c>
      <c r="M5" s="162">
        <v>2025</v>
      </c>
      <c r="N5" s="162">
        <v>2026</v>
      </c>
      <c r="O5" s="162">
        <v>2027</v>
      </c>
      <c r="P5" s="162">
        <v>2028</v>
      </c>
      <c r="Q5" s="162">
        <v>2029</v>
      </c>
      <c r="R5" s="162">
        <v>2030</v>
      </c>
      <c r="S5" s="162">
        <v>2031</v>
      </c>
      <c r="T5" s="162">
        <v>2032</v>
      </c>
      <c r="U5" s="162">
        <v>2033</v>
      </c>
      <c r="V5" s="162">
        <v>2034</v>
      </c>
      <c r="W5" s="163">
        <v>2035</v>
      </c>
    </row>
    <row r="6" spans="1:23" ht="13.8" thickBot="1">
      <c r="A6" s="164"/>
      <c r="B6" s="165" t="s">
        <v>234</v>
      </c>
      <c r="C6" s="171">
        <f>'NW Customers'!F3</f>
        <v>6249711</v>
      </c>
      <c r="D6" s="171">
        <f>'NW Customers'!G3</f>
        <v>6345977</v>
      </c>
      <c r="E6" s="171">
        <f>'NW Customers'!H3</f>
        <v>6441457</v>
      </c>
      <c r="F6" s="171">
        <f>'NW Customers'!I3</f>
        <v>6536223</v>
      </c>
      <c r="G6" s="171">
        <f>'NW Customers'!J3</f>
        <v>6630423</v>
      </c>
      <c r="H6" s="171">
        <f>'NW Customers'!K3</f>
        <v>6724196</v>
      </c>
      <c r="I6" s="171">
        <f>'NW Customers'!L3</f>
        <v>6816156</v>
      </c>
      <c r="J6" s="171">
        <f>'NW Customers'!M3</f>
        <v>6907512</v>
      </c>
      <c r="K6" s="171">
        <f>'NW Customers'!N3</f>
        <v>6998378</v>
      </c>
      <c r="L6" s="171">
        <f>'NW Customers'!O3</f>
        <v>7088375</v>
      </c>
      <c r="M6" s="171">
        <f>'NW Customers'!P3</f>
        <v>7177924</v>
      </c>
      <c r="N6" s="171">
        <f>'NW Customers'!Q3</f>
        <v>7266466</v>
      </c>
      <c r="O6" s="171">
        <f>'NW Customers'!R3</f>
        <v>7353492</v>
      </c>
      <c r="P6" s="171">
        <f>'NW Customers'!S3</f>
        <v>7438640</v>
      </c>
      <c r="Q6" s="171">
        <f>'NW Customers'!T3</f>
        <v>7522347</v>
      </c>
      <c r="R6" s="171">
        <f>'NW Customers'!U3</f>
        <v>7605304</v>
      </c>
      <c r="S6" s="171">
        <f>'NW Customers'!V3</f>
        <v>7689175.8559417697</v>
      </c>
      <c r="T6" s="171">
        <f>'NW Customers'!W3</f>
        <v>7773972.6569244107</v>
      </c>
      <c r="U6" s="171">
        <f>'NW Customers'!X3</f>
        <v>7859704.6033103568</v>
      </c>
      <c r="V6" s="171">
        <f>'NW Customers'!Y3</f>
        <v>7946382.0079523949</v>
      </c>
      <c r="W6" s="172">
        <f>'NW Customers'!Z3</f>
        <v>8034015.2974342164</v>
      </c>
    </row>
    <row r="7" spans="1:23" ht="16.2" thickBot="1">
      <c r="A7" s="173"/>
      <c r="B7" s="173"/>
      <c r="C7" s="173"/>
      <c r="D7" s="174"/>
      <c r="E7" s="174"/>
      <c r="F7" s="174"/>
      <c r="G7" s="174"/>
      <c r="H7" s="174"/>
      <c r="I7" s="174"/>
      <c r="J7" s="174"/>
      <c r="K7" s="174"/>
      <c r="L7" s="174"/>
      <c r="M7" s="175"/>
      <c r="N7" s="175"/>
      <c r="O7" s="175"/>
      <c r="P7" s="175"/>
      <c r="Q7" s="175"/>
      <c r="R7" s="175"/>
      <c r="S7" s="175"/>
      <c r="T7" s="175"/>
      <c r="U7" s="175"/>
      <c r="V7" s="175"/>
      <c r="W7" s="175"/>
    </row>
    <row r="8" spans="1:23" ht="15.6">
      <c r="A8" s="154" t="s">
        <v>245</v>
      </c>
      <c r="B8" s="155"/>
      <c r="C8" s="155"/>
      <c r="D8" s="156"/>
      <c r="E8" s="156"/>
      <c r="F8" s="156"/>
      <c r="G8" s="156"/>
      <c r="H8" s="156"/>
      <c r="I8" s="156"/>
      <c r="J8" s="156"/>
      <c r="K8" s="156"/>
      <c r="L8" s="156"/>
      <c r="M8" s="157"/>
      <c r="N8" s="157"/>
      <c r="O8" s="157"/>
      <c r="P8" s="157"/>
      <c r="Q8" s="157"/>
      <c r="R8" s="157"/>
      <c r="S8" s="157"/>
      <c r="T8" s="157"/>
      <c r="U8" s="157"/>
      <c r="V8" s="157"/>
      <c r="W8" s="158"/>
    </row>
    <row r="9" spans="1:23" ht="15.6">
      <c r="A9" s="188"/>
      <c r="B9" s="161" t="s">
        <v>241</v>
      </c>
      <c r="C9" s="177">
        <f>KeyAssumptions!U4</f>
        <v>0.33</v>
      </c>
      <c r="D9" s="166"/>
      <c r="E9" s="166"/>
      <c r="F9" s="166"/>
      <c r="G9" s="166"/>
      <c r="H9" s="166"/>
      <c r="I9" s="166"/>
      <c r="J9" s="166"/>
      <c r="K9" s="166"/>
      <c r="L9" s="166"/>
      <c r="M9" s="167"/>
      <c r="N9" s="167"/>
      <c r="O9" s="167"/>
      <c r="P9" s="167"/>
      <c r="Q9" s="167"/>
      <c r="R9" s="167"/>
      <c r="S9" s="167"/>
      <c r="T9" s="167"/>
      <c r="U9" s="167"/>
      <c r="V9" s="167"/>
      <c r="W9" s="168"/>
    </row>
    <row r="10" spans="1:23" ht="15.6">
      <c r="A10" s="188"/>
      <c r="B10" s="161" t="s">
        <v>207</v>
      </c>
      <c r="C10" s="177">
        <f>KeyAssumptions!V4</f>
        <v>0.25</v>
      </c>
      <c r="D10" s="166"/>
      <c r="E10" s="166"/>
      <c r="F10" s="166"/>
      <c r="G10" s="166"/>
      <c r="H10" s="166"/>
      <c r="I10" s="166"/>
      <c r="J10" s="166"/>
      <c r="K10" s="166"/>
      <c r="L10" s="166"/>
      <c r="M10" s="167"/>
      <c r="N10" s="167"/>
      <c r="O10" s="167"/>
      <c r="P10" s="167"/>
      <c r="Q10" s="167"/>
      <c r="R10" s="167"/>
      <c r="S10" s="167"/>
      <c r="T10" s="167"/>
      <c r="U10" s="167"/>
      <c r="V10" s="167"/>
      <c r="W10" s="168"/>
    </row>
    <row r="11" spans="1:23" ht="15.75" customHeight="1">
      <c r="A11" s="188"/>
      <c r="B11" s="191" t="s">
        <v>355</v>
      </c>
      <c r="C11" s="177">
        <v>0.95</v>
      </c>
      <c r="D11" s="166"/>
      <c r="E11" s="166"/>
      <c r="F11" s="166"/>
      <c r="G11" s="166"/>
      <c r="H11" s="166"/>
      <c r="I11" s="166"/>
      <c r="J11" s="166"/>
      <c r="K11" s="166"/>
      <c r="L11" s="166"/>
      <c r="M11" s="167"/>
      <c r="N11" s="167"/>
      <c r="O11" s="167"/>
      <c r="P11" s="167"/>
      <c r="Q11" s="167"/>
      <c r="R11" s="167"/>
      <c r="S11" s="167"/>
      <c r="T11" s="167"/>
      <c r="U11" s="167"/>
      <c r="V11" s="167"/>
      <c r="W11" s="168"/>
    </row>
    <row r="12" spans="1:23" ht="15.6">
      <c r="A12" s="188"/>
      <c r="B12" s="160"/>
      <c r="C12" s="160"/>
      <c r="D12" s="166"/>
      <c r="E12" s="166"/>
      <c r="F12" s="166"/>
      <c r="G12" s="166"/>
      <c r="H12" s="166"/>
      <c r="I12" s="166"/>
      <c r="J12" s="166"/>
      <c r="K12" s="166"/>
      <c r="L12" s="166"/>
      <c r="M12" s="167"/>
      <c r="N12" s="167"/>
      <c r="O12" s="167"/>
      <c r="P12" s="167"/>
      <c r="Q12" s="167"/>
      <c r="R12" s="167"/>
      <c r="S12" s="167"/>
      <c r="T12" s="167"/>
      <c r="U12" s="167"/>
      <c r="V12" s="167"/>
      <c r="W12" s="168"/>
    </row>
    <row r="13" spans="1:23">
      <c r="A13" s="159"/>
      <c r="B13" s="161" t="s">
        <v>1</v>
      </c>
      <c r="C13" s="162">
        <v>2015</v>
      </c>
      <c r="D13" s="162">
        <v>2016</v>
      </c>
      <c r="E13" s="162">
        <v>2017</v>
      </c>
      <c r="F13" s="162">
        <v>2018</v>
      </c>
      <c r="G13" s="162">
        <v>2019</v>
      </c>
      <c r="H13" s="162">
        <v>2020</v>
      </c>
      <c r="I13" s="162">
        <v>2021</v>
      </c>
      <c r="J13" s="162">
        <v>2022</v>
      </c>
      <c r="K13" s="162">
        <v>2023</v>
      </c>
      <c r="L13" s="162">
        <v>2024</v>
      </c>
      <c r="M13" s="162">
        <v>2025</v>
      </c>
      <c r="N13" s="162">
        <v>2026</v>
      </c>
      <c r="O13" s="162">
        <v>2027</v>
      </c>
      <c r="P13" s="162">
        <v>2028</v>
      </c>
      <c r="Q13" s="162">
        <v>2029</v>
      </c>
      <c r="R13" s="162">
        <v>2030</v>
      </c>
      <c r="S13" s="162">
        <v>2031</v>
      </c>
      <c r="T13" s="162">
        <v>2032</v>
      </c>
      <c r="U13" s="162">
        <v>2033</v>
      </c>
      <c r="V13" s="162">
        <v>2034</v>
      </c>
      <c r="W13" s="163">
        <v>2035</v>
      </c>
    </row>
    <row r="14" spans="1:23">
      <c r="A14" s="159"/>
      <c r="B14" s="161" t="s">
        <v>231</v>
      </c>
      <c r="C14" s="177">
        <v>0.05</v>
      </c>
      <c r="D14" s="177">
        <v>0.2</v>
      </c>
      <c r="E14" s="177">
        <v>0.2</v>
      </c>
      <c r="F14" s="177">
        <v>0.2</v>
      </c>
      <c r="G14" s="177">
        <v>0.2</v>
      </c>
      <c r="H14" s="177">
        <v>0.15</v>
      </c>
      <c r="I14" s="177">
        <v>0</v>
      </c>
      <c r="J14" s="177">
        <v>0</v>
      </c>
      <c r="K14" s="177">
        <v>0</v>
      </c>
      <c r="L14" s="177">
        <v>0</v>
      </c>
      <c r="M14" s="177">
        <v>0</v>
      </c>
      <c r="N14" s="177">
        <v>0</v>
      </c>
      <c r="O14" s="177">
        <v>0</v>
      </c>
      <c r="P14" s="177">
        <v>0</v>
      </c>
      <c r="Q14" s="177">
        <v>0</v>
      </c>
      <c r="R14" s="177">
        <v>0</v>
      </c>
      <c r="S14" s="177">
        <v>0</v>
      </c>
      <c r="T14" s="177">
        <v>0</v>
      </c>
      <c r="U14" s="177">
        <v>0</v>
      </c>
      <c r="V14" s="177">
        <v>0</v>
      </c>
      <c r="W14" s="225">
        <v>0</v>
      </c>
    </row>
    <row r="15" spans="1:23">
      <c r="A15" s="159"/>
      <c r="B15" s="161" t="s">
        <v>237</v>
      </c>
      <c r="C15" s="177">
        <f>C14</f>
        <v>0.05</v>
      </c>
      <c r="D15" s="177">
        <f>C15+D14</f>
        <v>0.25</v>
      </c>
      <c r="E15" s="177">
        <f t="shared" ref="E15:W15" si="0">D15+E14</f>
        <v>0.45</v>
      </c>
      <c r="F15" s="177">
        <f t="shared" si="0"/>
        <v>0.65</v>
      </c>
      <c r="G15" s="177">
        <f t="shared" si="0"/>
        <v>0.85000000000000009</v>
      </c>
      <c r="H15" s="177">
        <f t="shared" si="0"/>
        <v>1</v>
      </c>
      <c r="I15" s="177">
        <f t="shared" si="0"/>
        <v>1</v>
      </c>
      <c r="J15" s="177">
        <f t="shared" si="0"/>
        <v>1</v>
      </c>
      <c r="K15" s="177">
        <f t="shared" si="0"/>
        <v>1</v>
      </c>
      <c r="L15" s="177">
        <f t="shared" si="0"/>
        <v>1</v>
      </c>
      <c r="M15" s="177">
        <f t="shared" si="0"/>
        <v>1</v>
      </c>
      <c r="N15" s="177">
        <f t="shared" si="0"/>
        <v>1</v>
      </c>
      <c r="O15" s="177">
        <f t="shared" si="0"/>
        <v>1</v>
      </c>
      <c r="P15" s="177">
        <f t="shared" si="0"/>
        <v>1</v>
      </c>
      <c r="Q15" s="177">
        <f t="shared" si="0"/>
        <v>1</v>
      </c>
      <c r="R15" s="177">
        <f t="shared" si="0"/>
        <v>1</v>
      </c>
      <c r="S15" s="177">
        <f t="shared" si="0"/>
        <v>1</v>
      </c>
      <c r="T15" s="177">
        <f t="shared" si="0"/>
        <v>1</v>
      </c>
      <c r="U15" s="177">
        <f t="shared" si="0"/>
        <v>1</v>
      </c>
      <c r="V15" s="177">
        <f t="shared" si="0"/>
        <v>1</v>
      </c>
      <c r="W15" s="225">
        <f t="shared" si="0"/>
        <v>1</v>
      </c>
    </row>
    <row r="16" spans="1:23">
      <c r="A16" s="159"/>
      <c r="B16" s="161" t="s">
        <v>232</v>
      </c>
      <c r="C16" s="177">
        <v>0.01</v>
      </c>
      <c r="D16" s="177">
        <v>0.01</v>
      </c>
      <c r="E16" s="177">
        <v>0.01</v>
      </c>
      <c r="F16" s="177">
        <v>0.01</v>
      </c>
      <c r="G16" s="177">
        <v>0.01</v>
      </c>
      <c r="H16" s="177">
        <v>0.01</v>
      </c>
      <c r="I16" s="177">
        <v>0.01</v>
      </c>
      <c r="J16" s="177">
        <v>0.01</v>
      </c>
      <c r="K16" s="177">
        <v>0.01</v>
      </c>
      <c r="L16" s="177">
        <v>0.01</v>
      </c>
      <c r="M16" s="177">
        <v>0.01</v>
      </c>
      <c r="N16" s="177">
        <v>0.01</v>
      </c>
      <c r="O16" s="177">
        <v>0.01</v>
      </c>
      <c r="P16" s="177">
        <v>0.01</v>
      </c>
      <c r="Q16" s="177">
        <v>0.01</v>
      </c>
      <c r="R16" s="177">
        <v>0.01</v>
      </c>
      <c r="S16" s="177">
        <v>0.01</v>
      </c>
      <c r="T16" s="177">
        <v>0.01</v>
      </c>
      <c r="U16" s="177">
        <v>0.01</v>
      </c>
      <c r="V16" s="177">
        <v>0.01</v>
      </c>
      <c r="W16" s="225">
        <v>0.01</v>
      </c>
    </row>
    <row r="17" spans="1:23" ht="15" customHeight="1" thickBot="1">
      <c r="A17" s="164"/>
      <c r="B17" s="165" t="s">
        <v>238</v>
      </c>
      <c r="C17" s="226">
        <f>1-'Res-Capacity-Base'!C17</f>
        <v>0.5</v>
      </c>
      <c r="D17" s="226">
        <f>1-'Res-Capacity-Base'!D17</f>
        <v>0.55000000000000004</v>
      </c>
      <c r="E17" s="226">
        <f>1-'Res-Capacity-Base'!E17</f>
        <v>0.6</v>
      </c>
      <c r="F17" s="226">
        <f>1-'Res-Capacity-Base'!F17</f>
        <v>0.64999999999999991</v>
      </c>
      <c r="G17" s="226">
        <f>1-'Res-Capacity-Base'!G17</f>
        <v>0.7</v>
      </c>
      <c r="H17" s="226">
        <f>1-'Res-Capacity-Base'!H17</f>
        <v>0.7</v>
      </c>
      <c r="I17" s="226">
        <f>1-'Res-Capacity-Base'!I17</f>
        <v>0.7</v>
      </c>
      <c r="J17" s="226">
        <f>1-'Res-Capacity-Base'!J17</f>
        <v>0.7</v>
      </c>
      <c r="K17" s="226">
        <f>1-'Res-Capacity-Base'!K17</f>
        <v>0.7</v>
      </c>
      <c r="L17" s="226">
        <f>1-'Res-Capacity-Base'!L17</f>
        <v>0.7</v>
      </c>
      <c r="M17" s="226">
        <f>1-'Res-Capacity-Base'!M17</f>
        <v>0.7</v>
      </c>
      <c r="N17" s="226">
        <f>1-'Res-Capacity-Base'!N17</f>
        <v>0.7</v>
      </c>
      <c r="O17" s="226">
        <f>1-'Res-Capacity-Base'!O17</f>
        <v>0.7</v>
      </c>
      <c r="P17" s="226">
        <f>1-'Res-Capacity-Base'!P17</f>
        <v>0.7</v>
      </c>
      <c r="Q17" s="226">
        <f>1-'Res-Capacity-Base'!Q17</f>
        <v>0.7</v>
      </c>
      <c r="R17" s="226">
        <f>1-'Res-Capacity-Base'!R17</f>
        <v>0.7</v>
      </c>
      <c r="S17" s="226">
        <f>1-'Res-Capacity-Base'!S17</f>
        <v>0.7</v>
      </c>
      <c r="T17" s="226">
        <f>1-'Res-Capacity-Base'!T17</f>
        <v>0.7</v>
      </c>
      <c r="U17" s="226">
        <f>1-'Res-Capacity-Base'!U17</f>
        <v>0.7</v>
      </c>
      <c r="V17" s="226">
        <f>1-'Res-Capacity-Base'!V17</f>
        <v>0.7</v>
      </c>
      <c r="W17" s="227">
        <f>1-'Res-Capacity-Base'!W17</f>
        <v>0.7</v>
      </c>
    </row>
    <row r="18" spans="1:23" ht="16.2" thickBot="1">
      <c r="A18" s="170"/>
      <c r="B18" s="170"/>
      <c r="C18" s="170"/>
      <c r="D18" s="178"/>
      <c r="E18" s="178"/>
      <c r="F18" s="178"/>
      <c r="G18" s="178"/>
      <c r="H18" s="178"/>
      <c r="I18" s="178"/>
      <c r="J18" s="178"/>
      <c r="K18" s="178"/>
      <c r="L18" s="178"/>
      <c r="M18" s="179"/>
      <c r="N18" s="179"/>
      <c r="O18" s="179"/>
      <c r="P18" s="179"/>
      <c r="Q18" s="179"/>
      <c r="R18" s="179"/>
      <c r="S18" s="179"/>
      <c r="T18" s="179"/>
      <c r="U18" s="179"/>
      <c r="V18" s="179"/>
      <c r="W18" s="179"/>
    </row>
    <row r="19" spans="1:23" ht="15.6">
      <c r="A19" s="154" t="s">
        <v>281</v>
      </c>
      <c r="B19" s="155"/>
      <c r="C19" s="155"/>
      <c r="D19" s="156"/>
      <c r="E19" s="156"/>
      <c r="F19" s="156"/>
      <c r="G19" s="156"/>
      <c r="H19" s="156"/>
      <c r="I19" s="156"/>
      <c r="J19" s="156"/>
      <c r="K19" s="156"/>
      <c r="L19" s="156"/>
      <c r="M19" s="157"/>
      <c r="N19" s="157"/>
      <c r="O19" s="157"/>
      <c r="P19" s="157"/>
      <c r="Q19" s="157"/>
      <c r="R19" s="157"/>
      <c r="S19" s="157"/>
      <c r="T19" s="157"/>
      <c r="U19" s="157"/>
      <c r="V19" s="157"/>
      <c r="W19" s="158"/>
    </row>
    <row r="20" spans="1:23" ht="15.6">
      <c r="A20" s="188"/>
      <c r="B20" s="161" t="s">
        <v>241</v>
      </c>
      <c r="C20" s="176">
        <f>KeyAssumptions!U6</f>
        <v>0.35</v>
      </c>
      <c r="D20" s="166"/>
      <c r="E20" s="166"/>
      <c r="F20" s="166"/>
      <c r="G20" s="166"/>
      <c r="H20" s="166"/>
      <c r="I20" s="166"/>
      <c r="J20" s="166"/>
      <c r="K20" s="166"/>
      <c r="L20" s="166"/>
      <c r="M20" s="167"/>
      <c r="N20" s="167"/>
      <c r="O20" s="167"/>
      <c r="P20" s="167"/>
      <c r="Q20" s="167"/>
      <c r="R20" s="167"/>
      <c r="S20" s="167"/>
      <c r="T20" s="167"/>
      <c r="U20" s="167"/>
      <c r="V20" s="167"/>
      <c r="W20" s="168"/>
    </row>
    <row r="21" spans="1:23" ht="15.6">
      <c r="A21" s="188"/>
      <c r="B21" s="161" t="s">
        <v>207</v>
      </c>
      <c r="C21" s="177">
        <f>KeyAssumptions!V6</f>
        <v>0.25</v>
      </c>
      <c r="D21" s="166"/>
      <c r="E21" s="166"/>
      <c r="F21" s="166"/>
      <c r="G21" s="166"/>
      <c r="H21" s="166"/>
      <c r="I21" s="166"/>
      <c r="J21" s="166"/>
      <c r="K21" s="166"/>
      <c r="L21" s="166"/>
      <c r="M21" s="167"/>
      <c r="N21" s="167"/>
      <c r="O21" s="167"/>
      <c r="P21" s="167"/>
      <c r="Q21" s="167"/>
      <c r="R21" s="167"/>
      <c r="S21" s="167"/>
      <c r="T21" s="167"/>
      <c r="U21" s="167"/>
      <c r="V21" s="167"/>
      <c r="W21" s="168"/>
    </row>
    <row r="22" spans="1:23" ht="15.75" customHeight="1">
      <c r="A22" s="188"/>
      <c r="B22" s="191" t="s">
        <v>355</v>
      </c>
      <c r="C22" s="177">
        <v>0.95</v>
      </c>
      <c r="D22" s="166"/>
      <c r="E22" s="166"/>
      <c r="F22" s="166"/>
      <c r="G22" s="166"/>
      <c r="H22" s="166"/>
      <c r="I22" s="166"/>
      <c r="J22" s="166"/>
      <c r="K22" s="166"/>
      <c r="L22" s="166"/>
      <c r="M22" s="167"/>
      <c r="N22" s="167"/>
      <c r="O22" s="167"/>
      <c r="P22" s="167"/>
      <c r="Q22" s="167"/>
      <c r="R22" s="167"/>
      <c r="S22" s="167"/>
      <c r="T22" s="167"/>
      <c r="U22" s="167"/>
      <c r="V22" s="167"/>
      <c r="W22" s="168"/>
    </row>
    <row r="23" spans="1:23" ht="15.6">
      <c r="A23" s="188"/>
      <c r="B23" s="160"/>
      <c r="C23" s="160"/>
      <c r="D23" s="166"/>
      <c r="E23" s="166"/>
      <c r="F23" s="166"/>
      <c r="G23" s="166"/>
      <c r="H23" s="166"/>
      <c r="I23" s="166"/>
      <c r="J23" s="166"/>
      <c r="K23" s="166"/>
      <c r="L23" s="166"/>
      <c r="M23" s="167"/>
      <c r="N23" s="167"/>
      <c r="O23" s="167"/>
      <c r="P23" s="167"/>
      <c r="Q23" s="167"/>
      <c r="R23" s="167"/>
      <c r="S23" s="167"/>
      <c r="T23" s="167"/>
      <c r="U23" s="167"/>
      <c r="V23" s="167"/>
      <c r="W23" s="168"/>
    </row>
    <row r="24" spans="1:23">
      <c r="A24" s="159"/>
      <c r="B24" s="161" t="s">
        <v>1</v>
      </c>
      <c r="C24" s="162">
        <v>2015</v>
      </c>
      <c r="D24" s="162">
        <v>2016</v>
      </c>
      <c r="E24" s="162">
        <v>2017</v>
      </c>
      <c r="F24" s="162">
        <v>2018</v>
      </c>
      <c r="G24" s="162">
        <v>2019</v>
      </c>
      <c r="H24" s="162">
        <v>2020</v>
      </c>
      <c r="I24" s="162">
        <v>2021</v>
      </c>
      <c r="J24" s="162">
        <v>2022</v>
      </c>
      <c r="K24" s="162">
        <v>2023</v>
      </c>
      <c r="L24" s="162">
        <v>2024</v>
      </c>
      <c r="M24" s="162">
        <v>2025</v>
      </c>
      <c r="N24" s="162">
        <v>2026</v>
      </c>
      <c r="O24" s="162">
        <v>2027</v>
      </c>
      <c r="P24" s="162">
        <v>2028</v>
      </c>
      <c r="Q24" s="162">
        <v>2029</v>
      </c>
      <c r="R24" s="162">
        <v>2030</v>
      </c>
      <c r="S24" s="162">
        <v>2031</v>
      </c>
      <c r="T24" s="162">
        <v>2032</v>
      </c>
      <c r="U24" s="162">
        <v>2033</v>
      </c>
      <c r="V24" s="162">
        <v>2034</v>
      </c>
      <c r="W24" s="163">
        <v>2035</v>
      </c>
    </row>
    <row r="25" spans="1:23">
      <c r="A25" s="159"/>
      <c r="B25" s="161" t="s">
        <v>231</v>
      </c>
      <c r="C25" s="177">
        <v>0.05</v>
      </c>
      <c r="D25" s="177">
        <v>0.2</v>
      </c>
      <c r="E25" s="177">
        <v>0.2</v>
      </c>
      <c r="F25" s="177">
        <v>0.2</v>
      </c>
      <c r="G25" s="177">
        <v>0.2</v>
      </c>
      <c r="H25" s="177">
        <v>0.15</v>
      </c>
      <c r="I25" s="177">
        <v>0</v>
      </c>
      <c r="J25" s="177">
        <v>0</v>
      </c>
      <c r="K25" s="177">
        <v>0</v>
      </c>
      <c r="L25" s="177">
        <v>0</v>
      </c>
      <c r="M25" s="177">
        <v>0</v>
      </c>
      <c r="N25" s="177">
        <v>0</v>
      </c>
      <c r="O25" s="177">
        <v>0</v>
      </c>
      <c r="P25" s="177">
        <v>0</v>
      </c>
      <c r="Q25" s="177">
        <v>0</v>
      </c>
      <c r="R25" s="177">
        <v>0</v>
      </c>
      <c r="S25" s="177">
        <v>0</v>
      </c>
      <c r="T25" s="177">
        <v>0</v>
      </c>
      <c r="U25" s="177">
        <v>0</v>
      </c>
      <c r="V25" s="177">
        <v>0</v>
      </c>
      <c r="W25" s="225">
        <v>0</v>
      </c>
    </row>
    <row r="26" spans="1:23">
      <c r="A26" s="159"/>
      <c r="B26" s="161" t="s">
        <v>237</v>
      </c>
      <c r="C26" s="177">
        <f>C25</f>
        <v>0.05</v>
      </c>
      <c r="D26" s="177">
        <f>C26+D25</f>
        <v>0.25</v>
      </c>
      <c r="E26" s="177">
        <f t="shared" ref="E26:W26" si="1">D26+E25</f>
        <v>0.45</v>
      </c>
      <c r="F26" s="177">
        <f t="shared" si="1"/>
        <v>0.65</v>
      </c>
      <c r="G26" s="177">
        <f t="shared" si="1"/>
        <v>0.85000000000000009</v>
      </c>
      <c r="H26" s="177">
        <f t="shared" si="1"/>
        <v>1</v>
      </c>
      <c r="I26" s="177">
        <f t="shared" si="1"/>
        <v>1</v>
      </c>
      <c r="J26" s="177">
        <f t="shared" si="1"/>
        <v>1</v>
      </c>
      <c r="K26" s="177">
        <f t="shared" si="1"/>
        <v>1</v>
      </c>
      <c r="L26" s="177">
        <f t="shared" si="1"/>
        <v>1</v>
      </c>
      <c r="M26" s="177">
        <f t="shared" si="1"/>
        <v>1</v>
      </c>
      <c r="N26" s="177">
        <f t="shared" si="1"/>
        <v>1</v>
      </c>
      <c r="O26" s="177">
        <f t="shared" si="1"/>
        <v>1</v>
      </c>
      <c r="P26" s="177">
        <f t="shared" si="1"/>
        <v>1</v>
      </c>
      <c r="Q26" s="177">
        <f t="shared" si="1"/>
        <v>1</v>
      </c>
      <c r="R26" s="177">
        <f t="shared" si="1"/>
        <v>1</v>
      </c>
      <c r="S26" s="177">
        <f t="shared" si="1"/>
        <v>1</v>
      </c>
      <c r="T26" s="177">
        <f t="shared" si="1"/>
        <v>1</v>
      </c>
      <c r="U26" s="177">
        <f t="shared" si="1"/>
        <v>1</v>
      </c>
      <c r="V26" s="177">
        <f t="shared" si="1"/>
        <v>1</v>
      </c>
      <c r="W26" s="225">
        <f t="shared" si="1"/>
        <v>1</v>
      </c>
    </row>
    <row r="27" spans="1:23">
      <c r="A27" s="159"/>
      <c r="B27" s="161" t="s">
        <v>232</v>
      </c>
      <c r="C27" s="177">
        <v>0.01</v>
      </c>
      <c r="D27" s="177">
        <v>0.01</v>
      </c>
      <c r="E27" s="177">
        <v>0.01</v>
      </c>
      <c r="F27" s="177">
        <v>0.01</v>
      </c>
      <c r="G27" s="177">
        <v>0.01</v>
      </c>
      <c r="H27" s="177">
        <v>0.01</v>
      </c>
      <c r="I27" s="177">
        <v>0.01</v>
      </c>
      <c r="J27" s="177">
        <v>0.01</v>
      </c>
      <c r="K27" s="177">
        <v>0.01</v>
      </c>
      <c r="L27" s="177">
        <v>0.01</v>
      </c>
      <c r="M27" s="177">
        <v>0.01</v>
      </c>
      <c r="N27" s="177">
        <v>0.01</v>
      </c>
      <c r="O27" s="177">
        <v>0.01</v>
      </c>
      <c r="P27" s="177">
        <v>0.01</v>
      </c>
      <c r="Q27" s="177">
        <v>0.01</v>
      </c>
      <c r="R27" s="177">
        <v>0.01</v>
      </c>
      <c r="S27" s="177">
        <v>0.01</v>
      </c>
      <c r="T27" s="177">
        <v>0.01</v>
      </c>
      <c r="U27" s="177">
        <v>0.01</v>
      </c>
      <c r="V27" s="177">
        <v>0.01</v>
      </c>
      <c r="W27" s="225">
        <v>0.01</v>
      </c>
    </row>
    <row r="28" spans="1:23" ht="13.8" thickBot="1">
      <c r="A28" s="164"/>
      <c r="B28" s="165" t="s">
        <v>238</v>
      </c>
      <c r="C28" s="226">
        <f>1-'Res-Capacity-Base'!C28</f>
        <v>0.5</v>
      </c>
      <c r="D28" s="226">
        <f>1-'Res-Capacity-Base'!D28</f>
        <v>0.55000000000000004</v>
      </c>
      <c r="E28" s="226">
        <f>1-'Res-Capacity-Base'!E28</f>
        <v>0.6</v>
      </c>
      <c r="F28" s="226">
        <f>1-'Res-Capacity-Base'!F28</f>
        <v>0.64999999999999991</v>
      </c>
      <c r="G28" s="226">
        <f>1-'Res-Capacity-Base'!G28</f>
        <v>0.7</v>
      </c>
      <c r="H28" s="226">
        <f>1-'Res-Capacity-Base'!H28</f>
        <v>0.7</v>
      </c>
      <c r="I28" s="226">
        <f>1-'Res-Capacity-Base'!I28</f>
        <v>0.7</v>
      </c>
      <c r="J28" s="226">
        <f>1-'Res-Capacity-Base'!J28</f>
        <v>0.7</v>
      </c>
      <c r="K28" s="226">
        <f>1-'Res-Capacity-Base'!K28</f>
        <v>0.7</v>
      </c>
      <c r="L28" s="226">
        <f>1-'Res-Capacity-Base'!L28</f>
        <v>0.7</v>
      </c>
      <c r="M28" s="226">
        <f>1-'Res-Capacity-Base'!M28</f>
        <v>0.7</v>
      </c>
      <c r="N28" s="226">
        <f>1-'Res-Capacity-Base'!N28</f>
        <v>0.7</v>
      </c>
      <c r="O28" s="226">
        <f>1-'Res-Capacity-Base'!O28</f>
        <v>0.7</v>
      </c>
      <c r="P28" s="226">
        <f>1-'Res-Capacity-Base'!P28</f>
        <v>0.7</v>
      </c>
      <c r="Q28" s="226">
        <f>1-'Res-Capacity-Base'!Q28</f>
        <v>0.7</v>
      </c>
      <c r="R28" s="226">
        <f>1-'Res-Capacity-Base'!R28</f>
        <v>0.7</v>
      </c>
      <c r="S28" s="226">
        <f>1-'Res-Capacity-Base'!S28</f>
        <v>0.7</v>
      </c>
      <c r="T28" s="226">
        <f>1-'Res-Capacity-Base'!T28</f>
        <v>0.7</v>
      </c>
      <c r="U28" s="226">
        <f>1-'Res-Capacity-Base'!U28</f>
        <v>0.7</v>
      </c>
      <c r="V28" s="226">
        <f>1-'Res-Capacity-Base'!V28</f>
        <v>0.7</v>
      </c>
      <c r="W28" s="227">
        <f>1-'Res-Capacity-Base'!W28</f>
        <v>0.7</v>
      </c>
    </row>
    <row r="29" spans="1:23" ht="16.2" thickBot="1">
      <c r="A29" s="170"/>
      <c r="B29" s="170"/>
      <c r="C29" s="170"/>
      <c r="D29" s="178"/>
      <c r="E29" s="178"/>
      <c r="F29" s="178"/>
      <c r="G29" s="178"/>
      <c r="H29" s="178"/>
      <c r="I29" s="178"/>
      <c r="J29" s="178"/>
      <c r="K29" s="178"/>
      <c r="L29" s="178"/>
      <c r="M29" s="179"/>
      <c r="N29" s="179"/>
      <c r="O29" s="179"/>
      <c r="P29" s="179"/>
      <c r="Q29" s="179"/>
      <c r="R29" s="179"/>
      <c r="S29" s="179"/>
      <c r="T29" s="179"/>
      <c r="U29" s="179"/>
      <c r="V29" s="179"/>
      <c r="W29" s="179"/>
    </row>
    <row r="30" spans="1:23" ht="15.6">
      <c r="A30" s="154" t="s">
        <v>282</v>
      </c>
      <c r="B30" s="155"/>
      <c r="C30" s="155"/>
      <c r="D30" s="156"/>
      <c r="E30" s="156"/>
      <c r="F30" s="156"/>
      <c r="G30" s="156"/>
      <c r="H30" s="156"/>
      <c r="I30" s="156"/>
      <c r="J30" s="156"/>
      <c r="K30" s="156"/>
      <c r="L30" s="156"/>
      <c r="M30" s="157"/>
      <c r="N30" s="157"/>
      <c r="O30" s="157"/>
      <c r="P30" s="157"/>
      <c r="Q30" s="157"/>
      <c r="R30" s="157"/>
      <c r="S30" s="157"/>
      <c r="T30" s="157"/>
      <c r="U30" s="157"/>
      <c r="V30" s="157"/>
      <c r="W30" s="158"/>
    </row>
    <row r="31" spans="1:23" ht="15.6">
      <c r="A31" s="188"/>
      <c r="B31" s="161" t="s">
        <v>241</v>
      </c>
      <c r="C31" s="176">
        <f>KeyAssumptions!U7</f>
        <v>0.17499999999999999</v>
      </c>
      <c r="D31" s="166"/>
      <c r="E31" s="166"/>
      <c r="F31" s="166"/>
      <c r="G31" s="166"/>
      <c r="H31" s="166"/>
      <c r="I31" s="166"/>
      <c r="J31" s="166"/>
      <c r="K31" s="166"/>
      <c r="L31" s="166"/>
      <c r="M31" s="167"/>
      <c r="N31" s="167"/>
      <c r="O31" s="167"/>
      <c r="P31" s="167"/>
      <c r="Q31" s="167"/>
      <c r="R31" s="167"/>
      <c r="S31" s="167"/>
      <c r="T31" s="167"/>
      <c r="U31" s="167"/>
      <c r="V31" s="167"/>
      <c r="W31" s="168"/>
    </row>
    <row r="32" spans="1:23" ht="15.6">
      <c r="A32" s="188"/>
      <c r="B32" s="161" t="s">
        <v>207</v>
      </c>
      <c r="C32" s="177">
        <f>KeyAssumptions!V7</f>
        <v>0.25</v>
      </c>
      <c r="D32" s="166"/>
      <c r="E32" s="166"/>
      <c r="F32" s="166"/>
      <c r="G32" s="166"/>
      <c r="H32" s="166"/>
      <c r="I32" s="166"/>
      <c r="J32" s="166"/>
      <c r="K32" s="166"/>
      <c r="L32" s="166"/>
      <c r="M32" s="167"/>
      <c r="N32" s="167"/>
      <c r="O32" s="167"/>
      <c r="P32" s="167"/>
      <c r="Q32" s="167"/>
      <c r="R32" s="167"/>
      <c r="S32" s="167"/>
      <c r="T32" s="167"/>
      <c r="U32" s="167"/>
      <c r="V32" s="167"/>
      <c r="W32" s="168"/>
    </row>
    <row r="33" spans="1:23" ht="15.75" customHeight="1">
      <c r="A33" s="188"/>
      <c r="B33" s="191" t="s">
        <v>355</v>
      </c>
      <c r="C33" s="177">
        <v>0.95</v>
      </c>
      <c r="D33" s="166"/>
      <c r="E33" s="166"/>
      <c r="F33" s="166"/>
      <c r="G33" s="166"/>
      <c r="H33" s="166"/>
      <c r="I33" s="166"/>
      <c r="J33" s="166"/>
      <c r="K33" s="166"/>
      <c r="L33" s="166"/>
      <c r="M33" s="167"/>
      <c r="N33" s="167"/>
      <c r="O33" s="167"/>
      <c r="P33" s="167"/>
      <c r="Q33" s="167"/>
      <c r="R33" s="167"/>
      <c r="S33" s="167"/>
      <c r="T33" s="167"/>
      <c r="U33" s="167"/>
      <c r="V33" s="167"/>
      <c r="W33" s="168"/>
    </row>
    <row r="34" spans="1:23" ht="15.6">
      <c r="A34" s="188"/>
      <c r="B34" s="160"/>
      <c r="C34" s="160"/>
      <c r="D34" s="166"/>
      <c r="E34" s="166"/>
      <c r="F34" s="166"/>
      <c r="G34" s="166"/>
      <c r="H34" s="166"/>
      <c r="I34" s="166"/>
      <c r="J34" s="166"/>
      <c r="K34" s="166"/>
      <c r="L34" s="166"/>
      <c r="M34" s="167"/>
      <c r="N34" s="167"/>
      <c r="O34" s="167"/>
      <c r="P34" s="167"/>
      <c r="Q34" s="167"/>
      <c r="R34" s="167"/>
      <c r="S34" s="167"/>
      <c r="T34" s="167"/>
      <c r="U34" s="167"/>
      <c r="V34" s="167"/>
      <c r="W34" s="168"/>
    </row>
    <row r="35" spans="1:23">
      <c r="A35" s="159"/>
      <c r="B35" s="161" t="s">
        <v>1</v>
      </c>
      <c r="C35" s="162">
        <v>2015</v>
      </c>
      <c r="D35" s="162">
        <v>2016</v>
      </c>
      <c r="E35" s="162">
        <v>2017</v>
      </c>
      <c r="F35" s="162">
        <v>2018</v>
      </c>
      <c r="G35" s="162">
        <v>2019</v>
      </c>
      <c r="H35" s="162">
        <v>2020</v>
      </c>
      <c r="I35" s="162">
        <v>2021</v>
      </c>
      <c r="J35" s="162">
        <v>2022</v>
      </c>
      <c r="K35" s="162">
        <v>2023</v>
      </c>
      <c r="L35" s="162">
        <v>2024</v>
      </c>
      <c r="M35" s="162">
        <v>2025</v>
      </c>
      <c r="N35" s="162">
        <v>2026</v>
      </c>
      <c r="O35" s="162">
        <v>2027</v>
      </c>
      <c r="P35" s="162">
        <v>2028</v>
      </c>
      <c r="Q35" s="162">
        <v>2029</v>
      </c>
      <c r="R35" s="162">
        <v>2030</v>
      </c>
      <c r="S35" s="162">
        <v>2031</v>
      </c>
      <c r="T35" s="162">
        <v>2032</v>
      </c>
      <c r="U35" s="162">
        <v>2033</v>
      </c>
      <c r="V35" s="162">
        <v>2034</v>
      </c>
      <c r="W35" s="163">
        <v>2035</v>
      </c>
    </row>
    <row r="36" spans="1:23">
      <c r="A36" s="159"/>
      <c r="B36" s="161" t="s">
        <v>231</v>
      </c>
      <c r="C36" s="177">
        <v>0.05</v>
      </c>
      <c r="D36" s="177">
        <v>0.2</v>
      </c>
      <c r="E36" s="177">
        <v>0.2</v>
      </c>
      <c r="F36" s="177">
        <v>0.2</v>
      </c>
      <c r="G36" s="177">
        <v>0.2</v>
      </c>
      <c r="H36" s="177">
        <v>0.15</v>
      </c>
      <c r="I36" s="177">
        <v>0</v>
      </c>
      <c r="J36" s="177">
        <v>0</v>
      </c>
      <c r="K36" s="177">
        <v>0</v>
      </c>
      <c r="L36" s="177">
        <v>0</v>
      </c>
      <c r="M36" s="177">
        <v>0</v>
      </c>
      <c r="N36" s="177">
        <v>0</v>
      </c>
      <c r="O36" s="177">
        <v>0</v>
      </c>
      <c r="P36" s="177">
        <v>0</v>
      </c>
      <c r="Q36" s="177">
        <v>0</v>
      </c>
      <c r="R36" s="177">
        <v>0</v>
      </c>
      <c r="S36" s="177">
        <v>0</v>
      </c>
      <c r="T36" s="177">
        <v>0</v>
      </c>
      <c r="U36" s="177">
        <v>0</v>
      </c>
      <c r="V36" s="177">
        <v>0</v>
      </c>
      <c r="W36" s="225">
        <v>0</v>
      </c>
    </row>
    <row r="37" spans="1:23">
      <c r="A37" s="159"/>
      <c r="B37" s="161" t="s">
        <v>237</v>
      </c>
      <c r="C37" s="177">
        <f>C36</f>
        <v>0.05</v>
      </c>
      <c r="D37" s="177">
        <f>C37+D36</f>
        <v>0.25</v>
      </c>
      <c r="E37" s="177">
        <f t="shared" ref="E37" si="2">D37+E36</f>
        <v>0.45</v>
      </c>
      <c r="F37" s="177">
        <f t="shared" ref="F37" si="3">E37+F36</f>
        <v>0.65</v>
      </c>
      <c r="G37" s="177">
        <f t="shared" ref="G37" si="4">F37+G36</f>
        <v>0.85000000000000009</v>
      </c>
      <c r="H37" s="177">
        <f t="shared" ref="H37" si="5">G37+H36</f>
        <v>1</v>
      </c>
      <c r="I37" s="177">
        <f t="shared" ref="I37" si="6">H37+I36</f>
        <v>1</v>
      </c>
      <c r="J37" s="177">
        <f t="shared" ref="J37" si="7">I37+J36</f>
        <v>1</v>
      </c>
      <c r="K37" s="177">
        <f t="shared" ref="K37" si="8">J37+K36</f>
        <v>1</v>
      </c>
      <c r="L37" s="177">
        <f t="shared" ref="L37" si="9">K37+L36</f>
        <v>1</v>
      </c>
      <c r="M37" s="177">
        <f t="shared" ref="M37" si="10">L37+M36</f>
        <v>1</v>
      </c>
      <c r="N37" s="177">
        <f t="shared" ref="N37" si="11">M37+N36</f>
        <v>1</v>
      </c>
      <c r="O37" s="177">
        <f t="shared" ref="O37" si="12">N37+O36</f>
        <v>1</v>
      </c>
      <c r="P37" s="177">
        <f t="shared" ref="P37" si="13">O37+P36</f>
        <v>1</v>
      </c>
      <c r="Q37" s="177">
        <f t="shared" ref="Q37" si="14">P37+Q36</f>
        <v>1</v>
      </c>
      <c r="R37" s="177">
        <f t="shared" ref="R37" si="15">Q37+R36</f>
        <v>1</v>
      </c>
      <c r="S37" s="177">
        <f t="shared" ref="S37" si="16">R37+S36</f>
        <v>1</v>
      </c>
      <c r="T37" s="177">
        <f t="shared" ref="T37" si="17">S37+T36</f>
        <v>1</v>
      </c>
      <c r="U37" s="177">
        <f t="shared" ref="U37" si="18">T37+U36</f>
        <v>1</v>
      </c>
      <c r="V37" s="177">
        <f t="shared" ref="V37" si="19">U37+V36</f>
        <v>1</v>
      </c>
      <c r="W37" s="225">
        <f t="shared" ref="W37" si="20">V37+W36</f>
        <v>1</v>
      </c>
    </row>
    <row r="38" spans="1:23">
      <c r="A38" s="159"/>
      <c r="B38" s="161" t="s">
        <v>232</v>
      </c>
      <c r="C38" s="177">
        <v>0.01</v>
      </c>
      <c r="D38" s="177">
        <v>0.01</v>
      </c>
      <c r="E38" s="177">
        <v>0.01</v>
      </c>
      <c r="F38" s="177">
        <v>0.01</v>
      </c>
      <c r="G38" s="177">
        <v>0.01</v>
      </c>
      <c r="H38" s="177">
        <v>0.01</v>
      </c>
      <c r="I38" s="177">
        <v>0.01</v>
      </c>
      <c r="J38" s="177">
        <v>0.01</v>
      </c>
      <c r="K38" s="177">
        <v>0.01</v>
      </c>
      <c r="L38" s="177">
        <v>0.01</v>
      </c>
      <c r="M38" s="177">
        <v>0.01</v>
      </c>
      <c r="N38" s="177">
        <v>0.01</v>
      </c>
      <c r="O38" s="177">
        <v>0.01</v>
      </c>
      <c r="P38" s="177">
        <v>0.01</v>
      </c>
      <c r="Q38" s="177">
        <v>0.01</v>
      </c>
      <c r="R38" s="177">
        <v>0.01</v>
      </c>
      <c r="S38" s="177">
        <v>0.01</v>
      </c>
      <c r="T38" s="177">
        <v>0.01</v>
      </c>
      <c r="U38" s="177">
        <v>0.01</v>
      </c>
      <c r="V38" s="177">
        <v>0.01</v>
      </c>
      <c r="W38" s="225">
        <v>0.01</v>
      </c>
    </row>
    <row r="39" spans="1:23" ht="13.8" thickBot="1">
      <c r="A39" s="164"/>
      <c r="B39" s="165" t="s">
        <v>238</v>
      </c>
      <c r="C39" s="226">
        <f>1-'Res-Capacity-Base'!C39</f>
        <v>0.9</v>
      </c>
      <c r="D39" s="226">
        <f>1-'Res-Capacity-Base'!D39</f>
        <v>0.91</v>
      </c>
      <c r="E39" s="226">
        <f>1-'Res-Capacity-Base'!E39</f>
        <v>0.91999999999999993</v>
      </c>
      <c r="F39" s="226">
        <f>1-'Res-Capacity-Base'!F39</f>
        <v>0.92999999999999994</v>
      </c>
      <c r="G39" s="226">
        <f>1-'Res-Capacity-Base'!G39</f>
        <v>0.94</v>
      </c>
      <c r="H39" s="226">
        <f>1-'Res-Capacity-Base'!H39</f>
        <v>0.94</v>
      </c>
      <c r="I39" s="226">
        <f>1-'Res-Capacity-Base'!I39</f>
        <v>0.94</v>
      </c>
      <c r="J39" s="226">
        <f>1-'Res-Capacity-Base'!J39</f>
        <v>0.94</v>
      </c>
      <c r="K39" s="226">
        <f>1-'Res-Capacity-Base'!K39</f>
        <v>0.94</v>
      </c>
      <c r="L39" s="226">
        <f>1-'Res-Capacity-Base'!L39</f>
        <v>0.94</v>
      </c>
      <c r="M39" s="226">
        <f>1-'Res-Capacity-Base'!M39</f>
        <v>0.94</v>
      </c>
      <c r="N39" s="226">
        <f>1-'Res-Capacity-Base'!N39</f>
        <v>0.94</v>
      </c>
      <c r="O39" s="226">
        <f>1-'Res-Capacity-Base'!O39</f>
        <v>0.94</v>
      </c>
      <c r="P39" s="226">
        <f>1-'Res-Capacity-Base'!P39</f>
        <v>0.94</v>
      </c>
      <c r="Q39" s="226">
        <f>1-'Res-Capacity-Base'!Q39</f>
        <v>0.94</v>
      </c>
      <c r="R39" s="226">
        <f>1-'Res-Capacity-Base'!R39</f>
        <v>0.94</v>
      </c>
      <c r="S39" s="226">
        <f>1-'Res-Capacity-Base'!S39</f>
        <v>0.94</v>
      </c>
      <c r="T39" s="226">
        <f>1-'Res-Capacity-Base'!T39</f>
        <v>0.94</v>
      </c>
      <c r="U39" s="226">
        <f>1-'Res-Capacity-Base'!U39</f>
        <v>0.94</v>
      </c>
      <c r="V39" s="226">
        <f>1-'Res-Capacity-Base'!V39</f>
        <v>0.94</v>
      </c>
      <c r="W39" s="227">
        <f>1-'Res-Capacity-Base'!W39</f>
        <v>0.94</v>
      </c>
    </row>
    <row r="40" spans="1:23" ht="16.2" thickBot="1">
      <c r="A40" s="170"/>
      <c r="B40" s="170"/>
      <c r="C40" s="170"/>
      <c r="D40" s="178"/>
      <c r="E40" s="178"/>
      <c r="F40" s="178"/>
      <c r="G40" s="178"/>
      <c r="H40" s="178"/>
      <c r="I40" s="178"/>
      <c r="J40" s="178"/>
      <c r="K40" s="178"/>
      <c r="L40" s="178"/>
      <c r="M40" s="179"/>
      <c r="N40" s="179"/>
      <c r="O40" s="179"/>
      <c r="P40" s="179"/>
      <c r="Q40" s="179"/>
      <c r="R40" s="179"/>
      <c r="S40" s="179"/>
      <c r="T40" s="179"/>
      <c r="U40" s="179"/>
      <c r="V40" s="179"/>
      <c r="W40" s="179"/>
    </row>
    <row r="41" spans="1:23" ht="15.6">
      <c r="A41" s="154" t="s">
        <v>246</v>
      </c>
      <c r="B41" s="155"/>
      <c r="C41" s="155"/>
      <c r="D41" s="156"/>
      <c r="E41" s="156"/>
      <c r="F41" s="156"/>
      <c r="G41" s="156"/>
      <c r="H41" s="156"/>
      <c r="I41" s="156"/>
      <c r="J41" s="156"/>
      <c r="K41" s="156"/>
      <c r="L41" s="156"/>
      <c r="M41" s="157"/>
      <c r="N41" s="157"/>
      <c r="O41" s="157"/>
      <c r="P41" s="157"/>
      <c r="Q41" s="157"/>
      <c r="R41" s="157"/>
      <c r="S41" s="157"/>
      <c r="T41" s="157"/>
      <c r="U41" s="157"/>
      <c r="V41" s="157"/>
      <c r="W41" s="158"/>
    </row>
    <row r="42" spans="1:23" ht="15.6">
      <c r="A42" s="188"/>
      <c r="B42" s="161" t="s">
        <v>241</v>
      </c>
      <c r="C42" s="176">
        <f>KeyAssumptions!U5</f>
        <v>0.56999999999999995</v>
      </c>
      <c r="D42" s="166"/>
      <c r="E42" s="166"/>
      <c r="F42" s="166"/>
      <c r="G42" s="166"/>
      <c r="H42" s="166"/>
      <c r="I42" s="166"/>
      <c r="J42" s="166"/>
      <c r="K42" s="166"/>
      <c r="L42" s="166"/>
      <c r="M42" s="167"/>
      <c r="N42" s="167"/>
      <c r="O42" s="167"/>
      <c r="P42" s="167"/>
      <c r="Q42" s="167"/>
      <c r="R42" s="167"/>
      <c r="S42" s="167"/>
      <c r="T42" s="167"/>
      <c r="U42" s="167"/>
      <c r="V42" s="167"/>
      <c r="W42" s="168"/>
    </row>
    <row r="43" spans="1:23" ht="15.6">
      <c r="A43" s="188"/>
      <c r="B43" s="161" t="s">
        <v>207</v>
      </c>
      <c r="C43" s="177">
        <f>KeyAssumptions!V5</f>
        <v>0.25</v>
      </c>
      <c r="D43" s="166"/>
      <c r="E43" s="166"/>
      <c r="F43" s="166"/>
      <c r="G43" s="166"/>
      <c r="H43" s="166"/>
      <c r="I43" s="166"/>
      <c r="J43" s="166"/>
      <c r="K43" s="166"/>
      <c r="L43" s="166"/>
      <c r="M43" s="167"/>
      <c r="N43" s="167"/>
      <c r="O43" s="167"/>
      <c r="P43" s="167"/>
      <c r="Q43" s="167"/>
      <c r="R43" s="167"/>
      <c r="S43" s="167"/>
      <c r="T43" s="167"/>
      <c r="U43" s="167"/>
      <c r="V43" s="167"/>
      <c r="W43" s="168"/>
    </row>
    <row r="44" spans="1:23" ht="15.75" customHeight="1">
      <c r="A44" s="188"/>
      <c r="B44" s="191" t="s">
        <v>355</v>
      </c>
      <c r="C44" s="177">
        <v>0.95</v>
      </c>
      <c r="D44" s="166"/>
      <c r="E44" s="166"/>
      <c r="F44" s="166"/>
      <c r="G44" s="166"/>
      <c r="H44" s="166"/>
      <c r="I44" s="166"/>
      <c r="J44" s="166"/>
      <c r="K44" s="166"/>
      <c r="L44" s="166"/>
      <c r="M44" s="167"/>
      <c r="N44" s="167"/>
      <c r="O44" s="167"/>
      <c r="P44" s="167"/>
      <c r="Q44" s="167"/>
      <c r="R44" s="167"/>
      <c r="S44" s="167"/>
      <c r="T44" s="167"/>
      <c r="U44" s="167"/>
      <c r="V44" s="167"/>
      <c r="W44" s="168"/>
    </row>
    <row r="45" spans="1:23" ht="15.6">
      <c r="A45" s="188"/>
      <c r="B45" s="160"/>
      <c r="C45" s="160"/>
      <c r="D45" s="166"/>
      <c r="E45" s="166"/>
      <c r="F45" s="166"/>
      <c r="G45" s="166"/>
      <c r="H45" s="166"/>
      <c r="I45" s="166"/>
      <c r="J45" s="166"/>
      <c r="K45" s="166"/>
      <c r="L45" s="166"/>
      <c r="M45" s="167"/>
      <c r="N45" s="167"/>
      <c r="O45" s="167"/>
      <c r="P45" s="167"/>
      <c r="Q45" s="167"/>
      <c r="R45" s="167"/>
      <c r="S45" s="167"/>
      <c r="T45" s="167"/>
      <c r="U45" s="167"/>
      <c r="V45" s="167"/>
      <c r="W45" s="168"/>
    </row>
    <row r="46" spans="1:23">
      <c r="A46" s="159"/>
      <c r="B46" s="161" t="s">
        <v>1</v>
      </c>
      <c r="C46" s="162">
        <v>2015</v>
      </c>
      <c r="D46" s="162">
        <v>2016</v>
      </c>
      <c r="E46" s="162">
        <v>2017</v>
      </c>
      <c r="F46" s="162">
        <v>2018</v>
      </c>
      <c r="G46" s="162">
        <v>2019</v>
      </c>
      <c r="H46" s="162">
        <v>2020</v>
      </c>
      <c r="I46" s="162">
        <v>2021</v>
      </c>
      <c r="J46" s="162">
        <v>2022</v>
      </c>
      <c r="K46" s="162">
        <v>2023</v>
      </c>
      <c r="L46" s="162">
        <v>2024</v>
      </c>
      <c r="M46" s="162">
        <v>2025</v>
      </c>
      <c r="N46" s="162">
        <v>2026</v>
      </c>
      <c r="O46" s="162">
        <v>2027</v>
      </c>
      <c r="P46" s="162">
        <v>2028</v>
      </c>
      <c r="Q46" s="162">
        <v>2029</v>
      </c>
      <c r="R46" s="162">
        <v>2030</v>
      </c>
      <c r="S46" s="162">
        <v>2031</v>
      </c>
      <c r="T46" s="162">
        <v>2032</v>
      </c>
      <c r="U46" s="162">
        <v>2033</v>
      </c>
      <c r="V46" s="162">
        <v>2034</v>
      </c>
      <c r="W46" s="163">
        <v>2035</v>
      </c>
    </row>
    <row r="47" spans="1:23">
      <c r="A47" s="159"/>
      <c r="B47" s="161" t="s">
        <v>231</v>
      </c>
      <c r="C47" s="177">
        <v>0.05</v>
      </c>
      <c r="D47" s="177">
        <v>0.2</v>
      </c>
      <c r="E47" s="177">
        <v>0.2</v>
      </c>
      <c r="F47" s="177">
        <v>0.2</v>
      </c>
      <c r="G47" s="177">
        <v>0.2</v>
      </c>
      <c r="H47" s="177">
        <v>0.15</v>
      </c>
      <c r="I47" s="177">
        <v>0</v>
      </c>
      <c r="J47" s="177">
        <v>0</v>
      </c>
      <c r="K47" s="177">
        <v>0</v>
      </c>
      <c r="L47" s="177">
        <v>0</v>
      </c>
      <c r="M47" s="177">
        <v>0</v>
      </c>
      <c r="N47" s="177">
        <v>0</v>
      </c>
      <c r="O47" s="177">
        <v>0</v>
      </c>
      <c r="P47" s="177">
        <v>0</v>
      </c>
      <c r="Q47" s="177">
        <v>0</v>
      </c>
      <c r="R47" s="177">
        <v>0</v>
      </c>
      <c r="S47" s="177">
        <v>0</v>
      </c>
      <c r="T47" s="177">
        <v>0</v>
      </c>
      <c r="U47" s="177">
        <v>0</v>
      </c>
      <c r="V47" s="177">
        <v>0</v>
      </c>
      <c r="W47" s="225">
        <v>0</v>
      </c>
    </row>
    <row r="48" spans="1:23">
      <c r="A48" s="159"/>
      <c r="B48" s="161" t="s">
        <v>237</v>
      </c>
      <c r="C48" s="177">
        <f>C47</f>
        <v>0.05</v>
      </c>
      <c r="D48" s="177">
        <f>C48+D47</f>
        <v>0.25</v>
      </c>
      <c r="E48" s="177">
        <f t="shared" ref="E48:W48" si="21">D48+E47</f>
        <v>0.45</v>
      </c>
      <c r="F48" s="177">
        <f t="shared" si="21"/>
        <v>0.65</v>
      </c>
      <c r="G48" s="177">
        <f t="shared" si="21"/>
        <v>0.85000000000000009</v>
      </c>
      <c r="H48" s="177">
        <f t="shared" si="21"/>
        <v>1</v>
      </c>
      <c r="I48" s="177">
        <f t="shared" si="21"/>
        <v>1</v>
      </c>
      <c r="J48" s="177">
        <f t="shared" si="21"/>
        <v>1</v>
      </c>
      <c r="K48" s="177">
        <f t="shared" si="21"/>
        <v>1</v>
      </c>
      <c r="L48" s="177">
        <f t="shared" si="21"/>
        <v>1</v>
      </c>
      <c r="M48" s="177">
        <f t="shared" si="21"/>
        <v>1</v>
      </c>
      <c r="N48" s="177">
        <f t="shared" si="21"/>
        <v>1</v>
      </c>
      <c r="O48" s="177">
        <f t="shared" si="21"/>
        <v>1</v>
      </c>
      <c r="P48" s="177">
        <f t="shared" si="21"/>
        <v>1</v>
      </c>
      <c r="Q48" s="177">
        <f t="shared" si="21"/>
        <v>1</v>
      </c>
      <c r="R48" s="177">
        <f t="shared" si="21"/>
        <v>1</v>
      </c>
      <c r="S48" s="177">
        <f t="shared" si="21"/>
        <v>1</v>
      </c>
      <c r="T48" s="177">
        <f t="shared" si="21"/>
        <v>1</v>
      </c>
      <c r="U48" s="177">
        <f t="shared" si="21"/>
        <v>1</v>
      </c>
      <c r="V48" s="177">
        <f t="shared" si="21"/>
        <v>1</v>
      </c>
      <c r="W48" s="225">
        <f t="shared" si="21"/>
        <v>1</v>
      </c>
    </row>
    <row r="49" spans="1:23">
      <c r="A49" s="159"/>
      <c r="B49" s="161" t="s">
        <v>232</v>
      </c>
      <c r="C49" s="177">
        <v>0.01</v>
      </c>
      <c r="D49" s="177">
        <v>0.01</v>
      </c>
      <c r="E49" s="177">
        <v>0.01</v>
      </c>
      <c r="F49" s="177">
        <v>0.01</v>
      </c>
      <c r="G49" s="177">
        <v>0.01</v>
      </c>
      <c r="H49" s="177">
        <v>0.01</v>
      </c>
      <c r="I49" s="177">
        <v>0.01</v>
      </c>
      <c r="J49" s="177">
        <v>0.01</v>
      </c>
      <c r="K49" s="177">
        <v>0.01</v>
      </c>
      <c r="L49" s="177">
        <v>0.01</v>
      </c>
      <c r="M49" s="177">
        <v>0.01</v>
      </c>
      <c r="N49" s="177">
        <v>0.01</v>
      </c>
      <c r="O49" s="177">
        <v>0.01</v>
      </c>
      <c r="P49" s="177">
        <v>0.01</v>
      </c>
      <c r="Q49" s="177">
        <v>0.01</v>
      </c>
      <c r="R49" s="177">
        <v>0.01</v>
      </c>
      <c r="S49" s="177">
        <v>0.01</v>
      </c>
      <c r="T49" s="177">
        <v>0.01</v>
      </c>
      <c r="U49" s="177">
        <v>0.01</v>
      </c>
      <c r="V49" s="177">
        <v>0.01</v>
      </c>
      <c r="W49" s="225">
        <v>0.01</v>
      </c>
    </row>
    <row r="50" spans="1:23" ht="13.8" thickBot="1">
      <c r="A50" s="164"/>
      <c r="B50" s="165" t="s">
        <v>336</v>
      </c>
      <c r="C50" s="226">
        <f>1-'Res-Capacity-Base'!C50</f>
        <v>9.9999999999999978E-2</v>
      </c>
      <c r="D50" s="226">
        <f>1-'Res-Capacity-Base'!D50</f>
        <v>9.9999999999999978E-2</v>
      </c>
      <c r="E50" s="226">
        <f>1-'Res-Capacity-Base'!E50</f>
        <v>9.9999999999999978E-2</v>
      </c>
      <c r="F50" s="226">
        <f>1-'Res-Capacity-Base'!F50</f>
        <v>9.9999999999999978E-2</v>
      </c>
      <c r="G50" s="226">
        <f>1-'Res-Capacity-Base'!G50</f>
        <v>9.9999999999999978E-2</v>
      </c>
      <c r="H50" s="226">
        <f>1-'Res-Capacity-Base'!H50</f>
        <v>9.9999999999999978E-2</v>
      </c>
      <c r="I50" s="226">
        <f>1-'Res-Capacity-Base'!I50</f>
        <v>9.9999999999999978E-2</v>
      </c>
      <c r="J50" s="226">
        <f>1-'Res-Capacity-Base'!J50</f>
        <v>9.9999999999999978E-2</v>
      </c>
      <c r="K50" s="226">
        <f>1-'Res-Capacity-Base'!K50</f>
        <v>9.9999999999999978E-2</v>
      </c>
      <c r="L50" s="226">
        <f>1-'Res-Capacity-Base'!L50</f>
        <v>9.9999999999999978E-2</v>
      </c>
      <c r="M50" s="226">
        <f>1-'Res-Capacity-Base'!M50</f>
        <v>9.9999999999999978E-2</v>
      </c>
      <c r="N50" s="226">
        <f>1-'Res-Capacity-Base'!N50</f>
        <v>9.9999999999999978E-2</v>
      </c>
      <c r="O50" s="226">
        <f>1-'Res-Capacity-Base'!O50</f>
        <v>9.9999999999999978E-2</v>
      </c>
      <c r="P50" s="226">
        <f>1-'Res-Capacity-Base'!P50</f>
        <v>9.9999999999999978E-2</v>
      </c>
      <c r="Q50" s="226">
        <f>1-'Res-Capacity-Base'!Q50</f>
        <v>9.9999999999999978E-2</v>
      </c>
      <c r="R50" s="226">
        <f>1-'Res-Capacity-Base'!R50</f>
        <v>9.9999999999999978E-2</v>
      </c>
      <c r="S50" s="226">
        <f>1-'Res-Capacity-Base'!S50</f>
        <v>9.9999999999999978E-2</v>
      </c>
      <c r="T50" s="226">
        <f>1-'Res-Capacity-Base'!T50</f>
        <v>9.9999999999999978E-2</v>
      </c>
      <c r="U50" s="226">
        <f>1-'Res-Capacity-Base'!U50</f>
        <v>9.9999999999999978E-2</v>
      </c>
      <c r="V50" s="226">
        <f>1-'Res-Capacity-Base'!V50</f>
        <v>9.9999999999999978E-2</v>
      </c>
      <c r="W50" s="227">
        <f>1-'Res-Capacity-Base'!W50</f>
        <v>9.9999999999999978E-2</v>
      </c>
    </row>
    <row r="51" spans="1:23" ht="13.8" thickBot="1">
      <c r="A51" s="180"/>
      <c r="B51" s="180"/>
      <c r="C51" s="175"/>
      <c r="D51" s="175"/>
      <c r="E51" s="175"/>
      <c r="F51" s="175"/>
      <c r="G51" s="175"/>
      <c r="H51" s="175"/>
      <c r="I51" s="175"/>
      <c r="J51" s="175"/>
      <c r="K51" s="175"/>
      <c r="L51" s="175"/>
      <c r="M51" s="175"/>
      <c r="N51" s="175"/>
      <c r="O51" s="175"/>
      <c r="P51" s="175"/>
      <c r="Q51" s="175"/>
      <c r="R51" s="175"/>
      <c r="S51" s="175"/>
      <c r="T51" s="175"/>
      <c r="U51" s="175"/>
      <c r="V51" s="175"/>
      <c r="W51" s="175"/>
    </row>
    <row r="52" spans="1:23" ht="14.4" thickBot="1">
      <c r="A52" s="189" t="s">
        <v>240</v>
      </c>
      <c r="B52" s="190"/>
      <c r="C52" s="183"/>
      <c r="D52" s="183"/>
      <c r="E52" s="183"/>
      <c r="F52" s="183"/>
      <c r="G52" s="183"/>
      <c r="H52" s="183"/>
      <c r="I52" s="183"/>
      <c r="J52" s="183"/>
      <c r="K52" s="183"/>
      <c r="L52" s="183"/>
      <c r="M52" s="183"/>
      <c r="N52" s="183"/>
      <c r="O52" s="183"/>
      <c r="P52" s="183"/>
      <c r="Q52" s="183"/>
      <c r="R52" s="183"/>
      <c r="S52" s="183"/>
      <c r="T52" s="183"/>
      <c r="U52" s="183"/>
      <c r="V52" s="183"/>
      <c r="W52" s="184"/>
    </row>
    <row r="53" spans="1:23">
      <c r="A53" s="77" t="s">
        <v>212</v>
      </c>
      <c r="B53" s="77"/>
      <c r="F53" s="78"/>
      <c r="G53" s="78"/>
    </row>
    <row r="55" spans="1:23">
      <c r="A55" s="79"/>
      <c r="B55" s="186"/>
      <c r="C55" s="504" t="s">
        <v>213</v>
      </c>
      <c r="D55" s="504"/>
      <c r="E55" s="504"/>
      <c r="F55" s="504"/>
      <c r="G55" s="504"/>
      <c r="H55" s="504"/>
      <c r="I55" s="504"/>
      <c r="J55" s="504"/>
      <c r="K55" s="504"/>
      <c r="L55" s="504"/>
      <c r="M55" s="504"/>
      <c r="N55" s="504"/>
      <c r="O55" s="504"/>
      <c r="P55" s="504"/>
      <c r="Q55" s="504"/>
      <c r="R55" s="504"/>
      <c r="S55" s="504"/>
      <c r="T55" s="504"/>
      <c r="U55" s="504"/>
      <c r="V55" s="504"/>
      <c r="W55" s="504"/>
    </row>
    <row r="56" spans="1:23" ht="16.5" customHeight="1">
      <c r="A56" s="81" t="s">
        <v>214</v>
      </c>
      <c r="B56" s="82"/>
      <c r="C56" s="187">
        <v>2015</v>
      </c>
      <c r="D56" s="187">
        <v>2016</v>
      </c>
      <c r="E56" s="187">
        <v>2017</v>
      </c>
      <c r="F56" s="187">
        <v>2018</v>
      </c>
      <c r="G56" s="187">
        <v>2019</v>
      </c>
      <c r="H56" s="187">
        <v>2020</v>
      </c>
      <c r="I56" s="187">
        <v>2021</v>
      </c>
      <c r="J56" s="187">
        <v>2022</v>
      </c>
      <c r="K56" s="187">
        <v>2023</v>
      </c>
      <c r="L56" s="187">
        <v>2024</v>
      </c>
      <c r="M56" s="187">
        <v>2025</v>
      </c>
      <c r="N56" s="187">
        <v>2026</v>
      </c>
      <c r="O56" s="187">
        <v>2027</v>
      </c>
      <c r="P56" s="187">
        <v>2028</v>
      </c>
      <c r="Q56" s="187">
        <v>2029</v>
      </c>
      <c r="R56" s="187">
        <v>2030</v>
      </c>
      <c r="S56" s="187">
        <v>2031</v>
      </c>
      <c r="T56" s="187">
        <v>2032</v>
      </c>
      <c r="U56" s="187">
        <v>2033</v>
      </c>
      <c r="V56" s="187">
        <v>2034</v>
      </c>
      <c r="W56" s="187">
        <v>2035</v>
      </c>
    </row>
    <row r="57" spans="1:23">
      <c r="A57" s="84"/>
      <c r="B57" s="85"/>
      <c r="C57" s="84"/>
      <c r="D57" s="84"/>
      <c r="E57" s="84"/>
      <c r="F57" s="84"/>
      <c r="G57" s="84"/>
      <c r="H57" s="86"/>
      <c r="I57" s="84"/>
      <c r="J57" s="84"/>
      <c r="K57" s="84"/>
      <c r="L57" s="84"/>
      <c r="M57" s="84"/>
      <c r="N57" s="84"/>
      <c r="O57" s="84"/>
      <c r="P57" s="84"/>
      <c r="Q57" s="84"/>
      <c r="R57" s="84"/>
      <c r="S57" s="84"/>
      <c r="T57" s="84"/>
      <c r="U57" s="84"/>
      <c r="V57" s="84"/>
      <c r="W57" s="84"/>
    </row>
    <row r="58" spans="1:23">
      <c r="A58" s="169" t="s">
        <v>284</v>
      </c>
      <c r="B58" s="85"/>
      <c r="C58" s="88">
        <f>C70</f>
        <v>13534.530384375001</v>
      </c>
      <c r="D58" s="88">
        <f t="shared" ref="D58:W58" si="22">D70</f>
        <v>75586.535423437497</v>
      </c>
      <c r="E58" s="88">
        <f t="shared" si="22"/>
        <v>150657.62740874998</v>
      </c>
      <c r="F58" s="88">
        <f t="shared" si="22"/>
        <v>239219.63409093744</v>
      </c>
      <c r="G58" s="88">
        <f t="shared" si="22"/>
        <v>341744.43346312502</v>
      </c>
      <c r="H58" s="88">
        <f t="shared" si="22"/>
        <v>407738.43494999991</v>
      </c>
      <c r="I58" s="88">
        <f t="shared" si="22"/>
        <v>413314.65944999992</v>
      </c>
      <c r="J58" s="88">
        <f t="shared" si="22"/>
        <v>418854.2588999999</v>
      </c>
      <c r="K58" s="88">
        <f t="shared" si="22"/>
        <v>424364.14597499999</v>
      </c>
      <c r="L58" s="88">
        <f t="shared" si="22"/>
        <v>429821.33906249999</v>
      </c>
      <c r="M58" s="88">
        <f t="shared" si="22"/>
        <v>435251.36654999998</v>
      </c>
      <c r="N58" s="88">
        <f t="shared" si="22"/>
        <v>440620.33207499993</v>
      </c>
      <c r="O58" s="88">
        <f t="shared" si="22"/>
        <v>445897.37114999996</v>
      </c>
      <c r="P58" s="88">
        <f t="shared" si="22"/>
        <v>451060.53299999994</v>
      </c>
      <c r="Q58" s="88">
        <f t="shared" si="22"/>
        <v>456136.31621249992</v>
      </c>
      <c r="R58" s="88">
        <f t="shared" si="22"/>
        <v>461166.62129999994</v>
      </c>
      <c r="S58" s="88">
        <f t="shared" si="22"/>
        <v>466252.40096466901</v>
      </c>
      <c r="T58" s="88">
        <f t="shared" si="22"/>
        <v>471394.26698425389</v>
      </c>
      <c r="U58" s="88">
        <f t="shared" si="22"/>
        <v>476592.8378832317</v>
      </c>
      <c r="V58" s="88">
        <f t="shared" si="22"/>
        <v>481848.73900721333</v>
      </c>
      <c r="W58" s="88">
        <f t="shared" si="22"/>
        <v>487162.6025981672</v>
      </c>
    </row>
    <row r="59" spans="1:23">
      <c r="A59" s="169" t="s">
        <v>285</v>
      </c>
      <c r="B59" s="85"/>
      <c r="C59" s="88">
        <f>C71</f>
        <v>13534.530384375001</v>
      </c>
      <c r="D59" s="88">
        <f>D71-C71</f>
        <v>62052.005039062497</v>
      </c>
      <c r="E59" s="88">
        <f t="shared" ref="E59:W61" si="23">E71-D71</f>
        <v>75071.09198531248</v>
      </c>
      <c r="F59" s="88">
        <f t="shared" si="23"/>
        <v>88562.006682187464</v>
      </c>
      <c r="G59" s="88">
        <f t="shared" si="23"/>
        <v>102524.79937218758</v>
      </c>
      <c r="H59" s="88">
        <f t="shared" si="23"/>
        <v>65994.001486874884</v>
      </c>
      <c r="I59" s="88">
        <f t="shared" si="23"/>
        <v>5576.2245000000112</v>
      </c>
      <c r="J59" s="88">
        <f t="shared" si="23"/>
        <v>5539.5994499999797</v>
      </c>
      <c r="K59" s="88">
        <f t="shared" si="23"/>
        <v>5509.8870750000933</v>
      </c>
      <c r="L59" s="88">
        <f t="shared" si="23"/>
        <v>5457.1930874999962</v>
      </c>
      <c r="M59" s="88">
        <f t="shared" si="23"/>
        <v>5430.0274874999886</v>
      </c>
      <c r="N59" s="88">
        <f t="shared" si="23"/>
        <v>5368.9655249999487</v>
      </c>
      <c r="O59" s="88">
        <f t="shared" si="23"/>
        <v>5277.039075000037</v>
      </c>
      <c r="P59" s="88">
        <f t="shared" si="23"/>
        <v>5163.1618499999749</v>
      </c>
      <c r="Q59" s="88">
        <f t="shared" si="23"/>
        <v>5075.7832124999841</v>
      </c>
      <c r="R59" s="88">
        <f t="shared" si="23"/>
        <v>5030.305087500019</v>
      </c>
      <c r="S59" s="88">
        <f t="shared" si="23"/>
        <v>5085.7796646690695</v>
      </c>
      <c r="T59" s="88">
        <f t="shared" si="23"/>
        <v>5141.8660195848788</v>
      </c>
      <c r="U59" s="88">
        <f t="shared" si="23"/>
        <v>5198.5708989778068</v>
      </c>
      <c r="V59" s="88">
        <f t="shared" si="23"/>
        <v>5255.9011239816318</v>
      </c>
      <c r="W59" s="88">
        <f t="shared" si="23"/>
        <v>5313.8635909538716</v>
      </c>
    </row>
    <row r="60" spans="1:23">
      <c r="A60" s="169" t="s">
        <v>286</v>
      </c>
      <c r="B60" s="85"/>
      <c r="C60" s="88">
        <f>C72</f>
        <v>12761.128648125001</v>
      </c>
      <c r="D60" s="88">
        <f t="shared" ref="D60:S61" si="24">D72-C72</f>
        <v>58506.176179687522</v>
      </c>
      <c r="E60" s="88">
        <f t="shared" si="24"/>
        <v>70781.315300437491</v>
      </c>
      <c r="F60" s="88">
        <f t="shared" si="24"/>
        <v>83501.320586062502</v>
      </c>
      <c r="G60" s="88">
        <f t="shared" si="24"/>
        <v>96666.239408062567</v>
      </c>
      <c r="H60" s="88">
        <f t="shared" si="24"/>
        <v>62222.915687624947</v>
      </c>
      <c r="I60" s="88">
        <f t="shared" si="24"/>
        <v>5257.5830999999307</v>
      </c>
      <c r="J60" s="88">
        <f t="shared" si="24"/>
        <v>5223.0509099999908</v>
      </c>
      <c r="K60" s="88">
        <f t="shared" si="24"/>
        <v>5195.0363850000431</v>
      </c>
      <c r="L60" s="88">
        <f t="shared" si="24"/>
        <v>5145.3534825000097</v>
      </c>
      <c r="M60" s="88">
        <f t="shared" si="24"/>
        <v>5119.740202499961</v>
      </c>
      <c r="N60" s="88">
        <f t="shared" si="24"/>
        <v>5062.1674950000597</v>
      </c>
      <c r="O60" s="88">
        <f t="shared" si="24"/>
        <v>4975.4939850000083</v>
      </c>
      <c r="P60" s="88">
        <f t="shared" si="24"/>
        <v>4868.1240300000063</v>
      </c>
      <c r="Q60" s="88">
        <f t="shared" si="24"/>
        <v>4785.7384575000033</v>
      </c>
      <c r="R60" s="88">
        <f t="shared" si="24"/>
        <v>4742.8590824999847</v>
      </c>
      <c r="S60" s="88">
        <f t="shared" si="24"/>
        <v>4795.1636838307604</v>
      </c>
      <c r="T60" s="88">
        <f t="shared" si="23"/>
        <v>4848.0451041801134</v>
      </c>
      <c r="U60" s="88">
        <f t="shared" si="23"/>
        <v>4901.5097047504969</v>
      </c>
      <c r="V60" s="88">
        <f t="shared" si="23"/>
        <v>4955.5639168969356</v>
      </c>
      <c r="W60" s="88">
        <f t="shared" si="23"/>
        <v>5010.214242899383</v>
      </c>
    </row>
    <row r="61" spans="1:23">
      <c r="A61" s="87" t="s">
        <v>335</v>
      </c>
      <c r="B61" s="85"/>
      <c r="C61" s="88">
        <f>C73</f>
        <v>4408.389896624999</v>
      </c>
      <c r="D61" s="88">
        <f t="shared" si="24"/>
        <v>17973.077735249994</v>
      </c>
      <c r="E61" s="88">
        <f t="shared" si="24"/>
        <v>18511.316950499997</v>
      </c>
      <c r="F61" s="88">
        <f t="shared" si="24"/>
        <v>19043.563299749992</v>
      </c>
      <c r="G61" s="88">
        <f t="shared" si="24"/>
        <v>19571.540719500008</v>
      </c>
      <c r="H61" s="88">
        <f t="shared" si="24"/>
        <v>15353.706468374992</v>
      </c>
      <c r="I61" s="88">
        <f t="shared" si="24"/>
        <v>1297.3256999999867</v>
      </c>
      <c r="J61" s="88">
        <f t="shared" si="24"/>
        <v>1288.8047700000025</v>
      </c>
      <c r="K61" s="88">
        <f t="shared" si="24"/>
        <v>1281.8920949999883</v>
      </c>
      <c r="L61" s="88">
        <f t="shared" si="24"/>
        <v>1269.6326775000052</v>
      </c>
      <c r="M61" s="88">
        <f t="shared" si="24"/>
        <v>1263.3125175000023</v>
      </c>
      <c r="N61" s="88">
        <f t="shared" si="24"/>
        <v>1249.1062649999949</v>
      </c>
      <c r="O61" s="88">
        <f t="shared" si="24"/>
        <v>1227.7192950000026</v>
      </c>
      <c r="P61" s="88">
        <f t="shared" si="24"/>
        <v>1201.2254099999991</v>
      </c>
      <c r="Q61" s="88">
        <f t="shared" si="24"/>
        <v>1180.8965025000216</v>
      </c>
      <c r="R61" s="88">
        <f t="shared" si="24"/>
        <v>1170.3158774999756</v>
      </c>
      <c r="S61" s="88">
        <f t="shared" si="24"/>
        <v>1183.2222076985054</v>
      </c>
      <c r="T61" s="88">
        <f t="shared" si="23"/>
        <v>1196.2708698626229</v>
      </c>
      <c r="U61" s="88">
        <f t="shared" si="23"/>
        <v>1209.4634336397285</v>
      </c>
      <c r="V61" s="88">
        <f t="shared" si="23"/>
        <v>1222.8014859875548</v>
      </c>
      <c r="W61" s="88">
        <f t="shared" si="23"/>
        <v>1236.2866313647974</v>
      </c>
    </row>
    <row r="62" spans="1:23">
      <c r="A62" s="89"/>
      <c r="B62" s="90"/>
      <c r="C62" s="91"/>
      <c r="D62" s="92"/>
      <c r="E62" s="92"/>
      <c r="F62" s="92"/>
      <c r="G62" s="92"/>
      <c r="H62" s="92"/>
      <c r="I62" s="92"/>
      <c r="J62" s="92"/>
      <c r="K62" s="92"/>
      <c r="L62" s="92"/>
      <c r="M62" s="92"/>
      <c r="N62" s="92"/>
      <c r="O62" s="92"/>
      <c r="P62" s="92"/>
      <c r="Q62" s="92"/>
      <c r="R62" s="92"/>
      <c r="S62" s="92"/>
      <c r="T62" s="92"/>
      <c r="U62" s="92"/>
      <c r="V62" s="92"/>
      <c r="W62" s="92"/>
    </row>
    <row r="63" spans="1:23">
      <c r="A63" s="93" t="s">
        <v>216</v>
      </c>
      <c r="B63" s="94"/>
      <c r="C63" s="95">
        <f>SUM(C58:C61)</f>
        <v>44238.579313499999</v>
      </c>
      <c r="D63" s="95">
        <f>SUM(D58:D61)</f>
        <v>214117.79437743753</v>
      </c>
      <c r="E63" s="95">
        <f t="shared" ref="E63:W63" si="25">SUM(E58:E61)</f>
        <v>315021.35164499999</v>
      </c>
      <c r="F63" s="95">
        <f t="shared" si="25"/>
        <v>430326.52465893736</v>
      </c>
      <c r="G63" s="95">
        <f t="shared" si="25"/>
        <v>560507.01296287519</v>
      </c>
      <c r="H63" s="95">
        <f t="shared" si="25"/>
        <v>551309.05859287479</v>
      </c>
      <c r="I63" s="95">
        <f t="shared" si="25"/>
        <v>425445.79274999985</v>
      </c>
      <c r="J63" s="95">
        <f t="shared" si="25"/>
        <v>430905.71402999986</v>
      </c>
      <c r="K63" s="95">
        <f t="shared" si="25"/>
        <v>436350.96153000009</v>
      </c>
      <c r="L63" s="95">
        <f t="shared" si="25"/>
        <v>441693.51831000001</v>
      </c>
      <c r="M63" s="95">
        <f t="shared" si="25"/>
        <v>447064.44675749994</v>
      </c>
      <c r="N63" s="95">
        <f t="shared" si="25"/>
        <v>452300.57135999994</v>
      </c>
      <c r="O63" s="95">
        <f t="shared" si="25"/>
        <v>457377.62350500003</v>
      </c>
      <c r="P63" s="95">
        <f t="shared" si="25"/>
        <v>462293.04428999993</v>
      </c>
      <c r="Q63" s="95">
        <f t="shared" si="25"/>
        <v>467178.73438499996</v>
      </c>
      <c r="R63" s="95">
        <f t="shared" si="25"/>
        <v>472110.10134749993</v>
      </c>
      <c r="S63" s="95">
        <f t="shared" si="25"/>
        <v>477316.56652086735</v>
      </c>
      <c r="T63" s="95">
        <f t="shared" si="25"/>
        <v>482580.44897788152</v>
      </c>
      <c r="U63" s="95">
        <f t="shared" si="25"/>
        <v>487902.38192059973</v>
      </c>
      <c r="V63" s="95">
        <f t="shared" si="25"/>
        <v>493283.00553407945</v>
      </c>
      <c r="W63" s="95">
        <f t="shared" si="25"/>
        <v>498722.96706338524</v>
      </c>
    </row>
    <row r="64" spans="1:23">
      <c r="A64" s="96"/>
      <c r="B64" s="96"/>
      <c r="C64" s="97"/>
      <c r="D64" s="97"/>
      <c r="E64" s="97"/>
      <c r="F64" s="97"/>
      <c r="G64" s="97"/>
      <c r="H64" s="97"/>
      <c r="I64" s="97"/>
      <c r="J64" s="96"/>
      <c r="K64" s="96"/>
      <c r="L64" s="96"/>
    </row>
    <row r="65" spans="1:23">
      <c r="A65" s="98" t="s">
        <v>217</v>
      </c>
      <c r="B65" s="98"/>
      <c r="C65" s="99"/>
      <c r="D65" s="99"/>
      <c r="E65" s="99"/>
      <c r="F65" s="99"/>
      <c r="G65" s="99"/>
      <c r="H65" s="99"/>
      <c r="I65" s="99"/>
      <c r="J65" s="100"/>
      <c r="K65" s="100"/>
      <c r="L65" s="100"/>
    </row>
    <row r="66" spans="1:23">
      <c r="A66" s="98"/>
      <c r="B66" s="98"/>
      <c r="C66" s="99"/>
      <c r="D66" s="99"/>
      <c r="E66" s="99"/>
      <c r="F66" s="99"/>
      <c r="G66" s="99"/>
      <c r="H66" s="99"/>
      <c r="I66" s="99"/>
      <c r="J66" s="100"/>
      <c r="K66" s="100"/>
      <c r="L66" s="100"/>
    </row>
    <row r="67" spans="1:23">
      <c r="A67" s="509" t="s">
        <v>214</v>
      </c>
      <c r="B67" s="511"/>
      <c r="C67" s="504" t="s">
        <v>218</v>
      </c>
      <c r="D67" s="504"/>
      <c r="E67" s="504"/>
      <c r="F67" s="504"/>
      <c r="G67" s="504"/>
      <c r="H67" s="504"/>
      <c r="I67" s="504"/>
      <c r="J67" s="504"/>
      <c r="K67" s="504"/>
      <c r="L67" s="504"/>
      <c r="M67" s="504"/>
      <c r="N67" s="504"/>
      <c r="O67" s="504"/>
      <c r="P67" s="504"/>
      <c r="Q67" s="504"/>
      <c r="R67" s="504"/>
      <c r="S67" s="504"/>
      <c r="T67" s="504"/>
      <c r="U67" s="504"/>
      <c r="V67" s="504"/>
      <c r="W67" s="504"/>
    </row>
    <row r="68" spans="1:23">
      <c r="A68" s="510"/>
      <c r="B68" s="512"/>
      <c r="C68" s="187">
        <v>2015</v>
      </c>
      <c r="D68" s="187">
        <v>2016</v>
      </c>
      <c r="E68" s="187">
        <v>2017</v>
      </c>
      <c r="F68" s="187">
        <v>2018</v>
      </c>
      <c r="G68" s="187">
        <v>2019</v>
      </c>
      <c r="H68" s="187">
        <v>2020</v>
      </c>
      <c r="I68" s="187">
        <v>2021</v>
      </c>
      <c r="J68" s="187">
        <v>2022</v>
      </c>
      <c r="K68" s="187">
        <v>2023</v>
      </c>
      <c r="L68" s="187">
        <v>2024</v>
      </c>
      <c r="M68" s="187">
        <v>2025</v>
      </c>
      <c r="N68" s="187">
        <v>2026</v>
      </c>
      <c r="O68" s="187">
        <v>2027</v>
      </c>
      <c r="P68" s="187">
        <v>2028</v>
      </c>
      <c r="Q68" s="187">
        <v>2029</v>
      </c>
      <c r="R68" s="187">
        <v>2030</v>
      </c>
      <c r="S68" s="187">
        <v>2031</v>
      </c>
      <c r="T68" s="187">
        <v>2032</v>
      </c>
      <c r="U68" s="187">
        <v>2033</v>
      </c>
      <c r="V68" s="187">
        <v>2034</v>
      </c>
      <c r="W68" s="187">
        <v>2035</v>
      </c>
    </row>
    <row r="69" spans="1:23">
      <c r="A69" s="84"/>
      <c r="B69" s="87"/>
      <c r="C69" s="92"/>
      <c r="D69" s="92"/>
      <c r="E69" s="92"/>
      <c r="F69" s="92"/>
      <c r="G69" s="92"/>
      <c r="H69" s="92"/>
      <c r="I69" s="92"/>
      <c r="J69" s="92"/>
      <c r="K69" s="92"/>
      <c r="L69" s="92"/>
      <c r="M69" s="92"/>
      <c r="N69" s="92"/>
      <c r="O69" s="92"/>
      <c r="P69" s="92"/>
      <c r="Q69" s="92"/>
      <c r="R69" s="92"/>
      <c r="S69" s="92"/>
      <c r="T69" s="92"/>
      <c r="U69" s="92"/>
      <c r="V69" s="92"/>
      <c r="W69" s="92"/>
    </row>
    <row r="70" spans="1:23">
      <c r="A70" s="103" t="str">
        <f>+A58</f>
        <v>a. Space Cooling - CAC PCT</v>
      </c>
      <c r="B70" s="104"/>
      <c r="C70" s="92">
        <f t="shared" ref="C70:W70" si="26">C6*$C$20*$C$21*C28*C26*(1-C27)</f>
        <v>13534.530384375001</v>
      </c>
      <c r="D70" s="92">
        <f t="shared" si="26"/>
        <v>75586.535423437497</v>
      </c>
      <c r="E70" s="92">
        <f t="shared" si="26"/>
        <v>150657.62740874998</v>
      </c>
      <c r="F70" s="92">
        <f t="shared" si="26"/>
        <v>239219.63409093744</v>
      </c>
      <c r="G70" s="92">
        <f t="shared" si="26"/>
        <v>341744.43346312502</v>
      </c>
      <c r="H70" s="92">
        <f t="shared" si="26"/>
        <v>407738.43494999991</v>
      </c>
      <c r="I70" s="92">
        <f t="shared" si="26"/>
        <v>413314.65944999992</v>
      </c>
      <c r="J70" s="92">
        <f t="shared" si="26"/>
        <v>418854.2588999999</v>
      </c>
      <c r="K70" s="92">
        <f t="shared" si="26"/>
        <v>424364.14597499999</v>
      </c>
      <c r="L70" s="92">
        <f t="shared" si="26"/>
        <v>429821.33906249999</v>
      </c>
      <c r="M70" s="92">
        <f t="shared" si="26"/>
        <v>435251.36654999998</v>
      </c>
      <c r="N70" s="92">
        <f t="shared" si="26"/>
        <v>440620.33207499993</v>
      </c>
      <c r="O70" s="92">
        <f t="shared" si="26"/>
        <v>445897.37114999996</v>
      </c>
      <c r="P70" s="92">
        <f t="shared" si="26"/>
        <v>451060.53299999994</v>
      </c>
      <c r="Q70" s="92">
        <f t="shared" si="26"/>
        <v>456136.31621249992</v>
      </c>
      <c r="R70" s="92">
        <f t="shared" si="26"/>
        <v>461166.62129999994</v>
      </c>
      <c r="S70" s="92">
        <f t="shared" si="26"/>
        <v>466252.40096466901</v>
      </c>
      <c r="T70" s="92">
        <f t="shared" si="26"/>
        <v>471394.26698425389</v>
      </c>
      <c r="U70" s="92">
        <f t="shared" si="26"/>
        <v>476592.8378832317</v>
      </c>
      <c r="V70" s="92">
        <f t="shared" si="26"/>
        <v>481848.73900721333</v>
      </c>
      <c r="W70" s="92">
        <f t="shared" si="26"/>
        <v>487162.6025981672</v>
      </c>
    </row>
    <row r="71" spans="1:23">
      <c r="A71" s="103" t="str">
        <f>+A59</f>
        <v>b. Space Cooling - RAC PCT</v>
      </c>
      <c r="B71" s="104"/>
      <c r="C71" s="92">
        <f t="shared" ref="C71:W71" si="27">C6*$C$20*$C$21*C28*C26*(1-C27)</f>
        <v>13534.530384375001</v>
      </c>
      <c r="D71" s="92">
        <f t="shared" si="27"/>
        <v>75586.535423437497</v>
      </c>
      <c r="E71" s="92">
        <f t="shared" si="27"/>
        <v>150657.62740874998</v>
      </c>
      <c r="F71" s="92">
        <f t="shared" si="27"/>
        <v>239219.63409093744</v>
      </c>
      <c r="G71" s="92">
        <f t="shared" si="27"/>
        <v>341744.43346312502</v>
      </c>
      <c r="H71" s="92">
        <f t="shared" si="27"/>
        <v>407738.43494999991</v>
      </c>
      <c r="I71" s="92">
        <f t="shared" si="27"/>
        <v>413314.65944999992</v>
      </c>
      <c r="J71" s="92">
        <f t="shared" si="27"/>
        <v>418854.2588999999</v>
      </c>
      <c r="K71" s="92">
        <f t="shared" si="27"/>
        <v>424364.14597499999</v>
      </c>
      <c r="L71" s="92">
        <f t="shared" si="27"/>
        <v>429821.33906249999</v>
      </c>
      <c r="M71" s="92">
        <f t="shared" si="27"/>
        <v>435251.36654999998</v>
      </c>
      <c r="N71" s="92">
        <f t="shared" si="27"/>
        <v>440620.33207499993</v>
      </c>
      <c r="O71" s="92">
        <f t="shared" si="27"/>
        <v>445897.37114999996</v>
      </c>
      <c r="P71" s="92">
        <f t="shared" si="27"/>
        <v>451060.53299999994</v>
      </c>
      <c r="Q71" s="92">
        <f t="shared" si="27"/>
        <v>456136.31621249992</v>
      </c>
      <c r="R71" s="92">
        <f t="shared" si="27"/>
        <v>461166.62129999994</v>
      </c>
      <c r="S71" s="92">
        <f t="shared" si="27"/>
        <v>466252.40096466901</v>
      </c>
      <c r="T71" s="92">
        <f t="shared" si="27"/>
        <v>471394.26698425389</v>
      </c>
      <c r="U71" s="92">
        <f t="shared" si="27"/>
        <v>476592.8378832317</v>
      </c>
      <c r="V71" s="92">
        <f t="shared" si="27"/>
        <v>481848.73900721333</v>
      </c>
      <c r="W71" s="92">
        <f t="shared" si="27"/>
        <v>487162.6025981672</v>
      </c>
    </row>
    <row r="72" spans="1:23">
      <c r="A72" s="103" t="str">
        <f>+A60</f>
        <v>c. Space Heating - PCT</v>
      </c>
      <c r="B72" s="104"/>
      <c r="C72" s="92">
        <f t="shared" ref="C72:W72" si="28">C6*$C$9*$C$10*C17*C15*(1-C16)</f>
        <v>12761.128648125001</v>
      </c>
      <c r="D72" s="92">
        <f t="shared" si="28"/>
        <v>71267.304827812521</v>
      </c>
      <c r="E72" s="92">
        <f t="shared" si="28"/>
        <v>142048.62012825001</v>
      </c>
      <c r="F72" s="92">
        <f t="shared" si="28"/>
        <v>225549.94071431251</v>
      </c>
      <c r="G72" s="92">
        <f t="shared" si="28"/>
        <v>322216.18012237508</v>
      </c>
      <c r="H72" s="92">
        <f t="shared" si="28"/>
        <v>384439.09581000003</v>
      </c>
      <c r="I72" s="92">
        <f t="shared" si="28"/>
        <v>389696.67890999996</v>
      </c>
      <c r="J72" s="92">
        <f t="shared" si="28"/>
        <v>394919.72981999995</v>
      </c>
      <c r="K72" s="92">
        <f t="shared" si="28"/>
        <v>400114.76620499999</v>
      </c>
      <c r="L72" s="92">
        <f t="shared" si="28"/>
        <v>405260.1196875</v>
      </c>
      <c r="M72" s="92">
        <f t="shared" si="28"/>
        <v>410379.85988999996</v>
      </c>
      <c r="N72" s="92">
        <f t="shared" si="28"/>
        <v>415442.02738500002</v>
      </c>
      <c r="O72" s="92">
        <f t="shared" si="28"/>
        <v>420417.52137000003</v>
      </c>
      <c r="P72" s="92">
        <f t="shared" si="28"/>
        <v>425285.64540000004</v>
      </c>
      <c r="Q72" s="92">
        <f t="shared" si="28"/>
        <v>430071.38385750004</v>
      </c>
      <c r="R72" s="92">
        <f t="shared" si="28"/>
        <v>434814.24294000003</v>
      </c>
      <c r="S72" s="92">
        <f t="shared" si="28"/>
        <v>439609.40662383079</v>
      </c>
      <c r="T72" s="92">
        <f t="shared" si="28"/>
        <v>444457.4517280109</v>
      </c>
      <c r="U72" s="92">
        <f t="shared" si="28"/>
        <v>449358.9614327614</v>
      </c>
      <c r="V72" s="92">
        <f t="shared" si="28"/>
        <v>454314.52534965833</v>
      </c>
      <c r="W72" s="92">
        <f t="shared" si="28"/>
        <v>459324.73959255771</v>
      </c>
    </row>
    <row r="73" spans="1:23">
      <c r="A73" s="103" t="str">
        <f>+A61</f>
        <v>d. Water Heating - WH Controls</v>
      </c>
      <c r="B73" s="104"/>
      <c r="C73" s="92">
        <f t="shared" ref="C73:W73" si="29">C6*$C$42*$C$43*C50*C48*(1-C49)</f>
        <v>4408.389896624999</v>
      </c>
      <c r="D73" s="92">
        <f t="shared" si="29"/>
        <v>22381.467631874992</v>
      </c>
      <c r="E73" s="92">
        <f t="shared" si="29"/>
        <v>40892.784582374989</v>
      </c>
      <c r="F73" s="92">
        <f t="shared" si="29"/>
        <v>59936.347882124981</v>
      </c>
      <c r="G73" s="92">
        <f t="shared" si="29"/>
        <v>79507.888601624989</v>
      </c>
      <c r="H73" s="92">
        <f t="shared" si="29"/>
        <v>94861.595069999981</v>
      </c>
      <c r="I73" s="92">
        <f t="shared" si="29"/>
        <v>96158.920769999968</v>
      </c>
      <c r="J73" s="92">
        <f t="shared" si="29"/>
        <v>97447.72553999997</v>
      </c>
      <c r="K73" s="92">
        <f t="shared" si="29"/>
        <v>98729.617634999959</v>
      </c>
      <c r="L73" s="92">
        <f t="shared" si="29"/>
        <v>99999.250312499964</v>
      </c>
      <c r="M73" s="92">
        <f t="shared" si="29"/>
        <v>101262.56282999997</v>
      </c>
      <c r="N73" s="92">
        <f t="shared" si="29"/>
        <v>102511.66909499996</v>
      </c>
      <c r="O73" s="92">
        <f t="shared" si="29"/>
        <v>103739.38838999996</v>
      </c>
      <c r="P73" s="92">
        <f t="shared" si="29"/>
        <v>104940.61379999996</v>
      </c>
      <c r="Q73" s="92">
        <f t="shared" si="29"/>
        <v>106121.51030249998</v>
      </c>
      <c r="R73" s="92">
        <f t="shared" si="29"/>
        <v>107291.82617999996</v>
      </c>
      <c r="S73" s="92">
        <f t="shared" si="29"/>
        <v>108475.04838769847</v>
      </c>
      <c r="T73" s="92">
        <f t="shared" si="29"/>
        <v>109671.31925756109</v>
      </c>
      <c r="U73" s="92">
        <f t="shared" si="29"/>
        <v>110880.78269120082</v>
      </c>
      <c r="V73" s="92">
        <f t="shared" si="29"/>
        <v>112103.58417718837</v>
      </c>
      <c r="W73" s="92">
        <f t="shared" si="29"/>
        <v>113339.87080855317</v>
      </c>
    </row>
    <row r="74" spans="1:23">
      <c r="A74" s="87"/>
      <c r="B74" s="87"/>
      <c r="C74" s="105"/>
      <c r="D74" s="105"/>
      <c r="E74" s="105"/>
      <c r="F74" s="105"/>
      <c r="G74" s="105"/>
      <c r="H74" s="105"/>
      <c r="I74" s="105"/>
      <c r="J74" s="105"/>
      <c r="K74" s="105"/>
      <c r="L74" s="105"/>
      <c r="M74" s="105"/>
      <c r="N74" s="105"/>
      <c r="O74" s="105"/>
      <c r="P74" s="105"/>
      <c r="Q74" s="105"/>
      <c r="R74" s="105"/>
      <c r="S74" s="105"/>
      <c r="T74" s="105"/>
      <c r="U74" s="105"/>
      <c r="V74" s="105"/>
      <c r="W74" s="105"/>
    </row>
    <row r="75" spans="1:23">
      <c r="A75" s="93" t="s">
        <v>219</v>
      </c>
      <c r="B75" s="93"/>
      <c r="C75" s="95">
        <f>SUM(C70:C73)</f>
        <v>44238.579313499999</v>
      </c>
      <c r="D75" s="95">
        <f t="shared" ref="D75:W75" si="30">SUM(D70:D73)</f>
        <v>244821.84330656248</v>
      </c>
      <c r="E75" s="95">
        <f t="shared" si="30"/>
        <v>484256.65952812496</v>
      </c>
      <c r="F75" s="95">
        <f t="shared" si="30"/>
        <v>763925.55677831231</v>
      </c>
      <c r="G75" s="95">
        <f t="shared" si="30"/>
        <v>1085212.9356502499</v>
      </c>
      <c r="H75" s="95">
        <f t="shared" si="30"/>
        <v>1294777.5607799999</v>
      </c>
      <c r="I75" s="95">
        <f t="shared" si="30"/>
        <v>1312484.9185799998</v>
      </c>
      <c r="J75" s="95">
        <f t="shared" si="30"/>
        <v>1330075.9731599998</v>
      </c>
      <c r="K75" s="95">
        <f t="shared" si="30"/>
        <v>1347572.67579</v>
      </c>
      <c r="L75" s="95">
        <f t="shared" si="30"/>
        <v>1364902.048125</v>
      </c>
      <c r="M75" s="95">
        <f t="shared" si="30"/>
        <v>1382145.1558199998</v>
      </c>
      <c r="N75" s="95">
        <f t="shared" si="30"/>
        <v>1399194.3606299998</v>
      </c>
      <c r="O75" s="95">
        <f t="shared" si="30"/>
        <v>1415951.65206</v>
      </c>
      <c r="P75" s="95">
        <f t="shared" si="30"/>
        <v>1432347.3251999998</v>
      </c>
      <c r="Q75" s="95">
        <f t="shared" si="30"/>
        <v>1448465.5265849996</v>
      </c>
      <c r="R75" s="95">
        <f t="shared" si="30"/>
        <v>1464439.3117199996</v>
      </c>
      <c r="S75" s="95">
        <f t="shared" si="30"/>
        <v>1480589.2569408673</v>
      </c>
      <c r="T75" s="95">
        <f t="shared" si="30"/>
        <v>1496917.3049540799</v>
      </c>
      <c r="U75" s="95">
        <f t="shared" si="30"/>
        <v>1513425.4198904256</v>
      </c>
      <c r="V75" s="95">
        <f t="shared" si="30"/>
        <v>1530115.5875412733</v>
      </c>
      <c r="W75" s="95">
        <f t="shared" si="30"/>
        <v>1546989.8155974452</v>
      </c>
    </row>
    <row r="77" spans="1:23">
      <c r="A77" s="77" t="s">
        <v>220</v>
      </c>
      <c r="B77" s="77"/>
      <c r="D77" s="223"/>
      <c r="E77" s="78"/>
      <c r="F77" s="78"/>
      <c r="G77" s="224"/>
    </row>
    <row r="78" spans="1:23">
      <c r="A78" s="77"/>
      <c r="B78" s="77"/>
      <c r="D78" s="223"/>
      <c r="E78" s="78"/>
      <c r="F78" s="78"/>
      <c r="G78" s="228"/>
    </row>
    <row r="79" spans="1:23">
      <c r="A79" s="106"/>
      <c r="B79" s="502" t="s">
        <v>242</v>
      </c>
      <c r="C79" s="507" t="s">
        <v>221</v>
      </c>
      <c r="D79" s="508"/>
      <c r="E79" s="508"/>
      <c r="F79" s="508"/>
      <c r="G79" s="508"/>
      <c r="H79" s="508"/>
      <c r="I79" s="508"/>
      <c r="J79" s="508"/>
      <c r="K79" s="508"/>
      <c r="L79" s="508"/>
      <c r="M79" s="508"/>
      <c r="N79" s="508"/>
      <c r="O79" s="508"/>
      <c r="P79" s="508"/>
      <c r="Q79" s="508"/>
      <c r="R79" s="508"/>
      <c r="S79" s="508"/>
      <c r="T79" s="508"/>
      <c r="U79" s="508"/>
      <c r="V79" s="508"/>
      <c r="W79" s="508"/>
    </row>
    <row r="80" spans="1:23">
      <c r="A80" s="185" t="s">
        <v>214</v>
      </c>
      <c r="B80" s="506"/>
      <c r="C80" s="187">
        <v>2015</v>
      </c>
      <c r="D80" s="187">
        <v>2016</v>
      </c>
      <c r="E80" s="187">
        <v>2017</v>
      </c>
      <c r="F80" s="187">
        <v>2018</v>
      </c>
      <c r="G80" s="187">
        <v>2019</v>
      </c>
      <c r="H80" s="187">
        <v>2020</v>
      </c>
      <c r="I80" s="187">
        <v>2021</v>
      </c>
      <c r="J80" s="187">
        <v>2022</v>
      </c>
      <c r="K80" s="187">
        <v>2023</v>
      </c>
      <c r="L80" s="187">
        <v>2024</v>
      </c>
      <c r="M80" s="187">
        <v>2025</v>
      </c>
      <c r="N80" s="187">
        <v>2026</v>
      </c>
      <c r="O80" s="187">
        <v>2027</v>
      </c>
      <c r="P80" s="187">
        <v>2028</v>
      </c>
      <c r="Q80" s="187">
        <v>2029</v>
      </c>
      <c r="R80" s="187">
        <v>2030</v>
      </c>
      <c r="S80" s="187">
        <v>2031</v>
      </c>
      <c r="T80" s="187">
        <v>2032</v>
      </c>
      <c r="U80" s="187">
        <v>2033</v>
      </c>
      <c r="V80" s="187">
        <v>2034</v>
      </c>
      <c r="W80" s="187">
        <v>2035</v>
      </c>
    </row>
    <row r="81" spans="1:23">
      <c r="A81" s="84"/>
      <c r="B81" s="84"/>
      <c r="C81" s="84"/>
      <c r="D81" s="108"/>
      <c r="E81" s="84"/>
      <c r="F81" s="84"/>
      <c r="G81" s="84"/>
      <c r="H81" s="84"/>
      <c r="I81" s="84"/>
      <c r="J81" s="84"/>
      <c r="K81" s="84"/>
      <c r="L81" s="84"/>
      <c r="M81" s="84"/>
      <c r="N81" s="84"/>
      <c r="O81" s="84"/>
      <c r="P81" s="84"/>
      <c r="Q81" s="84"/>
      <c r="R81" s="84"/>
      <c r="S81" s="84"/>
      <c r="T81" s="84"/>
      <c r="U81" s="84"/>
      <c r="V81" s="84"/>
      <c r="W81" s="84"/>
    </row>
    <row r="82" spans="1:23">
      <c r="A82" s="103" t="str">
        <f>+A58</f>
        <v>a. Space Cooling - CAC PCT</v>
      </c>
      <c r="B82" s="262">
        <f>KeyAssumptions!T6</f>
        <v>0.6</v>
      </c>
      <c r="C82" s="192">
        <f>$B82/1000*C70*$C$11</f>
        <v>7.7146823190937495</v>
      </c>
      <c r="D82" s="192">
        <f t="shared" ref="D82:W82" si="31">$B82/1000*D70*$C$11</f>
        <v>43.084325191359369</v>
      </c>
      <c r="E82" s="192">
        <f t="shared" si="31"/>
        <v>85.874847622987474</v>
      </c>
      <c r="F82" s="192">
        <f t="shared" si="31"/>
        <v>136.35519143183433</v>
      </c>
      <c r="G82" s="192">
        <f t="shared" si="31"/>
        <v>194.79432707398124</v>
      </c>
      <c r="H82" s="192">
        <f t="shared" si="31"/>
        <v>232.41090792149993</v>
      </c>
      <c r="I82" s="192">
        <f t="shared" si="31"/>
        <v>235.5893558864999</v>
      </c>
      <c r="J82" s="192">
        <f t="shared" si="31"/>
        <v>238.74692757299991</v>
      </c>
      <c r="K82" s="192">
        <f t="shared" si="31"/>
        <v>241.88756320574996</v>
      </c>
      <c r="L82" s="192">
        <f t="shared" si="31"/>
        <v>244.99816326562498</v>
      </c>
      <c r="M82" s="192">
        <f t="shared" si="31"/>
        <v>248.09327893349993</v>
      </c>
      <c r="N82" s="192">
        <f t="shared" si="31"/>
        <v>251.15358928274992</v>
      </c>
      <c r="O82" s="192">
        <f t="shared" si="31"/>
        <v>254.16150155549994</v>
      </c>
      <c r="P82" s="192">
        <f t="shared" si="31"/>
        <v>257.10450380999998</v>
      </c>
      <c r="Q82" s="192">
        <f t="shared" si="31"/>
        <v>259.9977002411249</v>
      </c>
      <c r="R82" s="192">
        <f t="shared" si="31"/>
        <v>262.86497414099995</v>
      </c>
      <c r="S82" s="192">
        <f t="shared" si="31"/>
        <v>265.76386854986134</v>
      </c>
      <c r="T82" s="192">
        <f t="shared" si="31"/>
        <v>268.69473218102468</v>
      </c>
      <c r="U82" s="192">
        <f t="shared" si="31"/>
        <v>271.65791759344205</v>
      </c>
      <c r="V82" s="192">
        <f t="shared" si="31"/>
        <v>274.65378123411153</v>
      </c>
      <c r="W82" s="192">
        <f t="shared" si="31"/>
        <v>277.68268348095523</v>
      </c>
    </row>
    <row r="83" spans="1:23">
      <c r="A83" s="103" t="str">
        <f>+A59</f>
        <v>b. Space Cooling - RAC PCT</v>
      </c>
      <c r="B83" s="262">
        <f>KeyAssumptions!T7</f>
        <v>0.27</v>
      </c>
      <c r="C83" s="192">
        <f t="shared" ref="C83:W83" si="32">$B83/1000*C71*$C$22</f>
        <v>3.4716070435921877</v>
      </c>
      <c r="D83" s="192">
        <f t="shared" si="32"/>
        <v>19.387946336111717</v>
      </c>
      <c r="E83" s="192">
        <f t="shared" si="32"/>
        <v>38.643681430344373</v>
      </c>
      <c r="F83" s="192">
        <f t="shared" si="32"/>
        <v>61.359836144325449</v>
      </c>
      <c r="G83" s="192">
        <f t="shared" si="32"/>
        <v>87.657447183291566</v>
      </c>
      <c r="H83" s="192">
        <f t="shared" si="32"/>
        <v>104.58490856467498</v>
      </c>
      <c r="I83" s="192">
        <f t="shared" si="32"/>
        <v>106.01521014892498</v>
      </c>
      <c r="J83" s="192">
        <f t="shared" si="32"/>
        <v>107.43611740784996</v>
      </c>
      <c r="K83" s="192">
        <f t="shared" si="32"/>
        <v>108.8494034425875</v>
      </c>
      <c r="L83" s="192">
        <f t="shared" si="32"/>
        <v>110.24917346953124</v>
      </c>
      <c r="M83" s="192">
        <f t="shared" si="32"/>
        <v>111.64197552007499</v>
      </c>
      <c r="N83" s="192">
        <f t="shared" si="32"/>
        <v>113.01911517723748</v>
      </c>
      <c r="O83" s="192">
        <f t="shared" si="32"/>
        <v>114.37267569997499</v>
      </c>
      <c r="P83" s="192">
        <f t="shared" si="32"/>
        <v>115.69702671449998</v>
      </c>
      <c r="Q83" s="192">
        <f t="shared" si="32"/>
        <v>116.99896510850623</v>
      </c>
      <c r="R83" s="192">
        <f t="shared" si="32"/>
        <v>118.28923836344998</v>
      </c>
      <c r="S83" s="192">
        <f t="shared" si="32"/>
        <v>119.5937408474376</v>
      </c>
      <c r="T83" s="192">
        <f t="shared" si="32"/>
        <v>120.91262948146111</v>
      </c>
      <c r="U83" s="192">
        <f t="shared" si="32"/>
        <v>122.24606291704892</v>
      </c>
      <c r="V83" s="192">
        <f t="shared" si="32"/>
        <v>123.59420155535022</v>
      </c>
      <c r="W83" s="192">
        <f t="shared" si="32"/>
        <v>124.95720756642989</v>
      </c>
    </row>
    <row r="84" spans="1:23">
      <c r="A84" s="103" t="str">
        <f>+A60</f>
        <v>c. Space Heating - PCT</v>
      </c>
      <c r="B84" s="262">
        <f>KeyAssumptions!T4</f>
        <v>1.74</v>
      </c>
      <c r="C84" s="192">
        <f>$B84/1000*C72*$C$33</f>
        <v>21.094145655350623</v>
      </c>
      <c r="D84" s="192">
        <f t="shared" ref="D84:W84" si="33">$B84/1000*D72*$C$33</f>
        <v>117.80485488037409</v>
      </c>
      <c r="E84" s="192">
        <f t="shared" si="33"/>
        <v>234.80636907199727</v>
      </c>
      <c r="F84" s="192">
        <f t="shared" si="33"/>
        <v>372.83405200075862</v>
      </c>
      <c r="G84" s="192">
        <f t="shared" si="33"/>
        <v>532.62334574228601</v>
      </c>
      <c r="H84" s="192">
        <f t="shared" si="33"/>
        <v>635.47782537393005</v>
      </c>
      <c r="I84" s="192">
        <f t="shared" si="33"/>
        <v>644.16861023822992</v>
      </c>
      <c r="J84" s="192">
        <f t="shared" si="33"/>
        <v>652.80231339245984</v>
      </c>
      <c r="K84" s="192">
        <f t="shared" si="33"/>
        <v>661.38970853686499</v>
      </c>
      <c r="L84" s="192">
        <f t="shared" si="33"/>
        <v>669.89497784343746</v>
      </c>
      <c r="M84" s="192">
        <f t="shared" si="33"/>
        <v>678.35790839816991</v>
      </c>
      <c r="N84" s="192">
        <f t="shared" si="33"/>
        <v>686.725671267405</v>
      </c>
      <c r="O84" s="192">
        <f t="shared" si="33"/>
        <v>694.95016282461006</v>
      </c>
      <c r="P84" s="192">
        <f t="shared" si="33"/>
        <v>702.99717184619999</v>
      </c>
      <c r="Q84" s="192">
        <f t="shared" si="33"/>
        <v>710.90799751644749</v>
      </c>
      <c r="R84" s="192">
        <f t="shared" si="33"/>
        <v>718.74794357982</v>
      </c>
      <c r="S84" s="192">
        <f t="shared" si="33"/>
        <v>726.67434914919227</v>
      </c>
      <c r="T84" s="192">
        <f t="shared" si="33"/>
        <v>734.68816770640194</v>
      </c>
      <c r="U84" s="192">
        <f t="shared" si="33"/>
        <v>742.79036324835465</v>
      </c>
      <c r="V84" s="192">
        <f t="shared" si="33"/>
        <v>750.98191040298514</v>
      </c>
      <c r="W84" s="192">
        <f t="shared" si="33"/>
        <v>759.26379454649782</v>
      </c>
    </row>
    <row r="85" spans="1:23">
      <c r="A85" s="103" t="str">
        <f>+A61</f>
        <v>d. Water Heating - WH Controls</v>
      </c>
      <c r="B85" s="262">
        <f>KeyAssumptions!T5</f>
        <v>0.57999999999999996</v>
      </c>
      <c r="C85" s="192">
        <f>$B85/1000*C73*$C$44</f>
        <v>2.4290228330403743</v>
      </c>
      <c r="D85" s="192">
        <f t="shared" ref="D85:W85" si="34">$B85/1000*D73*$C$44</f>
        <v>12.33218866516312</v>
      </c>
      <c r="E85" s="192">
        <f t="shared" si="34"/>
        <v>22.531924304888616</v>
      </c>
      <c r="F85" s="192">
        <f t="shared" si="34"/>
        <v>33.024927683050869</v>
      </c>
      <c r="G85" s="192">
        <f t="shared" si="34"/>
        <v>43.808846619495363</v>
      </c>
      <c r="H85" s="192">
        <f t="shared" si="34"/>
        <v>52.268738883569988</v>
      </c>
      <c r="I85" s="192">
        <f t="shared" si="34"/>
        <v>52.983565344269977</v>
      </c>
      <c r="J85" s="192">
        <f t="shared" si="34"/>
        <v>53.69369677253998</v>
      </c>
      <c r="K85" s="192">
        <f t="shared" si="34"/>
        <v>54.400019316884979</v>
      </c>
      <c r="L85" s="192">
        <f t="shared" si="34"/>
        <v>55.099586922187477</v>
      </c>
      <c r="M85" s="192">
        <f t="shared" si="34"/>
        <v>55.795672119329978</v>
      </c>
      <c r="N85" s="192">
        <f t="shared" si="34"/>
        <v>56.483929671344981</v>
      </c>
      <c r="O85" s="192">
        <f t="shared" si="34"/>
        <v>57.160403002889979</v>
      </c>
      <c r="P85" s="192">
        <f t="shared" si="34"/>
        <v>57.822278203799975</v>
      </c>
      <c r="Q85" s="192">
        <f t="shared" si="34"/>
        <v>58.472952176677488</v>
      </c>
      <c r="R85" s="192">
        <f t="shared" si="34"/>
        <v>59.11779622517998</v>
      </c>
      <c r="S85" s="192">
        <f t="shared" si="34"/>
        <v>59.769751661621846</v>
      </c>
      <c r="T85" s="192">
        <f t="shared" si="34"/>
        <v>60.428896910916158</v>
      </c>
      <c r="U85" s="192">
        <f t="shared" si="34"/>
        <v>61.095311262851652</v>
      </c>
      <c r="V85" s="192">
        <f t="shared" si="34"/>
        <v>61.769074881630786</v>
      </c>
      <c r="W85" s="192">
        <f t="shared" si="34"/>
        <v>62.450268815512793</v>
      </c>
    </row>
    <row r="86" spans="1:23">
      <c r="A86" s="87"/>
      <c r="B86" s="87"/>
      <c r="C86" s="109"/>
      <c r="D86" s="109"/>
      <c r="E86" s="109"/>
      <c r="F86" s="109"/>
      <c r="G86" s="109"/>
      <c r="H86" s="109"/>
      <c r="I86" s="109"/>
      <c r="J86" s="109"/>
      <c r="K86" s="109"/>
      <c r="L86" s="109"/>
      <c r="M86" s="109"/>
      <c r="N86" s="109"/>
      <c r="O86" s="109"/>
      <c r="P86" s="109"/>
      <c r="Q86" s="109"/>
      <c r="R86" s="109"/>
      <c r="S86" s="109"/>
      <c r="T86" s="109"/>
      <c r="U86" s="109"/>
      <c r="V86" s="109"/>
      <c r="W86" s="109"/>
    </row>
    <row r="87" spans="1:23">
      <c r="A87" s="110" t="s">
        <v>269</v>
      </c>
      <c r="B87" s="111"/>
      <c r="C87" s="112">
        <f>SUM(C82:C85)</f>
        <v>34.709457851076934</v>
      </c>
      <c r="D87" s="112">
        <f t="shared" ref="D87:W87" si="35">SUM(D82:D85)</f>
        <v>192.6093150730083</v>
      </c>
      <c r="E87" s="112">
        <f t="shared" si="35"/>
        <v>381.85682243021773</v>
      </c>
      <c r="F87" s="112">
        <f t="shared" si="35"/>
        <v>603.57400725996933</v>
      </c>
      <c r="G87" s="112">
        <f t="shared" si="35"/>
        <v>858.88396661905426</v>
      </c>
      <c r="H87" s="112">
        <f t="shared" si="35"/>
        <v>1024.7423807436749</v>
      </c>
      <c r="I87" s="112">
        <f t="shared" si="35"/>
        <v>1038.7567416179247</v>
      </c>
      <c r="J87" s="112">
        <f t="shared" si="35"/>
        <v>1052.6790551458498</v>
      </c>
      <c r="K87" s="112">
        <f t="shared" si="35"/>
        <v>1066.5266945020874</v>
      </c>
      <c r="L87" s="112">
        <f t="shared" si="35"/>
        <v>1080.2419015007811</v>
      </c>
      <c r="M87" s="112">
        <f t="shared" si="35"/>
        <v>1093.8888349710749</v>
      </c>
      <c r="N87" s="112">
        <f t="shared" si="35"/>
        <v>1107.3823053987376</v>
      </c>
      <c r="O87" s="112">
        <f t="shared" si="35"/>
        <v>1120.6447430829751</v>
      </c>
      <c r="P87" s="112">
        <f t="shared" si="35"/>
        <v>1133.6209805745</v>
      </c>
      <c r="Q87" s="112">
        <f t="shared" si="35"/>
        <v>1146.3776150427559</v>
      </c>
      <c r="R87" s="112">
        <f t="shared" si="35"/>
        <v>1159.0199523094498</v>
      </c>
      <c r="S87" s="112">
        <f t="shared" si="35"/>
        <v>1171.801710208113</v>
      </c>
      <c r="T87" s="112">
        <f t="shared" si="35"/>
        <v>1184.724426279804</v>
      </c>
      <c r="U87" s="112">
        <f t="shared" si="35"/>
        <v>1197.7896550216974</v>
      </c>
      <c r="V87" s="112">
        <f t="shared" si="35"/>
        <v>1210.9989680740778</v>
      </c>
      <c r="W87" s="112">
        <f t="shared" si="35"/>
        <v>1224.3539544093958</v>
      </c>
    </row>
    <row r="88" spans="1:23">
      <c r="A88" s="113"/>
      <c r="B88" s="113"/>
      <c r="C88" s="114"/>
      <c r="D88" s="114"/>
      <c r="E88" s="115"/>
      <c r="F88" s="115"/>
      <c r="G88" s="115"/>
      <c r="H88" s="115"/>
      <c r="I88" s="115"/>
      <c r="J88" s="115"/>
      <c r="K88" s="115"/>
      <c r="L88" s="115"/>
      <c r="M88" s="115"/>
      <c r="N88" s="115"/>
      <c r="O88" s="115"/>
      <c r="P88" s="115"/>
      <c r="Q88" s="115"/>
      <c r="R88" s="115"/>
      <c r="S88" s="115"/>
      <c r="T88" s="115"/>
      <c r="U88" s="115"/>
      <c r="V88" s="115"/>
      <c r="W88" s="115"/>
    </row>
    <row r="89" spans="1:23">
      <c r="A89" s="77" t="s">
        <v>277</v>
      </c>
      <c r="B89" s="113"/>
      <c r="C89" s="100"/>
      <c r="D89" s="125"/>
      <c r="E89" s="124"/>
      <c r="F89" s="124"/>
      <c r="G89" s="124"/>
      <c r="H89" s="124"/>
      <c r="I89" s="124"/>
      <c r="J89" s="124"/>
      <c r="K89" s="124"/>
      <c r="L89" s="124"/>
      <c r="M89" s="124"/>
      <c r="N89" s="124"/>
      <c r="O89" s="124"/>
      <c r="P89" s="124"/>
      <c r="Q89" s="124"/>
      <c r="R89" s="124"/>
      <c r="S89" s="124"/>
      <c r="T89" s="124"/>
      <c r="U89" s="124"/>
      <c r="V89" s="124"/>
      <c r="W89" s="124"/>
    </row>
    <row r="90" spans="1:23">
      <c r="A90" s="116"/>
      <c r="B90" s="113"/>
      <c r="C90" s="100"/>
      <c r="D90" s="124"/>
      <c r="E90" s="124"/>
      <c r="F90" s="124"/>
      <c r="G90" s="124"/>
      <c r="H90" s="124"/>
      <c r="I90" s="124"/>
      <c r="J90" s="124"/>
      <c r="K90" s="124"/>
      <c r="L90" s="124"/>
      <c r="M90" s="124"/>
      <c r="N90" s="124"/>
      <c r="O90" s="124"/>
      <c r="P90" s="124"/>
      <c r="Q90" s="124"/>
      <c r="R90" s="124"/>
      <c r="S90" s="124"/>
      <c r="T90" s="124"/>
      <c r="U90" s="124"/>
      <c r="V90" s="124"/>
      <c r="W90" s="124"/>
    </row>
    <row r="91" spans="1:23" ht="17.100000000000001" customHeight="1">
      <c r="A91" s="500" t="s">
        <v>214</v>
      </c>
      <c r="B91" s="502" t="s">
        <v>308</v>
      </c>
      <c r="C91" s="504" t="s">
        <v>222</v>
      </c>
      <c r="D91" s="504"/>
      <c r="E91" s="504"/>
      <c r="F91" s="504"/>
      <c r="G91" s="504"/>
      <c r="H91" s="504"/>
      <c r="I91" s="504"/>
      <c r="J91" s="504"/>
      <c r="K91" s="504"/>
      <c r="L91" s="504"/>
      <c r="M91" s="504"/>
      <c r="N91" s="504"/>
      <c r="O91" s="504"/>
      <c r="P91" s="504"/>
      <c r="Q91" s="504"/>
      <c r="R91" s="504"/>
      <c r="S91" s="504"/>
      <c r="T91" s="504"/>
      <c r="U91" s="504"/>
      <c r="V91" s="504"/>
      <c r="W91" s="504"/>
    </row>
    <row r="92" spans="1:23" ht="17.399999999999999" customHeight="1">
      <c r="A92" s="501"/>
      <c r="B92" s="503"/>
      <c r="C92" s="187">
        <v>2015</v>
      </c>
      <c r="D92" s="187">
        <v>2016</v>
      </c>
      <c r="E92" s="187">
        <v>2017</v>
      </c>
      <c r="F92" s="187">
        <v>2018</v>
      </c>
      <c r="G92" s="187">
        <v>2019</v>
      </c>
      <c r="H92" s="187">
        <v>2020</v>
      </c>
      <c r="I92" s="187">
        <v>2021</v>
      </c>
      <c r="J92" s="187">
        <v>2022</v>
      </c>
      <c r="K92" s="187">
        <v>2023</v>
      </c>
      <c r="L92" s="187">
        <v>2024</v>
      </c>
      <c r="M92" s="187">
        <v>2025</v>
      </c>
      <c r="N92" s="187">
        <v>2026</v>
      </c>
      <c r="O92" s="187">
        <v>2027</v>
      </c>
      <c r="P92" s="187">
        <v>2028</v>
      </c>
      <c r="Q92" s="187">
        <v>2029</v>
      </c>
      <c r="R92" s="187">
        <v>2030</v>
      </c>
      <c r="S92" s="187">
        <v>2031</v>
      </c>
      <c r="T92" s="187">
        <v>2032</v>
      </c>
      <c r="U92" s="187">
        <v>2033</v>
      </c>
      <c r="V92" s="187">
        <v>2034</v>
      </c>
      <c r="W92" s="187">
        <v>2035</v>
      </c>
    </row>
    <row r="93" spans="1:23" ht="17.399999999999999" customHeight="1">
      <c r="A93" s="126"/>
      <c r="B93" s="127"/>
      <c r="C93" s="78"/>
      <c r="D93" s="84"/>
      <c r="E93" s="84"/>
      <c r="F93" s="84"/>
      <c r="G93" s="84"/>
      <c r="H93" s="84"/>
      <c r="I93" s="84"/>
      <c r="J93" s="84"/>
      <c r="K93" s="84"/>
      <c r="L93" s="84"/>
      <c r="M93" s="84"/>
      <c r="N93" s="84"/>
      <c r="O93" s="84"/>
      <c r="P93" s="84"/>
      <c r="Q93" s="84"/>
      <c r="R93" s="84"/>
      <c r="S93" s="84"/>
      <c r="T93" s="84"/>
      <c r="U93" s="84"/>
      <c r="V93" s="84"/>
      <c r="W93" s="84"/>
    </row>
    <row r="94" spans="1:23" ht="17.399999999999999" customHeight="1">
      <c r="A94" s="87" t="str">
        <f>+A58</f>
        <v>a. Space Cooling - CAC PCT</v>
      </c>
      <c r="B94" s="139">
        <f>SUM(KeyAssumptions!P6:R6)</f>
        <v>308.94</v>
      </c>
      <c r="C94" s="119">
        <f t="shared" ref="C94:W94" si="36">MAX(0,($B$94*C58))</f>
        <v>4181357.8169488129</v>
      </c>
      <c r="D94" s="119">
        <f t="shared" si="36"/>
        <v>23351704.253716782</v>
      </c>
      <c r="E94" s="119">
        <f t="shared" si="36"/>
        <v>46544167.411659218</v>
      </c>
      <c r="F94" s="119">
        <f t="shared" si="36"/>
        <v>73904513.756054208</v>
      </c>
      <c r="G94" s="119">
        <f t="shared" si="36"/>
        <v>105578525.27409784</v>
      </c>
      <c r="H94" s="119">
        <f t="shared" si="36"/>
        <v>125966712.09345298</v>
      </c>
      <c r="I94" s="119">
        <f t="shared" si="36"/>
        <v>127689430.89048298</v>
      </c>
      <c r="J94" s="119">
        <f t="shared" si="36"/>
        <v>129400834.74456596</v>
      </c>
      <c r="K94" s="119">
        <f t="shared" si="36"/>
        <v>131103059.2575165</v>
      </c>
      <c r="L94" s="119">
        <f t="shared" si="36"/>
        <v>132789004.48996875</v>
      </c>
      <c r="M94" s="119">
        <f t="shared" si="36"/>
        <v>134466557.18195701</v>
      </c>
      <c r="N94" s="119">
        <f t="shared" si="36"/>
        <v>136125245.39125046</v>
      </c>
      <c r="O94" s="119">
        <f t="shared" si="36"/>
        <v>137755533.843081</v>
      </c>
      <c r="P94" s="119">
        <f t="shared" si="36"/>
        <v>139350641.06501997</v>
      </c>
      <c r="Q94" s="119">
        <f t="shared" si="36"/>
        <v>140918753.53068972</v>
      </c>
      <c r="R94" s="119">
        <f t="shared" si="36"/>
        <v>142472815.98442197</v>
      </c>
      <c r="S94" s="119">
        <f t="shared" si="36"/>
        <v>144044016.75402483</v>
      </c>
      <c r="T94" s="119">
        <f t="shared" si="36"/>
        <v>145632544.8421154</v>
      </c>
      <c r="U94" s="119">
        <f t="shared" si="36"/>
        <v>147238591.33564559</v>
      </c>
      <c r="V94" s="119">
        <f t="shared" si="36"/>
        <v>148862349.42888847</v>
      </c>
      <c r="W94" s="119">
        <f t="shared" si="36"/>
        <v>150504014.44667777</v>
      </c>
    </row>
    <row r="95" spans="1:23">
      <c r="A95" s="87" t="str">
        <f>+A59</f>
        <v>b. Space Cooling - RAC PCT</v>
      </c>
      <c r="B95" s="139">
        <f>SUM(KeyAssumptions!P7:R7)</f>
        <v>139.023</v>
      </c>
      <c r="C95" s="119">
        <f t="shared" ref="C95:W95" si="37">MAX(0,($B$95*C59))</f>
        <v>1881611.0176269657</v>
      </c>
      <c r="D95" s="119">
        <f t="shared" si="37"/>
        <v>8626655.8965455852</v>
      </c>
      <c r="E95" s="119">
        <f t="shared" si="37"/>
        <v>10436608.421074096</v>
      </c>
      <c r="F95" s="119">
        <f t="shared" si="37"/>
        <v>12312155.854977747</v>
      </c>
      <c r="G95" s="119">
        <f t="shared" si="37"/>
        <v>14253305.183119634</v>
      </c>
      <c r="H95" s="119">
        <f t="shared" si="37"/>
        <v>9174684.0687098075</v>
      </c>
      <c r="I95" s="119">
        <f t="shared" si="37"/>
        <v>775223.45866350154</v>
      </c>
      <c r="J95" s="119">
        <f t="shared" si="37"/>
        <v>770131.73433734721</v>
      </c>
      <c r="K95" s="119">
        <f t="shared" si="37"/>
        <v>766001.030827738</v>
      </c>
      <c r="L95" s="119">
        <f t="shared" si="37"/>
        <v>758675.35460351198</v>
      </c>
      <c r="M95" s="119">
        <f t="shared" si="37"/>
        <v>754898.71139471093</v>
      </c>
      <c r="N95" s="119">
        <f t="shared" si="37"/>
        <v>746409.69418206788</v>
      </c>
      <c r="O95" s="119">
        <f t="shared" si="37"/>
        <v>733629.80332373013</v>
      </c>
      <c r="P95" s="119">
        <f t="shared" si="37"/>
        <v>717798.24987254653</v>
      </c>
      <c r="Q95" s="119">
        <f t="shared" si="37"/>
        <v>705650.60955138528</v>
      </c>
      <c r="R95" s="119">
        <f t="shared" si="37"/>
        <v>699328.10417951515</v>
      </c>
      <c r="S95" s="119">
        <f t="shared" si="37"/>
        <v>707040.34632128803</v>
      </c>
      <c r="T95" s="119">
        <f t="shared" si="37"/>
        <v>714837.63964074862</v>
      </c>
      <c r="U95" s="119">
        <f t="shared" si="37"/>
        <v>722720.92208859161</v>
      </c>
      <c r="V95" s="119">
        <f t="shared" si="37"/>
        <v>730691.1419592984</v>
      </c>
      <c r="W95" s="119">
        <f t="shared" si="37"/>
        <v>738749.25800518005</v>
      </c>
    </row>
    <row r="96" spans="1:23">
      <c r="A96" s="169" t="str">
        <f>A60</f>
        <v>c. Space Heating - PCT</v>
      </c>
      <c r="B96" s="139">
        <f>SUM(KeyAssumptions!P4:R4)</f>
        <v>895.92600000000004</v>
      </c>
      <c r="C96" s="119">
        <f t="shared" ref="C96:W96" si="38">MAX(0,($B$96*C60))</f>
        <v>11433026.945200041</v>
      </c>
      <c r="D96" s="119">
        <f t="shared" si="38"/>
        <v>52417204.399962723</v>
      </c>
      <c r="E96" s="119">
        <f t="shared" si="38"/>
        <v>63414820.691859759</v>
      </c>
      <c r="F96" s="119">
        <f t="shared" si="38"/>
        <v>74811004.147388637</v>
      </c>
      <c r="G96" s="119">
        <f t="shared" si="38"/>
        <v>86605797.20790787</v>
      </c>
      <c r="H96" s="119">
        <f t="shared" si="38"/>
        <v>55747127.960351072</v>
      </c>
      <c r="I96" s="119">
        <f t="shared" si="38"/>
        <v>4710405.3964505382</v>
      </c>
      <c r="J96" s="119">
        <f t="shared" si="38"/>
        <v>4679467.1095926519</v>
      </c>
      <c r="K96" s="119">
        <f t="shared" si="38"/>
        <v>4654368.168267549</v>
      </c>
      <c r="L96" s="119">
        <f t="shared" si="38"/>
        <v>4609855.9641623041</v>
      </c>
      <c r="M96" s="119">
        <f t="shared" si="38"/>
        <v>4586908.3606649805</v>
      </c>
      <c r="N96" s="119">
        <f t="shared" si="38"/>
        <v>4535327.4751254236</v>
      </c>
      <c r="O96" s="119">
        <f t="shared" si="38"/>
        <v>4457674.4240051173</v>
      </c>
      <c r="P96" s="119">
        <f t="shared" si="38"/>
        <v>4361478.8897017855</v>
      </c>
      <c r="Q96" s="119">
        <f t="shared" si="38"/>
        <v>4287667.5132741481</v>
      </c>
      <c r="R96" s="119">
        <f t="shared" si="38"/>
        <v>4249250.7663478814</v>
      </c>
      <c r="S96" s="119">
        <f t="shared" si="38"/>
        <v>4296111.8185997577</v>
      </c>
      <c r="T96" s="119">
        <f t="shared" si="38"/>
        <v>4343489.6580076721</v>
      </c>
      <c r="U96" s="119">
        <f t="shared" si="38"/>
        <v>4391389.9837382939</v>
      </c>
      <c r="V96" s="119">
        <f t="shared" si="38"/>
        <v>4439818.5578098046</v>
      </c>
      <c r="W96" s="119">
        <f t="shared" si="38"/>
        <v>4488781.2057838729</v>
      </c>
    </row>
    <row r="97" spans="1:23">
      <c r="A97" s="87" t="str">
        <f>+A61</f>
        <v>d. Water Heating - WH Controls</v>
      </c>
      <c r="B97" s="139">
        <f>SUM(KeyAssumptions!P5:R5)</f>
        <v>298.64199999999994</v>
      </c>
      <c r="C97" s="119">
        <f t="shared" ref="C97:W97" si="39">MAX(0,($B$97*C61))</f>
        <v>1316530.3755078826</v>
      </c>
      <c r="D97" s="119">
        <f t="shared" si="39"/>
        <v>5367515.8810105277</v>
      </c>
      <c r="E97" s="119">
        <f t="shared" si="39"/>
        <v>5528256.7167312186</v>
      </c>
      <c r="F97" s="119">
        <f t="shared" si="39"/>
        <v>5687207.8309639357</v>
      </c>
      <c r="G97" s="119">
        <f t="shared" si="39"/>
        <v>5844884.0635529198</v>
      </c>
      <c r="H97" s="119">
        <f t="shared" si="39"/>
        <v>4585261.6071284432</v>
      </c>
      <c r="I97" s="119">
        <f t="shared" si="39"/>
        <v>387435.94169939595</v>
      </c>
      <c r="J97" s="119">
        <f t="shared" si="39"/>
        <v>384891.23412234068</v>
      </c>
      <c r="K97" s="119">
        <f t="shared" si="39"/>
        <v>382826.81903498643</v>
      </c>
      <c r="L97" s="119">
        <f t="shared" si="39"/>
        <v>379165.64207395649</v>
      </c>
      <c r="M97" s="119">
        <f t="shared" si="39"/>
        <v>377278.17685123562</v>
      </c>
      <c r="N97" s="119">
        <f t="shared" si="39"/>
        <v>373035.59319212841</v>
      </c>
      <c r="O97" s="119">
        <f t="shared" si="39"/>
        <v>366648.54569739068</v>
      </c>
      <c r="P97" s="119">
        <f t="shared" si="39"/>
        <v>358736.35889321967</v>
      </c>
      <c r="Q97" s="119">
        <f t="shared" si="39"/>
        <v>352665.29329961137</v>
      </c>
      <c r="R97" s="119">
        <f t="shared" si="39"/>
        <v>349505.47428834764</v>
      </c>
      <c r="S97" s="119">
        <f t="shared" si="39"/>
        <v>353359.84655149694</v>
      </c>
      <c r="T97" s="119">
        <f t="shared" si="39"/>
        <v>357256.72511751339</v>
      </c>
      <c r="U97" s="119">
        <f t="shared" si="39"/>
        <v>361196.57874903572</v>
      </c>
      <c r="V97" s="119">
        <f t="shared" si="39"/>
        <v>365179.88137829525</v>
      </c>
      <c r="W97" s="119">
        <f t="shared" si="39"/>
        <v>369207.11216404574</v>
      </c>
    </row>
    <row r="98" spans="1:23">
      <c r="A98" s="87"/>
      <c r="B98" s="113"/>
      <c r="C98" s="120"/>
      <c r="D98" s="120"/>
      <c r="E98" s="120"/>
      <c r="F98" s="120"/>
      <c r="G98" s="120"/>
      <c r="H98" s="120"/>
      <c r="I98" s="120"/>
      <c r="J98" s="120"/>
      <c r="K98" s="120"/>
      <c r="L98" s="120"/>
      <c r="M98" s="120"/>
      <c r="N98" s="120"/>
      <c r="O98" s="120"/>
      <c r="P98" s="120"/>
      <c r="Q98" s="120"/>
      <c r="R98" s="120"/>
      <c r="S98" s="120"/>
      <c r="T98" s="120"/>
      <c r="U98" s="120"/>
      <c r="V98" s="120"/>
      <c r="W98" s="120"/>
    </row>
    <row r="99" spans="1:23">
      <c r="A99" s="129" t="s">
        <v>280</v>
      </c>
      <c r="B99" s="110"/>
      <c r="C99" s="122">
        <f t="shared" ref="C99:W99" si="40">SUM(C94:C97)</f>
        <v>18812526.155283704</v>
      </c>
      <c r="D99" s="122">
        <f t="shared" si="40"/>
        <v>89763080.431235626</v>
      </c>
      <c r="E99" s="122">
        <f t="shared" si="40"/>
        <v>125923853.24132431</v>
      </c>
      <c r="F99" s="122">
        <f t="shared" si="40"/>
        <v>166714881.58938453</v>
      </c>
      <c r="G99" s="122">
        <f t="shared" si="40"/>
        <v>212282511.72867829</v>
      </c>
      <c r="H99" s="122">
        <f t="shared" si="40"/>
        <v>195473785.7296423</v>
      </c>
      <c r="I99" s="122">
        <f t="shared" si="40"/>
        <v>133562495.68729642</v>
      </c>
      <c r="J99" s="122">
        <f t="shared" si="40"/>
        <v>135235324.82261831</v>
      </c>
      <c r="K99" s="122">
        <f t="shared" si="40"/>
        <v>136906255.27564678</v>
      </c>
      <c r="L99" s="122">
        <f t="shared" si="40"/>
        <v>138536701.45080853</v>
      </c>
      <c r="M99" s="122">
        <f t="shared" si="40"/>
        <v>140185642.43086794</v>
      </c>
      <c r="N99" s="122">
        <f t="shared" si="40"/>
        <v>141780018.15375009</v>
      </c>
      <c r="O99" s="122">
        <f t="shared" si="40"/>
        <v>143313486.61610723</v>
      </c>
      <c r="P99" s="122">
        <f t="shared" si="40"/>
        <v>144788654.5634875</v>
      </c>
      <c r="Q99" s="122">
        <f t="shared" si="40"/>
        <v>146264736.94681489</v>
      </c>
      <c r="R99" s="122">
        <f t="shared" si="40"/>
        <v>147770900.3292377</v>
      </c>
      <c r="S99" s="122">
        <f t="shared" si="40"/>
        <v>149400528.76549739</v>
      </c>
      <c r="T99" s="122">
        <f t="shared" si="40"/>
        <v>151048128.86488134</v>
      </c>
      <c r="U99" s="122">
        <f t="shared" si="40"/>
        <v>152713898.82022151</v>
      </c>
      <c r="V99" s="122">
        <f t="shared" si="40"/>
        <v>154398039.01003587</v>
      </c>
      <c r="W99" s="122">
        <f t="shared" si="40"/>
        <v>156100752.02263087</v>
      </c>
    </row>
    <row r="100" spans="1:23">
      <c r="A100" s="113"/>
      <c r="B100" s="113"/>
      <c r="C100" s="124"/>
      <c r="D100" s="124"/>
      <c r="E100" s="124"/>
      <c r="F100" s="124"/>
      <c r="G100" s="124"/>
      <c r="H100" s="124"/>
      <c r="I100" s="124"/>
      <c r="J100" s="124"/>
      <c r="K100" s="124"/>
      <c r="L100" s="124"/>
      <c r="M100" s="124"/>
      <c r="N100" s="124"/>
      <c r="O100" s="124"/>
      <c r="P100" s="124"/>
      <c r="Q100" s="124"/>
      <c r="R100" s="124"/>
      <c r="S100" s="124"/>
      <c r="T100" s="124"/>
      <c r="U100" s="124"/>
      <c r="V100" s="124"/>
      <c r="W100" s="124"/>
    </row>
    <row r="101" spans="1:23">
      <c r="A101" s="98" t="s">
        <v>278</v>
      </c>
      <c r="B101" s="98"/>
      <c r="C101" s="114"/>
      <c r="D101" s="130"/>
      <c r="E101" s="131"/>
      <c r="F101" s="132"/>
      <c r="G101" s="123"/>
      <c r="H101" s="133"/>
      <c r="I101" s="123"/>
      <c r="J101" s="78"/>
      <c r="L101" s="78"/>
    </row>
    <row r="102" spans="1:23">
      <c r="A102" s="113"/>
      <c r="B102" s="113"/>
      <c r="C102" s="114"/>
      <c r="D102" s="130"/>
      <c r="E102" s="131"/>
      <c r="F102" s="132"/>
      <c r="G102" s="123"/>
      <c r="H102" s="133"/>
      <c r="I102" s="123"/>
      <c r="J102" s="78"/>
      <c r="L102" s="78"/>
    </row>
    <row r="103" spans="1:23">
      <c r="A103" s="518" t="s">
        <v>214</v>
      </c>
      <c r="B103" s="497" t="s">
        <v>356</v>
      </c>
      <c r="C103" s="505" t="s">
        <v>223</v>
      </c>
      <c r="D103" s="505"/>
      <c r="E103" s="505"/>
      <c r="F103" s="505"/>
      <c r="G103" s="505"/>
      <c r="H103" s="505"/>
      <c r="I103" s="505"/>
      <c r="J103" s="505"/>
      <c r="K103" s="505"/>
      <c r="L103" s="505"/>
      <c r="M103" s="505"/>
      <c r="N103" s="505"/>
      <c r="O103" s="505"/>
      <c r="P103" s="505"/>
      <c r="Q103" s="505"/>
      <c r="R103" s="505"/>
      <c r="S103" s="505"/>
      <c r="T103" s="505"/>
      <c r="U103" s="505"/>
      <c r="V103" s="505"/>
      <c r="W103" s="505"/>
    </row>
    <row r="104" spans="1:23">
      <c r="A104" s="519"/>
      <c r="B104" s="497"/>
      <c r="C104" s="187">
        <v>2015</v>
      </c>
      <c r="D104" s="187">
        <v>2016</v>
      </c>
      <c r="E104" s="187">
        <v>2017</v>
      </c>
      <c r="F104" s="187">
        <v>2018</v>
      </c>
      <c r="G104" s="187">
        <v>2019</v>
      </c>
      <c r="H104" s="187">
        <v>2020</v>
      </c>
      <c r="I104" s="187">
        <v>2021</v>
      </c>
      <c r="J104" s="187">
        <v>2022</v>
      </c>
      <c r="K104" s="187">
        <v>2023</v>
      </c>
      <c r="L104" s="187">
        <v>2024</v>
      </c>
      <c r="M104" s="187">
        <v>2025</v>
      </c>
      <c r="N104" s="187">
        <v>2026</v>
      </c>
      <c r="O104" s="187">
        <v>2027</v>
      </c>
      <c r="P104" s="187">
        <v>2028</v>
      </c>
      <c r="Q104" s="187">
        <v>2029</v>
      </c>
      <c r="R104" s="187">
        <v>2030</v>
      </c>
      <c r="S104" s="187">
        <v>2031</v>
      </c>
      <c r="T104" s="187">
        <v>2032</v>
      </c>
      <c r="U104" s="187">
        <v>2033</v>
      </c>
      <c r="V104" s="187">
        <v>2034</v>
      </c>
      <c r="W104" s="187">
        <v>2035</v>
      </c>
    </row>
    <row r="105" spans="1:23">
      <c r="A105" s="134"/>
      <c r="B105" s="135"/>
      <c r="C105" s="135"/>
      <c r="D105" s="136"/>
      <c r="E105" s="136"/>
      <c r="F105" s="136"/>
      <c r="G105" s="136"/>
      <c r="H105" s="136"/>
      <c r="I105" s="136"/>
      <c r="J105" s="136"/>
      <c r="K105" s="136"/>
      <c r="L105" s="136"/>
      <c r="M105" s="136"/>
      <c r="N105" s="136"/>
      <c r="O105" s="136"/>
      <c r="P105" s="136"/>
      <c r="Q105" s="136"/>
      <c r="R105" s="136"/>
      <c r="S105" s="136"/>
      <c r="T105" s="136"/>
      <c r="U105" s="136"/>
      <c r="V105" s="136"/>
      <c r="W105" s="136"/>
    </row>
    <row r="106" spans="1:23">
      <c r="A106" s="138" t="str">
        <f>A58</f>
        <v>a. Space Cooling - CAC PCT</v>
      </c>
      <c r="B106" s="139">
        <f>KeyAssumptions!$S$6</f>
        <v>25</v>
      </c>
      <c r="C106" s="140">
        <f>$B$107*C82*1000</f>
        <v>192867.05797734373</v>
      </c>
      <c r="D106" s="140">
        <f t="shared" ref="D106:W109" si="41">$B$107*D82*1000</f>
        <v>1077108.1297839843</v>
      </c>
      <c r="E106" s="140">
        <f t="shared" si="41"/>
        <v>2146871.190574687</v>
      </c>
      <c r="F106" s="140">
        <f t="shared" si="41"/>
        <v>3408879.7857958581</v>
      </c>
      <c r="G106" s="140">
        <f t="shared" si="41"/>
        <v>4869858.1768495301</v>
      </c>
      <c r="H106" s="140">
        <f t="shared" si="41"/>
        <v>5810272.6980374986</v>
      </c>
      <c r="I106" s="140">
        <f t="shared" si="41"/>
        <v>5889733.897162498</v>
      </c>
      <c r="J106" s="140">
        <f t="shared" si="41"/>
        <v>5968673.1893249983</v>
      </c>
      <c r="K106" s="140">
        <f t="shared" si="41"/>
        <v>6047189.0801437488</v>
      </c>
      <c r="L106" s="140">
        <f t="shared" si="41"/>
        <v>6124954.0816406244</v>
      </c>
      <c r="M106" s="140">
        <f t="shared" si="41"/>
        <v>6202331.9733374985</v>
      </c>
      <c r="N106" s="140">
        <f t="shared" si="41"/>
        <v>6278839.7320687482</v>
      </c>
      <c r="O106" s="140">
        <f t="shared" si="41"/>
        <v>6354037.538887498</v>
      </c>
      <c r="P106" s="140">
        <f t="shared" si="41"/>
        <v>6427612.5952499993</v>
      </c>
      <c r="Q106" s="140">
        <f t="shared" si="41"/>
        <v>6499942.5060281232</v>
      </c>
      <c r="R106" s="140">
        <f t="shared" si="41"/>
        <v>6571624.3535249988</v>
      </c>
      <c r="S106" s="140">
        <f t="shared" si="41"/>
        <v>6644096.7137465328</v>
      </c>
      <c r="T106" s="140">
        <f t="shared" si="41"/>
        <v>6717368.3045256166</v>
      </c>
      <c r="U106" s="140">
        <f t="shared" si="41"/>
        <v>6791447.9398360513</v>
      </c>
      <c r="V106" s="140">
        <f t="shared" si="41"/>
        <v>6866344.5308527881</v>
      </c>
      <c r="W106" s="140">
        <f t="shared" si="41"/>
        <v>6942067.0870238813</v>
      </c>
    </row>
    <row r="107" spans="1:23">
      <c r="A107" s="138" t="str">
        <f t="shared" ref="A107:A109" si="42">A59</f>
        <v>b. Space Cooling - RAC PCT</v>
      </c>
      <c r="B107" s="139">
        <f>KeyAssumptions!$S$7</f>
        <v>25</v>
      </c>
      <c r="C107" s="140">
        <f t="shared" ref="C107:R109" si="43">$B$107*C83*1000</f>
        <v>86790.176089804692</v>
      </c>
      <c r="D107" s="140">
        <f t="shared" si="43"/>
        <v>484698.65840279293</v>
      </c>
      <c r="E107" s="140">
        <f t="shared" si="43"/>
        <v>966092.0357586093</v>
      </c>
      <c r="F107" s="140">
        <f t="shared" si="43"/>
        <v>1533995.9036081361</v>
      </c>
      <c r="G107" s="140">
        <f t="shared" si="43"/>
        <v>2191436.1795822894</v>
      </c>
      <c r="H107" s="140">
        <f t="shared" si="43"/>
        <v>2614622.7141168742</v>
      </c>
      <c r="I107" s="140">
        <f t="shared" si="43"/>
        <v>2650380.2537231245</v>
      </c>
      <c r="J107" s="140">
        <f t="shared" si="43"/>
        <v>2685902.9351962488</v>
      </c>
      <c r="K107" s="140">
        <f t="shared" si="43"/>
        <v>2721235.0860646875</v>
      </c>
      <c r="L107" s="140">
        <f t="shared" si="43"/>
        <v>2756229.3367382814</v>
      </c>
      <c r="M107" s="140">
        <f t="shared" si="43"/>
        <v>2791049.388001875</v>
      </c>
      <c r="N107" s="140">
        <f t="shared" si="43"/>
        <v>2825477.8794309366</v>
      </c>
      <c r="O107" s="140">
        <f t="shared" si="43"/>
        <v>2859316.8924993747</v>
      </c>
      <c r="P107" s="140">
        <f t="shared" si="43"/>
        <v>2892425.6678624996</v>
      </c>
      <c r="Q107" s="140">
        <f t="shared" si="43"/>
        <v>2924974.1277126553</v>
      </c>
      <c r="R107" s="140">
        <f t="shared" si="43"/>
        <v>2957230.9590862496</v>
      </c>
      <c r="S107" s="140">
        <f t="shared" si="41"/>
        <v>2989843.5211859401</v>
      </c>
      <c r="T107" s="140">
        <f t="shared" si="41"/>
        <v>3022815.7370365281</v>
      </c>
      <c r="U107" s="140">
        <f t="shared" si="41"/>
        <v>3056151.5729262228</v>
      </c>
      <c r="V107" s="140">
        <f t="shared" si="41"/>
        <v>3089855.0388837559</v>
      </c>
      <c r="W107" s="140">
        <f t="shared" si="41"/>
        <v>3123930.189160747</v>
      </c>
    </row>
    <row r="108" spans="1:23">
      <c r="A108" s="138" t="str">
        <f t="shared" si="42"/>
        <v>c. Space Heating - PCT</v>
      </c>
      <c r="B108" s="139">
        <f>KeyAssumptions!$S$4</f>
        <v>25</v>
      </c>
      <c r="C108" s="140">
        <f t="shared" si="43"/>
        <v>527353.6413837655</v>
      </c>
      <c r="D108" s="140">
        <f t="shared" si="41"/>
        <v>2945121.3720093523</v>
      </c>
      <c r="E108" s="140">
        <f t="shared" si="41"/>
        <v>5870159.2267999314</v>
      </c>
      <c r="F108" s="140">
        <f t="shared" si="41"/>
        <v>9320851.3000189643</v>
      </c>
      <c r="G108" s="140">
        <f t="shared" si="41"/>
        <v>13315583.643557152</v>
      </c>
      <c r="H108" s="140">
        <f t="shared" si="41"/>
        <v>15886945.634348251</v>
      </c>
      <c r="I108" s="140">
        <f t="shared" si="41"/>
        <v>16104215.255955746</v>
      </c>
      <c r="J108" s="140">
        <f t="shared" si="41"/>
        <v>16320057.834811496</v>
      </c>
      <c r="K108" s="140">
        <f t="shared" si="41"/>
        <v>16534742.713421622</v>
      </c>
      <c r="L108" s="140">
        <f t="shared" si="41"/>
        <v>16747374.446085937</v>
      </c>
      <c r="M108" s="140">
        <f t="shared" si="41"/>
        <v>16958947.709954251</v>
      </c>
      <c r="N108" s="140">
        <f t="shared" si="41"/>
        <v>17168141.781685125</v>
      </c>
      <c r="O108" s="140">
        <f t="shared" si="41"/>
        <v>17373754.070615251</v>
      </c>
      <c r="P108" s="140">
        <f t="shared" si="41"/>
        <v>17574929.296154998</v>
      </c>
      <c r="Q108" s="140">
        <f t="shared" si="41"/>
        <v>17772699.937911186</v>
      </c>
      <c r="R108" s="140">
        <f t="shared" si="41"/>
        <v>17968698.589495499</v>
      </c>
      <c r="S108" s="140">
        <f t="shared" si="41"/>
        <v>18166858.728729807</v>
      </c>
      <c r="T108" s="140">
        <f t="shared" si="41"/>
        <v>18367204.192660049</v>
      </c>
      <c r="U108" s="140">
        <f t="shared" si="41"/>
        <v>18569759.081208866</v>
      </c>
      <c r="V108" s="140">
        <f t="shared" si="41"/>
        <v>18774547.760074627</v>
      </c>
      <c r="W108" s="140">
        <f t="shared" si="41"/>
        <v>18981594.863662444</v>
      </c>
    </row>
    <row r="109" spans="1:23">
      <c r="A109" s="138" t="str">
        <f t="shared" si="42"/>
        <v>d. Water Heating - WH Controls</v>
      </c>
      <c r="B109" s="139">
        <f>KeyAssumptions!$S$5</f>
        <v>25</v>
      </c>
      <c r="C109" s="140">
        <f t="shared" si="43"/>
        <v>60725.57082600936</v>
      </c>
      <c r="D109" s="140">
        <f t="shared" si="41"/>
        <v>308304.71662907797</v>
      </c>
      <c r="E109" s="140">
        <f t="shared" si="41"/>
        <v>563298.10762221541</v>
      </c>
      <c r="F109" s="140">
        <f t="shared" si="41"/>
        <v>825623.19207627175</v>
      </c>
      <c r="G109" s="140">
        <f t="shared" si="41"/>
        <v>1095221.165487384</v>
      </c>
      <c r="H109" s="140">
        <f t="shared" si="41"/>
        <v>1306718.4720892496</v>
      </c>
      <c r="I109" s="140">
        <f t="shared" si="41"/>
        <v>1324589.1336067494</v>
      </c>
      <c r="J109" s="140">
        <f t="shared" si="41"/>
        <v>1342342.4193134995</v>
      </c>
      <c r="K109" s="140">
        <f t="shared" si="41"/>
        <v>1360000.4829221244</v>
      </c>
      <c r="L109" s="140">
        <f t="shared" si="41"/>
        <v>1377489.6730546867</v>
      </c>
      <c r="M109" s="140">
        <f t="shared" si="41"/>
        <v>1394891.8029832493</v>
      </c>
      <c r="N109" s="140">
        <f t="shared" si="41"/>
        <v>1412098.2417836245</v>
      </c>
      <c r="O109" s="140">
        <f t="shared" si="41"/>
        <v>1429010.0750722494</v>
      </c>
      <c r="P109" s="140">
        <f t="shared" si="41"/>
        <v>1445556.9550949994</v>
      </c>
      <c r="Q109" s="140">
        <f t="shared" si="41"/>
        <v>1461823.8044169373</v>
      </c>
      <c r="R109" s="140">
        <f t="shared" si="41"/>
        <v>1477944.9056294996</v>
      </c>
      <c r="S109" s="140">
        <f t="shared" si="41"/>
        <v>1494243.7915405463</v>
      </c>
      <c r="T109" s="140">
        <f t="shared" si="41"/>
        <v>1510722.4227729039</v>
      </c>
      <c r="U109" s="140">
        <f t="shared" si="41"/>
        <v>1527382.7815712914</v>
      </c>
      <c r="V109" s="140">
        <f t="shared" si="41"/>
        <v>1544226.8720407696</v>
      </c>
      <c r="W109" s="140">
        <f t="shared" si="41"/>
        <v>1561256.7203878197</v>
      </c>
    </row>
    <row r="110" spans="1:23">
      <c r="A110" s="144"/>
      <c r="B110" s="145"/>
      <c r="C110" s="137"/>
      <c r="D110" s="137"/>
      <c r="E110" s="137"/>
      <c r="F110" s="137"/>
      <c r="G110" s="137"/>
      <c r="H110" s="137"/>
      <c r="I110" s="137"/>
      <c r="J110" s="137"/>
      <c r="K110" s="137"/>
      <c r="L110" s="137"/>
      <c r="M110" s="137"/>
      <c r="N110" s="137"/>
      <c r="O110" s="137"/>
      <c r="P110" s="137"/>
      <c r="Q110" s="137"/>
      <c r="R110" s="137"/>
      <c r="S110" s="137"/>
      <c r="T110" s="137"/>
      <c r="U110" s="137"/>
      <c r="V110" s="137"/>
      <c r="W110" s="137"/>
    </row>
    <row r="111" spans="1:23">
      <c r="A111" s="146" t="s">
        <v>224</v>
      </c>
      <c r="B111" s="147"/>
      <c r="C111" s="148">
        <f>SUM(C106:C109)</f>
        <v>867736.44627692329</v>
      </c>
      <c r="D111" s="148">
        <f t="shared" ref="D111:W111" si="44">SUM(D106:D109)</f>
        <v>4815232.8768252069</v>
      </c>
      <c r="E111" s="148">
        <f t="shared" si="44"/>
        <v>9546420.5607554428</v>
      </c>
      <c r="F111" s="148">
        <f t="shared" si="44"/>
        <v>15089350.18149923</v>
      </c>
      <c r="G111" s="148">
        <f t="shared" si="44"/>
        <v>21472099.165476356</v>
      </c>
      <c r="H111" s="148">
        <f t="shared" si="44"/>
        <v>25618559.518591873</v>
      </c>
      <c r="I111" s="148">
        <f t="shared" si="44"/>
        <v>25968918.540448118</v>
      </c>
      <c r="J111" s="148">
        <f t="shared" si="44"/>
        <v>26316976.37864624</v>
      </c>
      <c r="K111" s="148">
        <f t="shared" si="44"/>
        <v>26663167.362552185</v>
      </c>
      <c r="L111" s="148">
        <f t="shared" si="44"/>
        <v>27006047.537519529</v>
      </c>
      <c r="M111" s="148">
        <f t="shared" si="44"/>
        <v>27347220.874276873</v>
      </c>
      <c r="N111" s="148">
        <f t="shared" si="44"/>
        <v>27684557.634968437</v>
      </c>
      <c r="O111" s="148">
        <f t="shared" si="44"/>
        <v>28016118.577074371</v>
      </c>
      <c r="P111" s="148">
        <f t="shared" si="44"/>
        <v>28340524.514362499</v>
      </c>
      <c r="Q111" s="148">
        <f t="shared" si="44"/>
        <v>28659440.376068901</v>
      </c>
      <c r="R111" s="148">
        <f t="shared" si="44"/>
        <v>28975498.807736248</v>
      </c>
      <c r="S111" s="148">
        <f t="shared" si="44"/>
        <v>29295042.75520283</v>
      </c>
      <c r="T111" s="148">
        <f t="shared" si="44"/>
        <v>29618110.656995095</v>
      </c>
      <c r="U111" s="148">
        <f t="shared" si="44"/>
        <v>29944741.375542432</v>
      </c>
      <c r="V111" s="148">
        <f t="shared" si="44"/>
        <v>30274974.201851942</v>
      </c>
      <c r="W111" s="148">
        <f t="shared" si="44"/>
        <v>30608848.86023489</v>
      </c>
    </row>
    <row r="112" spans="1:23">
      <c r="A112" s="123"/>
      <c r="B112" s="123"/>
      <c r="C112" s="149"/>
      <c r="D112" s="149"/>
      <c r="E112" s="149"/>
      <c r="F112" s="149"/>
      <c r="G112" s="149"/>
      <c r="H112" s="149"/>
      <c r="I112" s="149"/>
      <c r="J112" s="149"/>
      <c r="K112" s="149"/>
      <c r="L112" s="149"/>
      <c r="M112" s="149"/>
      <c r="N112" s="149"/>
      <c r="O112" s="149"/>
      <c r="P112" s="149"/>
      <c r="Q112" s="149"/>
      <c r="R112" s="149"/>
      <c r="S112" s="149"/>
      <c r="T112" s="149"/>
      <c r="U112" s="149"/>
      <c r="V112" s="149"/>
      <c r="W112" s="149"/>
    </row>
    <row r="113" spans="1:23">
      <c r="A113" s="98" t="s">
        <v>312</v>
      </c>
      <c r="B113" s="98"/>
      <c r="C113" s="114"/>
      <c r="D113" s="130"/>
      <c r="E113" s="131"/>
      <c r="F113" s="193"/>
      <c r="G113" s="123"/>
      <c r="H113" s="133"/>
      <c r="I113" s="123"/>
      <c r="J113" s="78"/>
      <c r="L113" s="78"/>
    </row>
    <row r="114" spans="1:23">
      <c r="A114" s="113"/>
      <c r="B114" s="113"/>
      <c r="C114" s="114"/>
      <c r="D114" s="130"/>
      <c r="E114" s="131"/>
      <c r="F114" s="132"/>
      <c r="G114" s="123"/>
      <c r="H114" s="133"/>
      <c r="I114" s="123"/>
      <c r="J114" s="78"/>
      <c r="L114" s="78"/>
    </row>
    <row r="115" spans="1:23">
      <c r="A115" s="513" t="s">
        <v>214</v>
      </c>
      <c r="B115" s="514"/>
      <c r="C115" s="209">
        <v>2015</v>
      </c>
      <c r="D115" s="209">
        <v>2015</v>
      </c>
      <c r="E115" s="209">
        <v>2015</v>
      </c>
      <c r="F115" s="209">
        <v>2015</v>
      </c>
      <c r="G115" s="209">
        <v>2015</v>
      </c>
      <c r="H115" s="209">
        <v>2015</v>
      </c>
      <c r="I115" s="209">
        <v>2015</v>
      </c>
      <c r="J115" s="209">
        <v>2015</v>
      </c>
      <c r="K115" s="209">
        <v>2015</v>
      </c>
      <c r="L115" s="209">
        <v>2015</v>
      </c>
      <c r="M115" s="209">
        <v>2015</v>
      </c>
      <c r="N115" s="209">
        <v>2015</v>
      </c>
      <c r="O115" s="209">
        <v>2015</v>
      </c>
      <c r="P115" s="209">
        <v>2015</v>
      </c>
      <c r="Q115" s="209">
        <v>2015</v>
      </c>
      <c r="R115" s="209">
        <v>2015</v>
      </c>
      <c r="S115" s="209">
        <v>2015</v>
      </c>
      <c r="T115" s="209">
        <v>2015</v>
      </c>
      <c r="U115" s="209">
        <v>2015</v>
      </c>
      <c r="V115" s="209">
        <v>2015</v>
      </c>
      <c r="W115" s="209">
        <v>2015</v>
      </c>
    </row>
    <row r="116" spans="1:23" ht="13.5" customHeight="1">
      <c r="A116" s="146" t="str">
        <f>A99</f>
        <v>TOTAL ENABLEMENT COST</v>
      </c>
      <c r="B116" s="150"/>
      <c r="C116" s="151">
        <f t="shared" ref="C116:W116" si="45">C99</f>
        <v>18812526.155283704</v>
      </c>
      <c r="D116" s="151">
        <f t="shared" si="45"/>
        <v>89763080.431235626</v>
      </c>
      <c r="E116" s="151">
        <f t="shared" si="45"/>
        <v>125923853.24132431</v>
      </c>
      <c r="F116" s="151">
        <f t="shared" si="45"/>
        <v>166714881.58938453</v>
      </c>
      <c r="G116" s="151">
        <f t="shared" si="45"/>
        <v>212282511.72867829</v>
      </c>
      <c r="H116" s="151">
        <f t="shared" si="45"/>
        <v>195473785.7296423</v>
      </c>
      <c r="I116" s="151">
        <f t="shared" si="45"/>
        <v>133562495.68729642</v>
      </c>
      <c r="J116" s="151">
        <f t="shared" si="45"/>
        <v>135235324.82261831</v>
      </c>
      <c r="K116" s="151">
        <f t="shared" si="45"/>
        <v>136906255.27564678</v>
      </c>
      <c r="L116" s="151">
        <f t="shared" si="45"/>
        <v>138536701.45080853</v>
      </c>
      <c r="M116" s="151">
        <f t="shared" si="45"/>
        <v>140185642.43086794</v>
      </c>
      <c r="N116" s="151">
        <f t="shared" si="45"/>
        <v>141780018.15375009</v>
      </c>
      <c r="O116" s="151">
        <f t="shared" si="45"/>
        <v>143313486.61610723</v>
      </c>
      <c r="P116" s="151">
        <f t="shared" si="45"/>
        <v>144788654.5634875</v>
      </c>
      <c r="Q116" s="151">
        <f t="shared" si="45"/>
        <v>146264736.94681489</v>
      </c>
      <c r="R116" s="151">
        <f t="shared" si="45"/>
        <v>147770900.3292377</v>
      </c>
      <c r="S116" s="151">
        <f t="shared" si="45"/>
        <v>149400528.76549739</v>
      </c>
      <c r="T116" s="151">
        <f t="shared" si="45"/>
        <v>151048128.86488134</v>
      </c>
      <c r="U116" s="151">
        <f t="shared" si="45"/>
        <v>152713898.82022151</v>
      </c>
      <c r="V116" s="151">
        <f t="shared" si="45"/>
        <v>154398039.01003587</v>
      </c>
      <c r="W116" s="151">
        <f t="shared" si="45"/>
        <v>156100752.02263087</v>
      </c>
    </row>
    <row r="117" spans="1:23" ht="13.5" customHeight="1">
      <c r="A117" s="146" t="str">
        <f>A111</f>
        <v>TOTAL IMPLEMENTATION COST</v>
      </c>
      <c r="B117" s="150"/>
      <c r="C117" s="151">
        <f>C111</f>
        <v>867736.44627692329</v>
      </c>
      <c r="D117" s="151">
        <f t="shared" ref="D117:W117" si="46">D111</f>
        <v>4815232.8768252069</v>
      </c>
      <c r="E117" s="151">
        <f t="shared" si="46"/>
        <v>9546420.5607554428</v>
      </c>
      <c r="F117" s="151">
        <f t="shared" si="46"/>
        <v>15089350.18149923</v>
      </c>
      <c r="G117" s="151">
        <f t="shared" si="46"/>
        <v>21472099.165476356</v>
      </c>
      <c r="H117" s="151">
        <f t="shared" si="46"/>
        <v>25618559.518591873</v>
      </c>
      <c r="I117" s="151">
        <f t="shared" si="46"/>
        <v>25968918.540448118</v>
      </c>
      <c r="J117" s="151">
        <f t="shared" si="46"/>
        <v>26316976.37864624</v>
      </c>
      <c r="K117" s="151">
        <f t="shared" si="46"/>
        <v>26663167.362552185</v>
      </c>
      <c r="L117" s="151">
        <f t="shared" si="46"/>
        <v>27006047.537519529</v>
      </c>
      <c r="M117" s="151">
        <f t="shared" si="46"/>
        <v>27347220.874276873</v>
      </c>
      <c r="N117" s="151">
        <f t="shared" si="46"/>
        <v>27684557.634968437</v>
      </c>
      <c r="O117" s="151">
        <f t="shared" si="46"/>
        <v>28016118.577074371</v>
      </c>
      <c r="P117" s="151">
        <f t="shared" si="46"/>
        <v>28340524.514362499</v>
      </c>
      <c r="Q117" s="151">
        <f t="shared" si="46"/>
        <v>28659440.376068901</v>
      </c>
      <c r="R117" s="151">
        <f t="shared" si="46"/>
        <v>28975498.807736248</v>
      </c>
      <c r="S117" s="151">
        <f t="shared" si="46"/>
        <v>29295042.75520283</v>
      </c>
      <c r="T117" s="151">
        <f t="shared" si="46"/>
        <v>29618110.656995095</v>
      </c>
      <c r="U117" s="151">
        <f t="shared" si="46"/>
        <v>29944741.375542432</v>
      </c>
      <c r="V117" s="151">
        <f t="shared" si="46"/>
        <v>30274974.201851942</v>
      </c>
      <c r="W117" s="151">
        <f t="shared" si="46"/>
        <v>30608848.86023489</v>
      </c>
    </row>
    <row r="118" spans="1:23">
      <c r="A118" s="152" t="s">
        <v>226</v>
      </c>
      <c r="B118" s="150"/>
      <c r="C118" s="153">
        <f>SUM(C116:C117)</f>
        <v>19680262.601560626</v>
      </c>
      <c r="D118" s="153">
        <f t="shared" ref="D118:W118" si="47">SUM(D116:D117)</f>
        <v>94578313.30806084</v>
      </c>
      <c r="E118" s="153">
        <f t="shared" si="47"/>
        <v>135470273.80207974</v>
      </c>
      <c r="F118" s="153">
        <f t="shared" si="47"/>
        <v>181804231.77088377</v>
      </c>
      <c r="G118" s="153">
        <f t="shared" si="47"/>
        <v>233754610.89415464</v>
      </c>
      <c r="H118" s="153">
        <f t="shared" si="47"/>
        <v>221092345.24823418</v>
      </c>
      <c r="I118" s="153">
        <f t="shared" si="47"/>
        <v>159531414.22774455</v>
      </c>
      <c r="J118" s="153">
        <f t="shared" si="47"/>
        <v>161552301.20126456</v>
      </c>
      <c r="K118" s="153">
        <f t="shared" si="47"/>
        <v>163569422.63819897</v>
      </c>
      <c r="L118" s="153">
        <f t="shared" si="47"/>
        <v>165542748.98832804</v>
      </c>
      <c r="M118" s="153">
        <f t="shared" si="47"/>
        <v>167532863.30514482</v>
      </c>
      <c r="N118" s="153">
        <f t="shared" si="47"/>
        <v>169464575.78871852</v>
      </c>
      <c r="O118" s="153">
        <f t="shared" si="47"/>
        <v>171329605.1931816</v>
      </c>
      <c r="P118" s="153">
        <f t="shared" si="47"/>
        <v>173129179.07784998</v>
      </c>
      <c r="Q118" s="153">
        <f t="shared" si="47"/>
        <v>174924177.32288378</v>
      </c>
      <c r="R118" s="153">
        <f t="shared" si="47"/>
        <v>176746399.13697395</v>
      </c>
      <c r="S118" s="153">
        <f t="shared" si="47"/>
        <v>178695571.52070022</v>
      </c>
      <c r="T118" s="153">
        <f t="shared" si="47"/>
        <v>180666239.52187642</v>
      </c>
      <c r="U118" s="153">
        <f t="shared" si="47"/>
        <v>182658640.19576395</v>
      </c>
      <c r="V118" s="153">
        <f t="shared" si="47"/>
        <v>184673013.21188781</v>
      </c>
      <c r="W118" s="153">
        <f t="shared" si="47"/>
        <v>186709600.88286576</v>
      </c>
    </row>
    <row r="121" spans="1:23" s="70" customFormat="1" ht="14.4"/>
  </sheetData>
  <mergeCells count="15">
    <mergeCell ref="C103:W103"/>
    <mergeCell ref="A115:B115"/>
    <mergeCell ref="B103:B104"/>
    <mergeCell ref="A103:A104"/>
    <mergeCell ref="B79:B80"/>
    <mergeCell ref="C79:W79"/>
    <mergeCell ref="A91:A92"/>
    <mergeCell ref="B91:B92"/>
    <mergeCell ref="C91:W91"/>
    <mergeCell ref="A1:W1"/>
    <mergeCell ref="C4:W4"/>
    <mergeCell ref="C55:W55"/>
    <mergeCell ref="A67:A68"/>
    <mergeCell ref="B67:B68"/>
    <mergeCell ref="C67:W67"/>
  </mergeCells>
  <pageMargins left="0.75" right="0.75" top="1" bottom="1" header="0.5" footer="0.5"/>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W105"/>
  <sheetViews>
    <sheetView topLeftCell="A7" workbookViewId="0">
      <selection activeCell="C102" sqref="C102:W102"/>
    </sheetView>
  </sheetViews>
  <sheetFormatPr defaultRowHeight="13.2"/>
  <cols>
    <col min="1" max="1" width="33.88671875" style="76" customWidth="1"/>
    <col min="2" max="2" width="28" style="76" customWidth="1"/>
    <col min="3" max="3" width="19.88671875" style="76" bestFit="1" customWidth="1"/>
    <col min="4" max="4" width="15" style="76" customWidth="1"/>
    <col min="5" max="5" width="17" style="76" bestFit="1" customWidth="1"/>
    <col min="6" max="7" width="12.88671875" style="76" customWidth="1"/>
    <col min="8" max="8" width="13.6640625" style="76" customWidth="1"/>
    <col min="9" max="23" width="12.88671875" style="76" customWidth="1"/>
    <col min="24" max="255" width="9.109375" style="76"/>
    <col min="256" max="256" width="33.88671875" style="76" customWidth="1"/>
    <col min="257" max="257" width="19.33203125" style="76" customWidth="1"/>
    <col min="258" max="279" width="12.88671875" style="76" customWidth="1"/>
    <col min="280" max="511" width="9.109375" style="76"/>
    <col min="512" max="512" width="33.88671875" style="76" customWidth="1"/>
    <col min="513" max="513" width="19.33203125" style="76" customWidth="1"/>
    <col min="514" max="535" width="12.88671875" style="76" customWidth="1"/>
    <col min="536" max="767" width="9.109375" style="76"/>
    <col min="768" max="768" width="33.88671875" style="76" customWidth="1"/>
    <col min="769" max="769" width="19.33203125" style="76" customWidth="1"/>
    <col min="770" max="791" width="12.88671875" style="76" customWidth="1"/>
    <col min="792" max="1023" width="9.109375" style="76"/>
    <col min="1024" max="1024" width="33.88671875" style="76" customWidth="1"/>
    <col min="1025" max="1025" width="19.33203125" style="76" customWidth="1"/>
    <col min="1026" max="1047" width="12.88671875" style="76" customWidth="1"/>
    <col min="1048" max="1279" width="9.109375" style="76"/>
    <col min="1280" max="1280" width="33.88671875" style="76" customWidth="1"/>
    <col min="1281" max="1281" width="19.33203125" style="76" customWidth="1"/>
    <col min="1282" max="1303" width="12.88671875" style="76" customWidth="1"/>
    <col min="1304" max="1535" width="9.109375" style="76"/>
    <col min="1536" max="1536" width="33.88671875" style="76" customWidth="1"/>
    <col min="1537" max="1537" width="19.33203125" style="76" customWidth="1"/>
    <col min="1538" max="1559" width="12.88671875" style="76" customWidth="1"/>
    <col min="1560" max="1791" width="9.109375" style="76"/>
    <col min="1792" max="1792" width="33.88671875" style="76" customWidth="1"/>
    <col min="1793" max="1793" width="19.33203125" style="76" customWidth="1"/>
    <col min="1794" max="1815" width="12.88671875" style="76" customWidth="1"/>
    <col min="1816" max="2047" width="9.109375" style="76"/>
    <col min="2048" max="2048" width="33.88671875" style="76" customWidth="1"/>
    <col min="2049" max="2049" width="19.33203125" style="76" customWidth="1"/>
    <col min="2050" max="2071" width="12.88671875" style="76" customWidth="1"/>
    <col min="2072" max="2303" width="9.109375" style="76"/>
    <col min="2304" max="2304" width="33.88671875" style="76" customWidth="1"/>
    <col min="2305" max="2305" width="19.33203125" style="76" customWidth="1"/>
    <col min="2306" max="2327" width="12.88671875" style="76" customWidth="1"/>
    <col min="2328" max="2559" width="9.109375" style="76"/>
    <col min="2560" max="2560" width="33.88671875" style="76" customWidth="1"/>
    <col min="2561" max="2561" width="19.33203125" style="76" customWidth="1"/>
    <col min="2562" max="2583" width="12.88671875" style="76" customWidth="1"/>
    <col min="2584" max="2815" width="9.109375" style="76"/>
    <col min="2816" max="2816" width="33.88671875" style="76" customWidth="1"/>
    <col min="2817" max="2817" width="19.33203125" style="76" customWidth="1"/>
    <col min="2818" max="2839" width="12.88671875" style="76" customWidth="1"/>
    <col min="2840" max="3071" width="9.109375" style="76"/>
    <col min="3072" max="3072" width="33.88671875" style="76" customWidth="1"/>
    <col min="3073" max="3073" width="19.33203125" style="76" customWidth="1"/>
    <col min="3074" max="3095" width="12.88671875" style="76" customWidth="1"/>
    <col min="3096" max="3327" width="9.109375" style="76"/>
    <col min="3328" max="3328" width="33.88671875" style="76" customWidth="1"/>
    <col min="3329" max="3329" width="19.33203125" style="76" customWidth="1"/>
    <col min="3330" max="3351" width="12.88671875" style="76" customWidth="1"/>
    <col min="3352" max="3583" width="9.109375" style="76"/>
    <col min="3584" max="3584" width="33.88671875" style="76" customWidth="1"/>
    <col min="3585" max="3585" width="19.33203125" style="76" customWidth="1"/>
    <col min="3586" max="3607" width="12.88671875" style="76" customWidth="1"/>
    <col min="3608" max="3839" width="9.109375" style="76"/>
    <col min="3840" max="3840" width="33.88671875" style="76" customWidth="1"/>
    <col min="3841" max="3841" width="19.33203125" style="76" customWidth="1"/>
    <col min="3842" max="3863" width="12.88671875" style="76" customWidth="1"/>
    <col min="3864" max="4095" width="9.109375" style="76"/>
    <col min="4096" max="4096" width="33.88671875" style="76" customWidth="1"/>
    <col min="4097" max="4097" width="19.33203125" style="76" customWidth="1"/>
    <col min="4098" max="4119" width="12.88671875" style="76" customWidth="1"/>
    <col min="4120" max="4351" width="9.109375" style="76"/>
    <col min="4352" max="4352" width="33.88671875" style="76" customWidth="1"/>
    <col min="4353" max="4353" width="19.33203125" style="76" customWidth="1"/>
    <col min="4354" max="4375" width="12.88671875" style="76" customWidth="1"/>
    <col min="4376" max="4607" width="9.109375" style="76"/>
    <col min="4608" max="4608" width="33.88671875" style="76" customWidth="1"/>
    <col min="4609" max="4609" width="19.33203125" style="76" customWidth="1"/>
    <col min="4610" max="4631" width="12.88671875" style="76" customWidth="1"/>
    <col min="4632" max="4863" width="9.109375" style="76"/>
    <col min="4864" max="4864" width="33.88671875" style="76" customWidth="1"/>
    <col min="4865" max="4865" width="19.33203125" style="76" customWidth="1"/>
    <col min="4866" max="4887" width="12.88671875" style="76" customWidth="1"/>
    <col min="4888" max="5119" width="9.109375" style="76"/>
    <col min="5120" max="5120" width="33.88671875" style="76" customWidth="1"/>
    <col min="5121" max="5121" width="19.33203125" style="76" customWidth="1"/>
    <col min="5122" max="5143" width="12.88671875" style="76" customWidth="1"/>
    <col min="5144" max="5375" width="9.109375" style="76"/>
    <col min="5376" max="5376" width="33.88671875" style="76" customWidth="1"/>
    <col min="5377" max="5377" width="19.33203125" style="76" customWidth="1"/>
    <col min="5378" max="5399" width="12.88671875" style="76" customWidth="1"/>
    <col min="5400" max="5631" width="9.109375" style="76"/>
    <col min="5632" max="5632" width="33.88671875" style="76" customWidth="1"/>
    <col min="5633" max="5633" width="19.33203125" style="76" customWidth="1"/>
    <col min="5634" max="5655" width="12.88671875" style="76" customWidth="1"/>
    <col min="5656" max="5887" width="9.109375" style="76"/>
    <col min="5888" max="5888" width="33.88671875" style="76" customWidth="1"/>
    <col min="5889" max="5889" width="19.33203125" style="76" customWidth="1"/>
    <col min="5890" max="5911" width="12.88671875" style="76" customWidth="1"/>
    <col min="5912" max="6143" width="9.109375" style="76"/>
    <col min="6144" max="6144" width="33.88671875" style="76" customWidth="1"/>
    <col min="6145" max="6145" width="19.33203125" style="76" customWidth="1"/>
    <col min="6146" max="6167" width="12.88671875" style="76" customWidth="1"/>
    <col min="6168" max="6399" width="9.109375" style="76"/>
    <col min="6400" max="6400" width="33.88671875" style="76" customWidth="1"/>
    <col min="6401" max="6401" width="19.33203125" style="76" customWidth="1"/>
    <col min="6402" max="6423" width="12.88671875" style="76" customWidth="1"/>
    <col min="6424" max="6655" width="9.109375" style="76"/>
    <col min="6656" max="6656" width="33.88671875" style="76" customWidth="1"/>
    <col min="6657" max="6657" width="19.33203125" style="76" customWidth="1"/>
    <col min="6658" max="6679" width="12.88671875" style="76" customWidth="1"/>
    <col min="6680" max="6911" width="9.109375" style="76"/>
    <col min="6912" max="6912" width="33.88671875" style="76" customWidth="1"/>
    <col min="6913" max="6913" width="19.33203125" style="76" customWidth="1"/>
    <col min="6914" max="6935" width="12.88671875" style="76" customWidth="1"/>
    <col min="6936" max="7167" width="9.109375" style="76"/>
    <col min="7168" max="7168" width="33.88671875" style="76" customWidth="1"/>
    <col min="7169" max="7169" width="19.33203125" style="76" customWidth="1"/>
    <col min="7170" max="7191" width="12.88671875" style="76" customWidth="1"/>
    <col min="7192" max="7423" width="9.109375" style="76"/>
    <col min="7424" max="7424" width="33.88671875" style="76" customWidth="1"/>
    <col min="7425" max="7425" width="19.33203125" style="76" customWidth="1"/>
    <col min="7426" max="7447" width="12.88671875" style="76" customWidth="1"/>
    <col min="7448" max="7679" width="9.109375" style="76"/>
    <col min="7680" max="7680" width="33.88671875" style="76" customWidth="1"/>
    <col min="7681" max="7681" width="19.33203125" style="76" customWidth="1"/>
    <col min="7682" max="7703" width="12.88671875" style="76" customWidth="1"/>
    <col min="7704" max="7935" width="9.109375" style="76"/>
    <col min="7936" max="7936" width="33.88671875" style="76" customWidth="1"/>
    <col min="7937" max="7937" width="19.33203125" style="76" customWidth="1"/>
    <col min="7938" max="7959" width="12.88671875" style="76" customWidth="1"/>
    <col min="7960" max="8191" width="9.109375" style="76"/>
    <col min="8192" max="8192" width="33.88671875" style="76" customWidth="1"/>
    <col min="8193" max="8193" width="19.33203125" style="76" customWidth="1"/>
    <col min="8194" max="8215" width="12.88671875" style="76" customWidth="1"/>
    <col min="8216" max="8447" width="9.109375" style="76"/>
    <col min="8448" max="8448" width="33.88671875" style="76" customWidth="1"/>
    <col min="8449" max="8449" width="19.33203125" style="76" customWidth="1"/>
    <col min="8450" max="8471" width="12.88671875" style="76" customWidth="1"/>
    <col min="8472" max="8703" width="9.109375" style="76"/>
    <col min="8704" max="8704" width="33.88671875" style="76" customWidth="1"/>
    <col min="8705" max="8705" width="19.33203125" style="76" customWidth="1"/>
    <col min="8706" max="8727" width="12.88671875" style="76" customWidth="1"/>
    <col min="8728" max="8959" width="9.109375" style="76"/>
    <col min="8960" max="8960" width="33.88671875" style="76" customWidth="1"/>
    <col min="8961" max="8961" width="19.33203125" style="76" customWidth="1"/>
    <col min="8962" max="8983" width="12.88671875" style="76" customWidth="1"/>
    <col min="8984" max="9215" width="9.109375" style="76"/>
    <col min="9216" max="9216" width="33.88671875" style="76" customWidth="1"/>
    <col min="9217" max="9217" width="19.33203125" style="76" customWidth="1"/>
    <col min="9218" max="9239" width="12.88671875" style="76" customWidth="1"/>
    <col min="9240" max="9471" width="9.109375" style="76"/>
    <col min="9472" max="9472" width="33.88671875" style="76" customWidth="1"/>
    <col min="9473" max="9473" width="19.33203125" style="76" customWidth="1"/>
    <col min="9474" max="9495" width="12.88671875" style="76" customWidth="1"/>
    <col min="9496" max="9727" width="9.109375" style="76"/>
    <col min="9728" max="9728" width="33.88671875" style="76" customWidth="1"/>
    <col min="9729" max="9729" width="19.33203125" style="76" customWidth="1"/>
    <col min="9730" max="9751" width="12.88671875" style="76" customWidth="1"/>
    <col min="9752" max="9983" width="9.109375" style="76"/>
    <col min="9984" max="9984" width="33.88671875" style="76" customWidth="1"/>
    <col min="9985" max="9985" width="19.33203125" style="76" customWidth="1"/>
    <col min="9986" max="10007" width="12.88671875" style="76" customWidth="1"/>
    <col min="10008" max="10239" width="9.109375" style="76"/>
    <col min="10240" max="10240" width="33.88671875" style="76" customWidth="1"/>
    <col min="10241" max="10241" width="19.33203125" style="76" customWidth="1"/>
    <col min="10242" max="10263" width="12.88671875" style="76" customWidth="1"/>
    <col min="10264" max="10495" width="9.109375" style="76"/>
    <col min="10496" max="10496" width="33.88671875" style="76" customWidth="1"/>
    <col min="10497" max="10497" width="19.33203125" style="76" customWidth="1"/>
    <col min="10498" max="10519" width="12.88671875" style="76" customWidth="1"/>
    <col min="10520" max="10751" width="9.109375" style="76"/>
    <col min="10752" max="10752" width="33.88671875" style="76" customWidth="1"/>
    <col min="10753" max="10753" width="19.33203125" style="76" customWidth="1"/>
    <col min="10754" max="10775" width="12.88671875" style="76" customWidth="1"/>
    <col min="10776" max="11007" width="9.109375" style="76"/>
    <col min="11008" max="11008" width="33.88671875" style="76" customWidth="1"/>
    <col min="11009" max="11009" width="19.33203125" style="76" customWidth="1"/>
    <col min="11010" max="11031" width="12.88671875" style="76" customWidth="1"/>
    <col min="11032" max="11263" width="9.109375" style="76"/>
    <col min="11264" max="11264" width="33.88671875" style="76" customWidth="1"/>
    <col min="11265" max="11265" width="19.33203125" style="76" customWidth="1"/>
    <col min="11266" max="11287" width="12.88671875" style="76" customWidth="1"/>
    <col min="11288" max="11519" width="9.109375" style="76"/>
    <col min="11520" max="11520" width="33.88671875" style="76" customWidth="1"/>
    <col min="11521" max="11521" width="19.33203125" style="76" customWidth="1"/>
    <col min="11522" max="11543" width="12.88671875" style="76" customWidth="1"/>
    <col min="11544" max="11775" width="9.109375" style="76"/>
    <col min="11776" max="11776" width="33.88671875" style="76" customWidth="1"/>
    <col min="11777" max="11777" width="19.33203125" style="76" customWidth="1"/>
    <col min="11778" max="11799" width="12.88671875" style="76" customWidth="1"/>
    <col min="11800" max="12031" width="9.109375" style="76"/>
    <col min="12032" max="12032" width="33.88671875" style="76" customWidth="1"/>
    <col min="12033" max="12033" width="19.33203125" style="76" customWidth="1"/>
    <col min="12034" max="12055" width="12.88671875" style="76" customWidth="1"/>
    <col min="12056" max="12287" width="9.109375" style="76"/>
    <col min="12288" max="12288" width="33.88671875" style="76" customWidth="1"/>
    <col min="12289" max="12289" width="19.33203125" style="76" customWidth="1"/>
    <col min="12290" max="12311" width="12.88671875" style="76" customWidth="1"/>
    <col min="12312" max="12543" width="9.109375" style="76"/>
    <col min="12544" max="12544" width="33.88671875" style="76" customWidth="1"/>
    <col min="12545" max="12545" width="19.33203125" style="76" customWidth="1"/>
    <col min="12546" max="12567" width="12.88671875" style="76" customWidth="1"/>
    <col min="12568" max="12799" width="9.109375" style="76"/>
    <col min="12800" max="12800" width="33.88671875" style="76" customWidth="1"/>
    <col min="12801" max="12801" width="19.33203125" style="76" customWidth="1"/>
    <col min="12802" max="12823" width="12.88671875" style="76" customWidth="1"/>
    <col min="12824" max="13055" width="9.109375" style="76"/>
    <col min="13056" max="13056" width="33.88671875" style="76" customWidth="1"/>
    <col min="13057" max="13057" width="19.33203125" style="76" customWidth="1"/>
    <col min="13058" max="13079" width="12.88671875" style="76" customWidth="1"/>
    <col min="13080" max="13311" width="9.109375" style="76"/>
    <col min="13312" max="13312" width="33.88671875" style="76" customWidth="1"/>
    <col min="13313" max="13313" width="19.33203125" style="76" customWidth="1"/>
    <col min="13314" max="13335" width="12.88671875" style="76" customWidth="1"/>
    <col min="13336" max="13567" width="9.109375" style="76"/>
    <col min="13568" max="13568" width="33.88671875" style="76" customWidth="1"/>
    <col min="13569" max="13569" width="19.33203125" style="76" customWidth="1"/>
    <col min="13570" max="13591" width="12.88671875" style="76" customWidth="1"/>
    <col min="13592" max="13823" width="9.109375" style="76"/>
    <col min="13824" max="13824" width="33.88671875" style="76" customWidth="1"/>
    <col min="13825" max="13825" width="19.33203125" style="76" customWidth="1"/>
    <col min="13826" max="13847" width="12.88671875" style="76" customWidth="1"/>
    <col min="13848" max="14079" width="9.109375" style="76"/>
    <col min="14080" max="14080" width="33.88671875" style="76" customWidth="1"/>
    <col min="14081" max="14081" width="19.33203125" style="76" customWidth="1"/>
    <col min="14082" max="14103" width="12.88671875" style="76" customWidth="1"/>
    <col min="14104" max="14335" width="9.109375" style="76"/>
    <col min="14336" max="14336" width="33.88671875" style="76" customWidth="1"/>
    <col min="14337" max="14337" width="19.33203125" style="76" customWidth="1"/>
    <col min="14338" max="14359" width="12.88671875" style="76" customWidth="1"/>
    <col min="14360" max="14591" width="9.109375" style="76"/>
    <col min="14592" max="14592" width="33.88671875" style="76" customWidth="1"/>
    <col min="14593" max="14593" width="19.33203125" style="76" customWidth="1"/>
    <col min="14594" max="14615" width="12.88671875" style="76" customWidth="1"/>
    <col min="14616" max="14847" width="9.109375" style="76"/>
    <col min="14848" max="14848" width="33.88671875" style="76" customWidth="1"/>
    <col min="14849" max="14849" width="19.33203125" style="76" customWidth="1"/>
    <col min="14850" max="14871" width="12.88671875" style="76" customWidth="1"/>
    <col min="14872" max="15103" width="9.109375" style="76"/>
    <col min="15104" max="15104" width="33.88671875" style="76" customWidth="1"/>
    <col min="15105" max="15105" width="19.33203125" style="76" customWidth="1"/>
    <col min="15106" max="15127" width="12.88671875" style="76" customWidth="1"/>
    <col min="15128" max="15359" width="9.109375" style="76"/>
    <col min="15360" max="15360" width="33.88671875" style="76" customWidth="1"/>
    <col min="15361" max="15361" width="19.33203125" style="76" customWidth="1"/>
    <col min="15362" max="15383" width="12.88671875" style="76" customWidth="1"/>
    <col min="15384" max="15615" width="9.109375" style="76"/>
    <col min="15616" max="15616" width="33.88671875" style="76" customWidth="1"/>
    <col min="15617" max="15617" width="19.33203125" style="76" customWidth="1"/>
    <col min="15618" max="15639" width="12.88671875" style="76" customWidth="1"/>
    <col min="15640" max="15871" width="9.109375" style="76"/>
    <col min="15872" max="15872" width="33.88671875" style="76" customWidth="1"/>
    <col min="15873" max="15873" width="19.33203125" style="76" customWidth="1"/>
    <col min="15874" max="15895" width="12.88671875" style="76" customWidth="1"/>
    <col min="15896" max="16127" width="9.109375" style="76"/>
    <col min="16128" max="16128" width="33.88671875" style="76" customWidth="1"/>
    <col min="16129" max="16129" width="19.33203125" style="76" customWidth="1"/>
    <col min="16130" max="16151" width="12.88671875" style="76" customWidth="1"/>
    <col min="16152" max="16384" width="9.109375" style="76"/>
  </cols>
  <sheetData>
    <row r="1" spans="1:23" ht="16.2" thickBot="1">
      <c r="A1" s="494" t="s">
        <v>307</v>
      </c>
      <c r="B1" s="495"/>
      <c r="C1" s="495"/>
      <c r="D1" s="495"/>
      <c r="E1" s="495"/>
      <c r="F1" s="495"/>
      <c r="G1" s="495"/>
      <c r="H1" s="495"/>
      <c r="I1" s="495"/>
      <c r="J1" s="495"/>
      <c r="K1" s="495"/>
      <c r="L1" s="495"/>
      <c r="M1" s="495"/>
      <c r="N1" s="495"/>
      <c r="O1" s="495"/>
      <c r="P1" s="495"/>
      <c r="Q1" s="495"/>
      <c r="R1" s="495"/>
      <c r="S1" s="495"/>
      <c r="T1" s="495"/>
      <c r="U1" s="495"/>
      <c r="V1" s="495"/>
      <c r="W1" s="496"/>
    </row>
    <row r="2" spans="1:23" ht="16.2" thickBot="1">
      <c r="A2" s="181" t="s">
        <v>235</v>
      </c>
      <c r="B2" s="182"/>
      <c r="C2" s="182"/>
      <c r="D2" s="182"/>
      <c r="E2" s="182"/>
      <c r="F2" s="182"/>
      <c r="G2" s="182"/>
      <c r="H2" s="182"/>
      <c r="I2" s="182"/>
      <c r="J2" s="182"/>
      <c r="K2" s="182"/>
      <c r="L2" s="182"/>
      <c r="M2" s="183"/>
      <c r="N2" s="183"/>
      <c r="O2" s="183"/>
      <c r="P2" s="183"/>
      <c r="Q2" s="183"/>
      <c r="R2" s="183"/>
      <c r="S2" s="183"/>
      <c r="T2" s="183"/>
      <c r="U2" s="183"/>
      <c r="V2" s="183"/>
      <c r="W2" s="184"/>
    </row>
    <row r="3" spans="1:23" ht="15.6">
      <c r="A3" s="154" t="s">
        <v>233</v>
      </c>
      <c r="B3" s="155"/>
      <c r="C3" s="155"/>
      <c r="D3" s="156"/>
      <c r="E3" s="156"/>
      <c r="F3" s="156"/>
      <c r="G3" s="156"/>
      <c r="H3" s="156"/>
      <c r="I3" s="156"/>
      <c r="J3" s="156"/>
      <c r="K3" s="156"/>
      <c r="L3" s="156"/>
      <c r="M3" s="157"/>
      <c r="N3" s="157"/>
      <c r="O3" s="157"/>
      <c r="P3" s="157"/>
      <c r="Q3" s="157"/>
      <c r="R3" s="157"/>
      <c r="S3" s="157"/>
      <c r="T3" s="157"/>
      <c r="U3" s="157"/>
      <c r="V3" s="157"/>
      <c r="W3" s="158"/>
    </row>
    <row r="4" spans="1:23">
      <c r="A4" s="159"/>
      <c r="B4" s="160"/>
      <c r="C4" s="498" t="s">
        <v>230</v>
      </c>
      <c r="D4" s="498"/>
      <c r="E4" s="498"/>
      <c r="F4" s="498"/>
      <c r="G4" s="498"/>
      <c r="H4" s="498"/>
      <c r="I4" s="498"/>
      <c r="J4" s="498"/>
      <c r="K4" s="498"/>
      <c r="L4" s="498"/>
      <c r="M4" s="498"/>
      <c r="N4" s="498"/>
      <c r="O4" s="498"/>
      <c r="P4" s="498"/>
      <c r="Q4" s="498"/>
      <c r="R4" s="498"/>
      <c r="S4" s="498"/>
      <c r="T4" s="498"/>
      <c r="U4" s="498"/>
      <c r="V4" s="498"/>
      <c r="W4" s="499"/>
    </row>
    <row r="5" spans="1:23">
      <c r="A5" s="159"/>
      <c r="B5" s="161" t="s">
        <v>1</v>
      </c>
      <c r="C5" s="162">
        <v>2015</v>
      </c>
      <c r="D5" s="162">
        <v>2016</v>
      </c>
      <c r="E5" s="162">
        <v>2017</v>
      </c>
      <c r="F5" s="162">
        <v>2018</v>
      </c>
      <c r="G5" s="162">
        <v>2019</v>
      </c>
      <c r="H5" s="162">
        <v>2020</v>
      </c>
      <c r="I5" s="162">
        <v>2021</v>
      </c>
      <c r="J5" s="162">
        <v>2022</v>
      </c>
      <c r="K5" s="162">
        <v>2023</v>
      </c>
      <c r="L5" s="162">
        <v>2024</v>
      </c>
      <c r="M5" s="162">
        <v>2025</v>
      </c>
      <c r="N5" s="162">
        <v>2026</v>
      </c>
      <c r="O5" s="162">
        <v>2027</v>
      </c>
      <c r="P5" s="162">
        <v>2028</v>
      </c>
      <c r="Q5" s="162">
        <v>2029</v>
      </c>
      <c r="R5" s="162">
        <v>2030</v>
      </c>
      <c r="S5" s="162">
        <v>2031</v>
      </c>
      <c r="T5" s="162">
        <v>2032</v>
      </c>
      <c r="U5" s="162">
        <v>2033</v>
      </c>
      <c r="V5" s="162">
        <v>2034</v>
      </c>
      <c r="W5" s="163">
        <v>2035</v>
      </c>
    </row>
    <row r="6" spans="1:23" ht="13.8" thickBot="1">
      <c r="A6" s="164"/>
      <c r="B6" s="165" t="s">
        <v>244</v>
      </c>
      <c r="C6" s="171">
        <f>'NW Customers'!B4</f>
        <v>368109.8661258581</v>
      </c>
      <c r="D6" s="171">
        <f>'NW Customers'!C4</f>
        <v>373486.05763078062</v>
      </c>
      <c r="E6" s="171">
        <f>'NW Customers'!D4</f>
        <v>378939.52680845541</v>
      </c>
      <c r="F6" s="171">
        <f>'NW Customers'!E4</f>
        <v>384222.696794555</v>
      </c>
      <c r="G6" s="171">
        <f>'NW Customers'!F4</f>
        <v>389432.25250224111</v>
      </c>
      <c r="H6" s="171">
        <f>'NW Customers'!G4</f>
        <v>394176.6962072298</v>
      </c>
      <c r="I6" s="171">
        <f>'NW Customers'!H4</f>
        <v>398910.99371926603</v>
      </c>
      <c r="J6" s="171">
        <f>'NW Customers'!I4</f>
        <v>404211.04209112196</v>
      </c>
      <c r="K6" s="171">
        <f>'NW Customers'!J4</f>
        <v>409461.45527194545</v>
      </c>
      <c r="L6" s="171">
        <f>'NW Customers'!K4</f>
        <v>414973.96221003355</v>
      </c>
      <c r="M6" s="171">
        <f>'NW Customers'!L4</f>
        <v>420270.55792898097</v>
      </c>
      <c r="N6" s="171">
        <f>'NW Customers'!M4</f>
        <v>425475.03615722148</v>
      </c>
      <c r="O6" s="171">
        <f>'NW Customers'!N4</f>
        <v>430609.97963586426</v>
      </c>
      <c r="P6" s="171">
        <f>'NW Customers'!O4</f>
        <v>435727.19666466326</v>
      </c>
      <c r="Q6" s="171">
        <f>'NW Customers'!P4</f>
        <v>440815.13833749207</v>
      </c>
      <c r="R6" s="171">
        <f>'NW Customers'!Q4</f>
        <v>445687.17196607753</v>
      </c>
      <c r="S6" s="171">
        <f>'NW Customers'!R4</f>
        <v>450729.45878165902</v>
      </c>
      <c r="T6" s="171">
        <f>'NW Customers'!S4</f>
        <v>455977.8439503425</v>
      </c>
      <c r="U6" s="171">
        <f>'NW Customers'!T4</f>
        <v>461256.43179383531</v>
      </c>
      <c r="V6" s="171">
        <f>'NW Customers'!U4</f>
        <v>466415.471809601</v>
      </c>
      <c r="W6" s="171">
        <f>'NW Customers'!V4</f>
        <v>471632.21442212129</v>
      </c>
    </row>
    <row r="7" spans="1:23" ht="16.2" thickBot="1">
      <c r="A7" s="173"/>
      <c r="B7" s="173"/>
      <c r="C7" s="173"/>
      <c r="D7" s="174"/>
      <c r="E7" s="174"/>
      <c r="F7" s="174"/>
      <c r="G7" s="174"/>
      <c r="H7" s="174"/>
      <c r="I7" s="174"/>
      <c r="J7" s="174"/>
      <c r="K7" s="174"/>
      <c r="L7" s="174"/>
      <c r="M7" s="175"/>
      <c r="N7" s="175"/>
      <c r="O7" s="175"/>
      <c r="P7" s="175"/>
      <c r="Q7" s="175"/>
      <c r="R7" s="175"/>
      <c r="S7" s="175"/>
      <c r="T7" s="175"/>
      <c r="U7" s="175"/>
      <c r="V7" s="175"/>
      <c r="W7" s="175"/>
    </row>
    <row r="8" spans="1:23" ht="15.6">
      <c r="A8" s="154" t="s">
        <v>290</v>
      </c>
      <c r="B8" s="155"/>
      <c r="C8" s="155"/>
      <c r="D8" s="156"/>
      <c r="E8" s="156"/>
      <c r="F8" s="156"/>
      <c r="G8" s="156"/>
      <c r="H8" s="156"/>
      <c r="I8" s="156"/>
      <c r="J8" s="156"/>
      <c r="K8" s="156"/>
      <c r="L8" s="156"/>
      <c r="M8" s="157"/>
      <c r="N8" s="157"/>
      <c r="O8" s="157"/>
      <c r="P8" s="157"/>
      <c r="Q8" s="157"/>
      <c r="R8" s="157"/>
      <c r="S8" s="157"/>
      <c r="T8" s="157"/>
      <c r="U8" s="157"/>
      <c r="V8" s="157"/>
      <c r="W8" s="158"/>
    </row>
    <row r="9" spans="1:23" ht="15.6">
      <c r="A9" s="188"/>
      <c r="B9" s="161" t="s">
        <v>241</v>
      </c>
      <c r="C9" s="177">
        <f>KeyAssumptions!U8</f>
        <v>0.34799999999999998</v>
      </c>
      <c r="D9" s="166"/>
      <c r="E9" s="166"/>
      <c r="F9" s="166"/>
      <c r="G9" s="166"/>
      <c r="H9" s="166"/>
      <c r="I9" s="166"/>
      <c r="J9" s="166"/>
      <c r="K9" s="166"/>
      <c r="L9" s="166"/>
      <c r="M9" s="167"/>
      <c r="N9" s="167"/>
      <c r="O9" s="167"/>
      <c r="P9" s="167"/>
      <c r="Q9" s="167"/>
      <c r="R9" s="167"/>
      <c r="S9" s="167"/>
      <c r="T9" s="167"/>
      <c r="U9" s="167"/>
      <c r="V9" s="167"/>
      <c r="W9" s="167"/>
    </row>
    <row r="10" spans="1:23" ht="15.6">
      <c r="A10" s="188"/>
      <c r="B10" s="161" t="s">
        <v>207</v>
      </c>
      <c r="C10" s="177">
        <f>KeyAssumptions!V8</f>
        <v>0.15</v>
      </c>
      <c r="D10" s="166"/>
      <c r="E10" s="166"/>
      <c r="F10" s="166"/>
      <c r="G10" s="166"/>
      <c r="H10" s="166"/>
      <c r="I10" s="166"/>
      <c r="J10" s="166"/>
      <c r="K10" s="166"/>
      <c r="L10" s="166"/>
      <c r="M10" s="167"/>
      <c r="N10" s="167"/>
      <c r="O10" s="167"/>
      <c r="P10" s="167"/>
      <c r="Q10" s="167"/>
      <c r="R10" s="167"/>
      <c r="S10" s="167"/>
      <c r="T10" s="167"/>
      <c r="U10" s="167"/>
      <c r="V10" s="167"/>
      <c r="W10" s="167"/>
    </row>
    <row r="11" spans="1:23" ht="15.75" customHeight="1">
      <c r="A11" s="188"/>
      <c r="B11" s="191" t="s">
        <v>355</v>
      </c>
      <c r="C11" s="177">
        <v>0.95</v>
      </c>
      <c r="D11" s="166"/>
      <c r="E11" s="166"/>
      <c r="F11" s="166"/>
      <c r="G11" s="166"/>
      <c r="H11" s="166"/>
      <c r="I11" s="166"/>
      <c r="J11" s="166"/>
      <c r="K11" s="166"/>
      <c r="L11" s="166"/>
      <c r="M11" s="167"/>
      <c r="N11" s="167"/>
      <c r="O11" s="167"/>
      <c r="P11" s="167"/>
      <c r="Q11" s="167"/>
      <c r="R11" s="167"/>
      <c r="S11" s="167"/>
      <c r="T11" s="167"/>
      <c r="U11" s="167"/>
      <c r="V11" s="167"/>
      <c r="W11" s="167"/>
    </row>
    <row r="12" spans="1:23" ht="15.6">
      <c r="A12" s="188"/>
      <c r="B12" s="160"/>
      <c r="C12" s="160"/>
      <c r="D12" s="166"/>
      <c r="E12" s="166"/>
      <c r="F12" s="166"/>
      <c r="G12" s="166"/>
      <c r="H12" s="166"/>
      <c r="I12" s="166"/>
      <c r="J12" s="166"/>
      <c r="K12" s="166"/>
      <c r="L12" s="166"/>
      <c r="M12" s="167"/>
      <c r="N12" s="167"/>
      <c r="O12" s="167"/>
      <c r="P12" s="167"/>
      <c r="Q12" s="167"/>
      <c r="R12" s="167"/>
      <c r="S12" s="167"/>
      <c r="T12" s="167"/>
      <c r="U12" s="167"/>
      <c r="V12" s="167"/>
      <c r="W12" s="167"/>
    </row>
    <row r="13" spans="1:23">
      <c r="A13" s="159"/>
      <c r="B13" s="161" t="s">
        <v>1</v>
      </c>
      <c r="C13" s="162">
        <v>2015</v>
      </c>
      <c r="D13" s="162">
        <v>2016</v>
      </c>
      <c r="E13" s="162">
        <v>2017</v>
      </c>
      <c r="F13" s="162">
        <v>2018</v>
      </c>
      <c r="G13" s="162">
        <v>2019</v>
      </c>
      <c r="H13" s="162">
        <v>2020</v>
      </c>
      <c r="I13" s="162">
        <v>2021</v>
      </c>
      <c r="J13" s="162">
        <v>2022</v>
      </c>
      <c r="K13" s="162">
        <v>2023</v>
      </c>
      <c r="L13" s="162">
        <v>2024</v>
      </c>
      <c r="M13" s="162">
        <v>2025</v>
      </c>
      <c r="N13" s="162">
        <v>2026</v>
      </c>
      <c r="O13" s="162">
        <v>2027</v>
      </c>
      <c r="P13" s="162">
        <v>2028</v>
      </c>
      <c r="Q13" s="162">
        <v>2029</v>
      </c>
      <c r="R13" s="162">
        <v>2030</v>
      </c>
      <c r="S13" s="162">
        <v>2031</v>
      </c>
      <c r="T13" s="162">
        <v>2032</v>
      </c>
      <c r="U13" s="162">
        <v>2033</v>
      </c>
      <c r="V13" s="162">
        <v>2034</v>
      </c>
      <c r="W13" s="162">
        <v>2035</v>
      </c>
    </row>
    <row r="14" spans="1:23">
      <c r="A14" s="159"/>
      <c r="B14" s="161" t="s">
        <v>231</v>
      </c>
      <c r="C14" s="177">
        <v>0.05</v>
      </c>
      <c r="D14" s="177">
        <v>0.2</v>
      </c>
      <c r="E14" s="177">
        <v>0.2</v>
      </c>
      <c r="F14" s="177">
        <v>0.2</v>
      </c>
      <c r="G14" s="177">
        <v>0.2</v>
      </c>
      <c r="H14" s="177">
        <v>0.15</v>
      </c>
      <c r="I14" s="177">
        <v>0</v>
      </c>
      <c r="J14" s="177">
        <v>0</v>
      </c>
      <c r="K14" s="177">
        <v>0</v>
      </c>
      <c r="L14" s="177">
        <v>0</v>
      </c>
      <c r="M14" s="177">
        <v>0</v>
      </c>
      <c r="N14" s="177">
        <v>0</v>
      </c>
      <c r="O14" s="177">
        <v>0</v>
      </c>
      <c r="P14" s="177">
        <v>0</v>
      </c>
      <c r="Q14" s="177">
        <v>0</v>
      </c>
      <c r="R14" s="177">
        <v>0</v>
      </c>
      <c r="S14" s="177">
        <v>0</v>
      </c>
      <c r="T14" s="177">
        <v>0</v>
      </c>
      <c r="U14" s="177">
        <v>0</v>
      </c>
      <c r="V14" s="177">
        <v>0</v>
      </c>
      <c r="W14" s="177">
        <v>0</v>
      </c>
    </row>
    <row r="15" spans="1:23">
      <c r="A15" s="159"/>
      <c r="B15" s="161" t="s">
        <v>237</v>
      </c>
      <c r="C15" s="177">
        <f>C14</f>
        <v>0.05</v>
      </c>
      <c r="D15" s="177">
        <f>C15+D14</f>
        <v>0.25</v>
      </c>
      <c r="E15" s="177">
        <f t="shared" ref="E15:W15" si="0">D15+E14</f>
        <v>0.45</v>
      </c>
      <c r="F15" s="177">
        <f t="shared" si="0"/>
        <v>0.65</v>
      </c>
      <c r="G15" s="177">
        <f t="shared" si="0"/>
        <v>0.85000000000000009</v>
      </c>
      <c r="H15" s="177">
        <f t="shared" si="0"/>
        <v>1</v>
      </c>
      <c r="I15" s="177">
        <f t="shared" si="0"/>
        <v>1</v>
      </c>
      <c r="J15" s="177">
        <f t="shared" si="0"/>
        <v>1</v>
      </c>
      <c r="K15" s="177">
        <f t="shared" si="0"/>
        <v>1</v>
      </c>
      <c r="L15" s="177">
        <f t="shared" si="0"/>
        <v>1</v>
      </c>
      <c r="M15" s="177">
        <f t="shared" si="0"/>
        <v>1</v>
      </c>
      <c r="N15" s="177">
        <f t="shared" si="0"/>
        <v>1</v>
      </c>
      <c r="O15" s="177">
        <f t="shared" si="0"/>
        <v>1</v>
      </c>
      <c r="P15" s="177">
        <f t="shared" si="0"/>
        <v>1</v>
      </c>
      <c r="Q15" s="177">
        <f t="shared" si="0"/>
        <v>1</v>
      </c>
      <c r="R15" s="177">
        <f t="shared" si="0"/>
        <v>1</v>
      </c>
      <c r="S15" s="177">
        <f t="shared" si="0"/>
        <v>1</v>
      </c>
      <c r="T15" s="177">
        <f t="shared" si="0"/>
        <v>1</v>
      </c>
      <c r="U15" s="177">
        <f t="shared" si="0"/>
        <v>1</v>
      </c>
      <c r="V15" s="177">
        <f t="shared" si="0"/>
        <v>1</v>
      </c>
      <c r="W15" s="177">
        <f t="shared" si="0"/>
        <v>1</v>
      </c>
    </row>
    <row r="16" spans="1:23">
      <c r="A16" s="159"/>
      <c r="B16" s="161" t="s">
        <v>232</v>
      </c>
      <c r="C16" s="177">
        <v>0.01</v>
      </c>
      <c r="D16" s="177">
        <v>0.01</v>
      </c>
      <c r="E16" s="177">
        <v>0.01</v>
      </c>
      <c r="F16" s="177">
        <v>0.01</v>
      </c>
      <c r="G16" s="177">
        <v>0.01</v>
      </c>
      <c r="H16" s="177">
        <v>0.01</v>
      </c>
      <c r="I16" s="177">
        <v>0.01</v>
      </c>
      <c r="J16" s="177">
        <v>0.01</v>
      </c>
      <c r="K16" s="177">
        <v>0.01</v>
      </c>
      <c r="L16" s="177">
        <v>0.01</v>
      </c>
      <c r="M16" s="177">
        <v>0.01</v>
      </c>
      <c r="N16" s="177">
        <v>0.01</v>
      </c>
      <c r="O16" s="177">
        <v>0.01</v>
      </c>
      <c r="P16" s="177">
        <v>0.01</v>
      </c>
      <c r="Q16" s="177">
        <v>0.01</v>
      </c>
      <c r="R16" s="177">
        <v>0.01</v>
      </c>
      <c r="S16" s="177">
        <v>0.01</v>
      </c>
      <c r="T16" s="177">
        <v>0.01</v>
      </c>
      <c r="U16" s="177">
        <v>0.01</v>
      </c>
      <c r="V16" s="177">
        <v>0.01</v>
      </c>
      <c r="W16" s="177">
        <v>0.01</v>
      </c>
    </row>
    <row r="17" spans="1:23" ht="15" customHeight="1">
      <c r="A17" s="159"/>
      <c r="B17" s="161" t="s">
        <v>357</v>
      </c>
      <c r="C17" s="177">
        <f>1-'Com-Capacity-Base'!C17</f>
        <v>0.5</v>
      </c>
      <c r="D17" s="177">
        <f>1-'Com-Capacity-Base'!D17</f>
        <v>0.55000000000000004</v>
      </c>
      <c r="E17" s="177">
        <f>1-'Com-Capacity-Base'!E17</f>
        <v>0.6</v>
      </c>
      <c r="F17" s="177">
        <f>1-'Com-Capacity-Base'!F17</f>
        <v>0.64999999999999991</v>
      </c>
      <c r="G17" s="177">
        <f>1-'Com-Capacity-Base'!G17</f>
        <v>0.7</v>
      </c>
      <c r="H17" s="177">
        <f>1-'Com-Capacity-Base'!H17</f>
        <v>0.7</v>
      </c>
      <c r="I17" s="177">
        <f>1-'Com-Capacity-Base'!I17</f>
        <v>0.7</v>
      </c>
      <c r="J17" s="177">
        <f>1-'Com-Capacity-Base'!J17</f>
        <v>0.7</v>
      </c>
      <c r="K17" s="177">
        <f>1-'Com-Capacity-Base'!K17</f>
        <v>0.7</v>
      </c>
      <c r="L17" s="177">
        <f>1-'Com-Capacity-Base'!L17</f>
        <v>0.7</v>
      </c>
      <c r="M17" s="177">
        <f>1-'Com-Capacity-Base'!M17</f>
        <v>0.7</v>
      </c>
      <c r="N17" s="177">
        <f>1-'Com-Capacity-Base'!N17</f>
        <v>0.7</v>
      </c>
      <c r="O17" s="177">
        <f>1-'Com-Capacity-Base'!O17</f>
        <v>0.7</v>
      </c>
      <c r="P17" s="177">
        <f>1-'Com-Capacity-Base'!P17</f>
        <v>0.7</v>
      </c>
      <c r="Q17" s="177">
        <f>1-'Com-Capacity-Base'!Q17</f>
        <v>0.7</v>
      </c>
      <c r="R17" s="177">
        <f>1-'Com-Capacity-Base'!R17</f>
        <v>0.7</v>
      </c>
      <c r="S17" s="177">
        <f>1-'Com-Capacity-Base'!S17</f>
        <v>0.7</v>
      </c>
      <c r="T17" s="177">
        <f>1-'Com-Capacity-Base'!T17</f>
        <v>0.7</v>
      </c>
      <c r="U17" s="177">
        <f>1-'Com-Capacity-Base'!U17</f>
        <v>0.7</v>
      </c>
      <c r="V17" s="177">
        <f>1-'Com-Capacity-Base'!V17</f>
        <v>0.7</v>
      </c>
      <c r="W17" s="177">
        <f>1-'Com-Capacity-Base'!W17</f>
        <v>0.7</v>
      </c>
    </row>
    <row r="18" spans="1:23" ht="16.2" thickBot="1">
      <c r="A18" s="170"/>
      <c r="B18" s="170"/>
      <c r="C18" s="170"/>
      <c r="D18" s="178"/>
      <c r="E18" s="178"/>
      <c r="F18" s="178"/>
      <c r="G18" s="178"/>
      <c r="H18" s="178"/>
      <c r="I18" s="178"/>
      <c r="J18" s="178"/>
      <c r="K18" s="178"/>
      <c r="L18" s="178"/>
      <c r="M18" s="179"/>
      <c r="N18" s="179"/>
      <c r="O18" s="179"/>
      <c r="P18" s="179"/>
      <c r="Q18" s="179"/>
      <c r="R18" s="179"/>
      <c r="S18" s="179"/>
      <c r="T18" s="179"/>
      <c r="U18" s="179"/>
      <c r="V18" s="179"/>
      <c r="W18" s="179"/>
    </row>
    <row r="19" spans="1:23" ht="15.6">
      <c r="A19" s="154" t="s">
        <v>291</v>
      </c>
      <c r="B19" s="155"/>
      <c r="C19" s="155"/>
      <c r="D19" s="156"/>
      <c r="E19" s="156"/>
      <c r="F19" s="156"/>
      <c r="G19" s="156"/>
      <c r="H19" s="156"/>
      <c r="I19" s="156"/>
      <c r="J19" s="156"/>
      <c r="K19" s="156"/>
      <c r="L19" s="156"/>
      <c r="M19" s="157"/>
      <c r="N19" s="157"/>
      <c r="O19" s="157"/>
      <c r="P19" s="157"/>
      <c r="Q19" s="157"/>
      <c r="R19" s="157"/>
      <c r="S19" s="157"/>
      <c r="T19" s="157"/>
      <c r="U19" s="157"/>
      <c r="V19" s="157"/>
      <c r="W19" s="158"/>
    </row>
    <row r="20" spans="1:23" ht="15.6">
      <c r="A20" s="188"/>
      <c r="B20" s="161" t="s">
        <v>241</v>
      </c>
      <c r="C20" s="176">
        <f>KeyAssumptions!U9</f>
        <v>0.17399999999999999</v>
      </c>
      <c r="D20" s="166"/>
      <c r="E20" s="166"/>
      <c r="F20" s="166"/>
      <c r="G20" s="166"/>
      <c r="H20" s="166"/>
      <c r="I20" s="166"/>
      <c r="J20" s="166"/>
      <c r="K20" s="166"/>
      <c r="L20" s="166"/>
      <c r="M20" s="167"/>
      <c r="N20" s="167"/>
      <c r="O20" s="167"/>
      <c r="P20" s="167"/>
      <c r="Q20" s="167"/>
      <c r="R20" s="167"/>
      <c r="S20" s="167"/>
      <c r="T20" s="167"/>
      <c r="U20" s="167"/>
      <c r="V20" s="167"/>
      <c r="W20" s="168"/>
    </row>
    <row r="21" spans="1:23" ht="15.6">
      <c r="A21" s="188"/>
      <c r="B21" s="161" t="s">
        <v>207</v>
      </c>
      <c r="C21" s="177">
        <f>KeyAssumptions!V9</f>
        <v>0.15</v>
      </c>
      <c r="D21" s="166"/>
      <c r="E21" s="166"/>
      <c r="F21" s="166"/>
      <c r="G21" s="166"/>
      <c r="H21" s="166"/>
      <c r="I21" s="166"/>
      <c r="J21" s="166"/>
      <c r="K21" s="166"/>
      <c r="L21" s="166"/>
      <c r="M21" s="167"/>
      <c r="N21" s="167"/>
      <c r="O21" s="167"/>
      <c r="P21" s="167"/>
      <c r="Q21" s="167"/>
      <c r="R21" s="167"/>
      <c r="S21" s="167"/>
      <c r="T21" s="167"/>
      <c r="U21" s="167"/>
      <c r="V21" s="167"/>
      <c r="W21" s="168"/>
    </row>
    <row r="22" spans="1:23" ht="15.75" customHeight="1">
      <c r="A22" s="188"/>
      <c r="B22" s="191" t="s">
        <v>355</v>
      </c>
      <c r="C22" s="177">
        <v>0.95</v>
      </c>
      <c r="D22" s="166"/>
      <c r="E22" s="166"/>
      <c r="F22" s="166"/>
      <c r="G22" s="166"/>
      <c r="H22" s="166"/>
      <c r="I22" s="166"/>
      <c r="J22" s="166"/>
      <c r="K22" s="166"/>
      <c r="L22" s="166"/>
      <c r="M22" s="167"/>
      <c r="N22" s="167"/>
      <c r="O22" s="167"/>
      <c r="P22" s="167"/>
      <c r="Q22" s="167"/>
      <c r="R22" s="167"/>
      <c r="S22" s="167"/>
      <c r="T22" s="167"/>
      <c r="U22" s="167"/>
      <c r="V22" s="167"/>
      <c r="W22" s="168"/>
    </row>
    <row r="23" spans="1:23" ht="15.6">
      <c r="A23" s="188"/>
      <c r="B23" s="160"/>
      <c r="C23" s="160"/>
      <c r="D23" s="166"/>
      <c r="E23" s="166"/>
      <c r="F23" s="166"/>
      <c r="G23" s="166"/>
      <c r="H23" s="166"/>
      <c r="I23" s="166"/>
      <c r="J23" s="166"/>
      <c r="K23" s="166"/>
      <c r="L23" s="166"/>
      <c r="M23" s="167"/>
      <c r="N23" s="167"/>
      <c r="O23" s="167"/>
      <c r="P23" s="167"/>
      <c r="Q23" s="167"/>
      <c r="R23" s="167"/>
      <c r="S23" s="167"/>
      <c r="T23" s="167"/>
      <c r="U23" s="167"/>
      <c r="V23" s="167"/>
      <c r="W23" s="168"/>
    </row>
    <row r="24" spans="1:23">
      <c r="A24" s="159"/>
      <c r="B24" s="161" t="s">
        <v>1</v>
      </c>
      <c r="C24" s="162">
        <v>2015</v>
      </c>
      <c r="D24" s="162">
        <v>2016</v>
      </c>
      <c r="E24" s="162">
        <v>2017</v>
      </c>
      <c r="F24" s="162">
        <v>2018</v>
      </c>
      <c r="G24" s="162">
        <v>2019</v>
      </c>
      <c r="H24" s="162">
        <v>2020</v>
      </c>
      <c r="I24" s="162">
        <v>2021</v>
      </c>
      <c r="J24" s="162">
        <v>2022</v>
      </c>
      <c r="K24" s="162">
        <v>2023</v>
      </c>
      <c r="L24" s="162">
        <v>2024</v>
      </c>
      <c r="M24" s="162">
        <v>2025</v>
      </c>
      <c r="N24" s="162">
        <v>2026</v>
      </c>
      <c r="O24" s="162">
        <v>2027</v>
      </c>
      <c r="P24" s="162">
        <v>2028</v>
      </c>
      <c r="Q24" s="162">
        <v>2029</v>
      </c>
      <c r="R24" s="162">
        <v>2030</v>
      </c>
      <c r="S24" s="162">
        <v>2031</v>
      </c>
      <c r="T24" s="162">
        <v>2032</v>
      </c>
      <c r="U24" s="162">
        <v>2033</v>
      </c>
      <c r="V24" s="162">
        <v>2034</v>
      </c>
      <c r="W24" s="163">
        <v>2035</v>
      </c>
    </row>
    <row r="25" spans="1:23">
      <c r="A25" s="159"/>
      <c r="B25" s="161" t="s">
        <v>231</v>
      </c>
      <c r="C25" s="177">
        <v>0.05</v>
      </c>
      <c r="D25" s="177">
        <v>0.2</v>
      </c>
      <c r="E25" s="177">
        <v>0.2</v>
      </c>
      <c r="F25" s="177">
        <v>0.2</v>
      </c>
      <c r="G25" s="177">
        <v>0.2</v>
      </c>
      <c r="H25" s="177">
        <v>0.15</v>
      </c>
      <c r="I25" s="177">
        <v>0</v>
      </c>
      <c r="J25" s="177">
        <v>0</v>
      </c>
      <c r="K25" s="177">
        <v>0</v>
      </c>
      <c r="L25" s="177">
        <v>0</v>
      </c>
      <c r="M25" s="177">
        <v>0</v>
      </c>
      <c r="N25" s="177">
        <v>0</v>
      </c>
      <c r="O25" s="177">
        <v>0</v>
      </c>
      <c r="P25" s="177">
        <v>0</v>
      </c>
      <c r="Q25" s="177">
        <v>0</v>
      </c>
      <c r="R25" s="177">
        <v>0</v>
      </c>
      <c r="S25" s="177">
        <v>0</v>
      </c>
      <c r="T25" s="177">
        <v>0</v>
      </c>
      <c r="U25" s="177">
        <v>0</v>
      </c>
      <c r="V25" s="177">
        <v>0</v>
      </c>
      <c r="W25" s="177">
        <v>0</v>
      </c>
    </row>
    <row r="26" spans="1:23">
      <c r="A26" s="159"/>
      <c r="B26" s="161" t="s">
        <v>237</v>
      </c>
      <c r="C26" s="177">
        <f>C25</f>
        <v>0.05</v>
      </c>
      <c r="D26" s="177">
        <f>C26+D25</f>
        <v>0.25</v>
      </c>
      <c r="E26" s="177">
        <f t="shared" ref="E26:W26" si="1">D26+E25</f>
        <v>0.45</v>
      </c>
      <c r="F26" s="177">
        <f t="shared" si="1"/>
        <v>0.65</v>
      </c>
      <c r="G26" s="177">
        <f t="shared" si="1"/>
        <v>0.85000000000000009</v>
      </c>
      <c r="H26" s="177">
        <f t="shared" si="1"/>
        <v>1</v>
      </c>
      <c r="I26" s="177">
        <f t="shared" si="1"/>
        <v>1</v>
      </c>
      <c r="J26" s="177">
        <f t="shared" si="1"/>
        <v>1</v>
      </c>
      <c r="K26" s="177">
        <f t="shared" si="1"/>
        <v>1</v>
      </c>
      <c r="L26" s="177">
        <f t="shared" si="1"/>
        <v>1</v>
      </c>
      <c r="M26" s="177">
        <f t="shared" si="1"/>
        <v>1</v>
      </c>
      <c r="N26" s="177">
        <f t="shared" si="1"/>
        <v>1</v>
      </c>
      <c r="O26" s="177">
        <f t="shared" si="1"/>
        <v>1</v>
      </c>
      <c r="P26" s="177">
        <f t="shared" si="1"/>
        <v>1</v>
      </c>
      <c r="Q26" s="177">
        <f t="shared" si="1"/>
        <v>1</v>
      </c>
      <c r="R26" s="177">
        <f t="shared" si="1"/>
        <v>1</v>
      </c>
      <c r="S26" s="177">
        <f t="shared" si="1"/>
        <v>1</v>
      </c>
      <c r="T26" s="177">
        <f t="shared" si="1"/>
        <v>1</v>
      </c>
      <c r="U26" s="177">
        <f t="shared" si="1"/>
        <v>1</v>
      </c>
      <c r="V26" s="177">
        <f t="shared" si="1"/>
        <v>1</v>
      </c>
      <c r="W26" s="177">
        <f t="shared" si="1"/>
        <v>1</v>
      </c>
    </row>
    <row r="27" spans="1:23">
      <c r="A27" s="159"/>
      <c r="B27" s="161" t="s">
        <v>232</v>
      </c>
      <c r="C27" s="177">
        <v>0.01</v>
      </c>
      <c r="D27" s="177">
        <v>0.01</v>
      </c>
      <c r="E27" s="177">
        <v>0.01</v>
      </c>
      <c r="F27" s="177">
        <v>0.01</v>
      </c>
      <c r="G27" s="177">
        <v>0.01</v>
      </c>
      <c r="H27" s="177">
        <v>0.01</v>
      </c>
      <c r="I27" s="177">
        <v>0.01</v>
      </c>
      <c r="J27" s="177">
        <v>0.01</v>
      </c>
      <c r="K27" s="177">
        <v>0.01</v>
      </c>
      <c r="L27" s="177">
        <v>0.01</v>
      </c>
      <c r="M27" s="177">
        <v>0.01</v>
      </c>
      <c r="N27" s="177">
        <v>0.01</v>
      </c>
      <c r="O27" s="177">
        <v>0.01</v>
      </c>
      <c r="P27" s="177">
        <v>0.01</v>
      </c>
      <c r="Q27" s="177">
        <v>0.01</v>
      </c>
      <c r="R27" s="177">
        <v>0.01</v>
      </c>
      <c r="S27" s="177">
        <v>0.01</v>
      </c>
      <c r="T27" s="177">
        <v>0.01</v>
      </c>
      <c r="U27" s="177">
        <v>0.01</v>
      </c>
      <c r="V27" s="177">
        <v>0.01</v>
      </c>
      <c r="W27" s="177">
        <v>0.01</v>
      </c>
    </row>
    <row r="28" spans="1:23">
      <c r="A28" s="159"/>
      <c r="B28" s="161" t="s">
        <v>338</v>
      </c>
      <c r="C28" s="177">
        <f>1-'Com-Capacity-Base'!C28</f>
        <v>0.5</v>
      </c>
      <c r="D28" s="177">
        <f>1-'Com-Capacity-Base'!D28</f>
        <v>0.55000000000000004</v>
      </c>
      <c r="E28" s="177">
        <f>1-'Com-Capacity-Base'!E28</f>
        <v>0.6</v>
      </c>
      <c r="F28" s="177">
        <f>1-'Com-Capacity-Base'!F28</f>
        <v>0.64999999999999991</v>
      </c>
      <c r="G28" s="177">
        <f>1-'Com-Capacity-Base'!G28</f>
        <v>0.7</v>
      </c>
      <c r="H28" s="177">
        <f>1-'Com-Capacity-Base'!H28</f>
        <v>0.7</v>
      </c>
      <c r="I28" s="177">
        <f>1-'Com-Capacity-Base'!I28</f>
        <v>0.7</v>
      </c>
      <c r="J28" s="177">
        <f>1-'Com-Capacity-Base'!J28</f>
        <v>0.7</v>
      </c>
      <c r="K28" s="177">
        <f>1-'Com-Capacity-Base'!K28</f>
        <v>0.7</v>
      </c>
      <c r="L28" s="177">
        <f>1-'Com-Capacity-Base'!L28</f>
        <v>0.7</v>
      </c>
      <c r="M28" s="177">
        <f>1-'Com-Capacity-Base'!M28</f>
        <v>0.7</v>
      </c>
      <c r="N28" s="177">
        <f>1-'Com-Capacity-Base'!N28</f>
        <v>0.7</v>
      </c>
      <c r="O28" s="177">
        <f>1-'Com-Capacity-Base'!O28</f>
        <v>0.7</v>
      </c>
      <c r="P28" s="177">
        <f>1-'Com-Capacity-Base'!P28</f>
        <v>0.7</v>
      </c>
      <c r="Q28" s="177">
        <f>1-'Com-Capacity-Base'!Q28</f>
        <v>0.7</v>
      </c>
      <c r="R28" s="177">
        <f>1-'Com-Capacity-Base'!R28</f>
        <v>0.7</v>
      </c>
      <c r="S28" s="177">
        <f>1-'Com-Capacity-Base'!S28</f>
        <v>0.7</v>
      </c>
      <c r="T28" s="177">
        <f>1-'Com-Capacity-Base'!T28</f>
        <v>0.7</v>
      </c>
      <c r="U28" s="177">
        <f>1-'Com-Capacity-Base'!U28</f>
        <v>0.7</v>
      </c>
      <c r="V28" s="177">
        <f>1-'Com-Capacity-Base'!V28</f>
        <v>0.7</v>
      </c>
      <c r="W28" s="177">
        <f>1-'Com-Capacity-Base'!W28</f>
        <v>0.7</v>
      </c>
    </row>
    <row r="29" spans="1:23" ht="16.2" thickBot="1">
      <c r="A29" s="170"/>
      <c r="B29" s="170"/>
      <c r="C29" s="170"/>
      <c r="D29" s="178"/>
      <c r="E29" s="178"/>
      <c r="F29" s="178"/>
      <c r="G29" s="178"/>
      <c r="H29" s="178"/>
      <c r="I29" s="178"/>
      <c r="J29" s="178"/>
      <c r="K29" s="178"/>
      <c r="L29" s="178"/>
      <c r="M29" s="179"/>
      <c r="N29" s="179"/>
      <c r="O29" s="179"/>
      <c r="P29" s="179"/>
      <c r="Q29" s="179"/>
      <c r="R29" s="179"/>
      <c r="S29" s="179"/>
      <c r="T29" s="179"/>
      <c r="U29" s="179"/>
      <c r="V29" s="179"/>
      <c r="W29" s="179"/>
    </row>
    <row r="30" spans="1:23" ht="15.6">
      <c r="A30" s="154" t="s">
        <v>358</v>
      </c>
      <c r="B30" s="155"/>
      <c r="C30" s="155"/>
      <c r="D30" s="156"/>
      <c r="E30" s="156"/>
      <c r="F30" s="156"/>
      <c r="G30" s="156"/>
      <c r="H30" s="156"/>
      <c r="I30" s="156"/>
      <c r="J30" s="156"/>
      <c r="K30" s="156"/>
      <c r="L30" s="156"/>
      <c r="M30" s="157"/>
      <c r="N30" s="157"/>
      <c r="O30" s="157"/>
      <c r="P30" s="157"/>
      <c r="Q30" s="157"/>
      <c r="R30" s="157"/>
      <c r="S30" s="157"/>
      <c r="T30" s="157"/>
      <c r="U30" s="157"/>
      <c r="V30" s="157"/>
      <c r="W30" s="158"/>
    </row>
    <row r="31" spans="1:23" ht="15.6">
      <c r="A31" s="188"/>
      <c r="B31" s="161" t="s">
        <v>241</v>
      </c>
      <c r="C31" s="176">
        <f>KeyAssumptions!U10</f>
        <v>0.25</v>
      </c>
      <c r="D31" s="166"/>
      <c r="E31" s="166"/>
      <c r="F31" s="166"/>
      <c r="G31" s="166"/>
      <c r="H31" s="166"/>
      <c r="I31" s="166"/>
      <c r="J31" s="166"/>
      <c r="K31" s="166"/>
      <c r="L31" s="166"/>
      <c r="M31" s="167"/>
      <c r="N31" s="167"/>
      <c r="O31" s="167"/>
      <c r="P31" s="167"/>
      <c r="Q31" s="167"/>
      <c r="R31" s="167"/>
      <c r="S31" s="167"/>
      <c r="T31" s="167"/>
      <c r="U31" s="167"/>
      <c r="V31" s="167"/>
      <c r="W31" s="168"/>
    </row>
    <row r="32" spans="1:23" ht="15.6">
      <c r="A32" s="188"/>
      <c r="B32" s="161" t="s">
        <v>207</v>
      </c>
      <c r="C32" s="177">
        <f>KeyAssumptions!V10</f>
        <v>0.15</v>
      </c>
      <c r="D32" s="166"/>
      <c r="E32" s="166"/>
      <c r="F32" s="166"/>
      <c r="G32" s="166"/>
      <c r="H32" s="166"/>
      <c r="I32" s="166"/>
      <c r="J32" s="166"/>
      <c r="K32" s="166"/>
      <c r="L32" s="166"/>
      <c r="M32" s="167"/>
      <c r="N32" s="167"/>
      <c r="O32" s="167"/>
      <c r="P32" s="167"/>
      <c r="Q32" s="167"/>
      <c r="R32" s="167"/>
      <c r="S32" s="167"/>
      <c r="T32" s="167"/>
      <c r="U32" s="167"/>
      <c r="V32" s="167"/>
      <c r="W32" s="168"/>
    </row>
    <row r="33" spans="1:23" ht="15.75" customHeight="1">
      <c r="A33" s="188"/>
      <c r="B33" s="191" t="s">
        <v>355</v>
      </c>
      <c r="C33" s="177">
        <v>0.95</v>
      </c>
      <c r="D33" s="166"/>
      <c r="E33" s="166"/>
      <c r="F33" s="166"/>
      <c r="G33" s="166"/>
      <c r="H33" s="166"/>
      <c r="I33" s="166"/>
      <c r="J33" s="166"/>
      <c r="K33" s="166"/>
      <c r="L33" s="166"/>
      <c r="M33" s="167"/>
      <c r="N33" s="167"/>
      <c r="O33" s="167"/>
      <c r="P33" s="167"/>
      <c r="Q33" s="167"/>
      <c r="R33" s="167"/>
      <c r="S33" s="167"/>
      <c r="T33" s="167"/>
      <c r="U33" s="167"/>
      <c r="V33" s="167"/>
      <c r="W33" s="168"/>
    </row>
    <row r="34" spans="1:23" ht="15.6">
      <c r="A34" s="188"/>
      <c r="B34" s="160"/>
      <c r="C34" s="160"/>
      <c r="D34" s="166"/>
      <c r="E34" s="166"/>
      <c r="F34" s="166"/>
      <c r="G34" s="166"/>
      <c r="H34" s="166"/>
      <c r="I34" s="166"/>
      <c r="J34" s="166"/>
      <c r="K34" s="166"/>
      <c r="L34" s="166"/>
      <c r="M34" s="167"/>
      <c r="N34" s="167"/>
      <c r="O34" s="167"/>
      <c r="P34" s="167"/>
      <c r="Q34" s="167"/>
      <c r="R34" s="167"/>
      <c r="S34" s="167"/>
      <c r="T34" s="167"/>
      <c r="U34" s="167"/>
      <c r="V34" s="167"/>
      <c r="W34" s="168"/>
    </row>
    <row r="35" spans="1:23">
      <c r="A35" s="159"/>
      <c r="B35" s="161" t="s">
        <v>1</v>
      </c>
      <c r="C35" s="162">
        <v>2015</v>
      </c>
      <c r="D35" s="162">
        <v>2016</v>
      </c>
      <c r="E35" s="162">
        <v>2017</v>
      </c>
      <c r="F35" s="162">
        <v>2018</v>
      </c>
      <c r="G35" s="162">
        <v>2019</v>
      </c>
      <c r="H35" s="162">
        <v>2020</v>
      </c>
      <c r="I35" s="162">
        <v>2021</v>
      </c>
      <c r="J35" s="162">
        <v>2022</v>
      </c>
      <c r="K35" s="162">
        <v>2023</v>
      </c>
      <c r="L35" s="162">
        <v>2024</v>
      </c>
      <c r="M35" s="162">
        <v>2025</v>
      </c>
      <c r="N35" s="162">
        <v>2026</v>
      </c>
      <c r="O35" s="162">
        <v>2027</v>
      </c>
      <c r="P35" s="162">
        <v>2028</v>
      </c>
      <c r="Q35" s="162">
        <v>2029</v>
      </c>
      <c r="R35" s="162">
        <v>2030</v>
      </c>
      <c r="S35" s="162">
        <v>2031</v>
      </c>
      <c r="T35" s="162">
        <v>2032</v>
      </c>
      <c r="U35" s="162">
        <v>2033</v>
      </c>
      <c r="V35" s="162">
        <v>2034</v>
      </c>
      <c r="W35" s="163">
        <v>2035</v>
      </c>
    </row>
    <row r="36" spans="1:23">
      <c r="A36" s="159"/>
      <c r="B36" s="161" t="s">
        <v>231</v>
      </c>
      <c r="C36" s="177">
        <v>0.05</v>
      </c>
      <c r="D36" s="177">
        <v>0.2</v>
      </c>
      <c r="E36" s="177">
        <v>0.2</v>
      </c>
      <c r="F36" s="177">
        <v>0.2</v>
      </c>
      <c r="G36" s="177">
        <v>0.2</v>
      </c>
      <c r="H36" s="177">
        <v>0.15</v>
      </c>
      <c r="I36" s="177">
        <v>0</v>
      </c>
      <c r="J36" s="177">
        <v>0</v>
      </c>
      <c r="K36" s="177">
        <v>0</v>
      </c>
      <c r="L36" s="177">
        <v>0</v>
      </c>
      <c r="M36" s="177">
        <v>0</v>
      </c>
      <c r="N36" s="177">
        <v>0</v>
      </c>
      <c r="O36" s="177">
        <v>0</v>
      </c>
      <c r="P36" s="177">
        <v>0</v>
      </c>
      <c r="Q36" s="177">
        <v>0</v>
      </c>
      <c r="R36" s="177">
        <v>0</v>
      </c>
      <c r="S36" s="177">
        <v>0</v>
      </c>
      <c r="T36" s="177">
        <v>0</v>
      </c>
      <c r="U36" s="177">
        <v>0</v>
      </c>
      <c r="V36" s="177">
        <v>0</v>
      </c>
      <c r="W36" s="177">
        <v>0</v>
      </c>
    </row>
    <row r="37" spans="1:23">
      <c r="A37" s="159"/>
      <c r="B37" s="161" t="s">
        <v>237</v>
      </c>
      <c r="C37" s="177">
        <f>C36</f>
        <v>0.05</v>
      </c>
      <c r="D37" s="177">
        <f t="shared" ref="D37:W37" si="2">C37+D36</f>
        <v>0.25</v>
      </c>
      <c r="E37" s="177">
        <f t="shared" si="2"/>
        <v>0.45</v>
      </c>
      <c r="F37" s="177">
        <f t="shared" si="2"/>
        <v>0.65</v>
      </c>
      <c r="G37" s="177">
        <f t="shared" si="2"/>
        <v>0.85000000000000009</v>
      </c>
      <c r="H37" s="177">
        <f t="shared" si="2"/>
        <v>1</v>
      </c>
      <c r="I37" s="177">
        <f t="shared" si="2"/>
        <v>1</v>
      </c>
      <c r="J37" s="177">
        <f t="shared" si="2"/>
        <v>1</v>
      </c>
      <c r="K37" s="177">
        <f t="shared" si="2"/>
        <v>1</v>
      </c>
      <c r="L37" s="177">
        <f t="shared" si="2"/>
        <v>1</v>
      </c>
      <c r="M37" s="177">
        <f t="shared" si="2"/>
        <v>1</v>
      </c>
      <c r="N37" s="177">
        <f t="shared" si="2"/>
        <v>1</v>
      </c>
      <c r="O37" s="177">
        <f t="shared" si="2"/>
        <v>1</v>
      </c>
      <c r="P37" s="177">
        <f t="shared" si="2"/>
        <v>1</v>
      </c>
      <c r="Q37" s="177">
        <f t="shared" si="2"/>
        <v>1</v>
      </c>
      <c r="R37" s="177">
        <f t="shared" si="2"/>
        <v>1</v>
      </c>
      <c r="S37" s="177">
        <f t="shared" si="2"/>
        <v>1</v>
      </c>
      <c r="T37" s="177">
        <f t="shared" si="2"/>
        <v>1</v>
      </c>
      <c r="U37" s="177">
        <f t="shared" si="2"/>
        <v>1</v>
      </c>
      <c r="V37" s="177">
        <f t="shared" si="2"/>
        <v>1</v>
      </c>
      <c r="W37" s="177">
        <f t="shared" si="2"/>
        <v>1</v>
      </c>
    </row>
    <row r="38" spans="1:23">
      <c r="A38" s="159"/>
      <c r="B38" s="161" t="s">
        <v>232</v>
      </c>
      <c r="C38" s="177">
        <v>0.01</v>
      </c>
      <c r="D38" s="177">
        <v>0.01</v>
      </c>
      <c r="E38" s="177">
        <v>0.01</v>
      </c>
      <c r="F38" s="177">
        <v>0.01</v>
      </c>
      <c r="G38" s="177">
        <v>0.01</v>
      </c>
      <c r="H38" s="177">
        <v>0.01</v>
      </c>
      <c r="I38" s="177">
        <v>0.01</v>
      </c>
      <c r="J38" s="177">
        <v>0.01</v>
      </c>
      <c r="K38" s="177">
        <v>0.01</v>
      </c>
      <c r="L38" s="177">
        <v>0.01</v>
      </c>
      <c r="M38" s="177">
        <v>0.01</v>
      </c>
      <c r="N38" s="177">
        <v>0.01</v>
      </c>
      <c r="O38" s="177">
        <v>0.01</v>
      </c>
      <c r="P38" s="177">
        <v>0.01</v>
      </c>
      <c r="Q38" s="177">
        <v>0.01</v>
      </c>
      <c r="R38" s="177">
        <v>0.01</v>
      </c>
      <c r="S38" s="177">
        <v>0.01</v>
      </c>
      <c r="T38" s="177">
        <v>0.01</v>
      </c>
      <c r="U38" s="177">
        <v>0.01</v>
      </c>
      <c r="V38" s="177">
        <v>0.01</v>
      </c>
      <c r="W38" s="177">
        <v>0.01</v>
      </c>
    </row>
    <row r="39" spans="1:23">
      <c r="A39" s="159"/>
      <c r="B39" s="161" t="s">
        <v>300</v>
      </c>
      <c r="C39" s="177">
        <v>0.2</v>
      </c>
      <c r="D39" s="177">
        <v>0.2</v>
      </c>
      <c r="E39" s="177">
        <v>0.2</v>
      </c>
      <c r="F39" s="177">
        <v>0.2</v>
      </c>
      <c r="G39" s="177">
        <v>0.2</v>
      </c>
      <c r="H39" s="177">
        <v>0.2</v>
      </c>
      <c r="I39" s="177">
        <v>0.2</v>
      </c>
      <c r="J39" s="177">
        <v>0.2</v>
      </c>
      <c r="K39" s="177">
        <v>0.2</v>
      </c>
      <c r="L39" s="177">
        <v>0.2</v>
      </c>
      <c r="M39" s="177">
        <v>0.2</v>
      </c>
      <c r="N39" s="177">
        <v>0.2</v>
      </c>
      <c r="O39" s="177">
        <v>0.2</v>
      </c>
      <c r="P39" s="177">
        <v>0.2</v>
      </c>
      <c r="Q39" s="177">
        <v>0.2</v>
      </c>
      <c r="R39" s="177">
        <v>0.2</v>
      </c>
      <c r="S39" s="177">
        <v>0.2</v>
      </c>
      <c r="T39" s="177">
        <v>0.2</v>
      </c>
      <c r="U39" s="177">
        <v>0.2</v>
      </c>
      <c r="V39" s="177">
        <v>0.2</v>
      </c>
      <c r="W39" s="177">
        <v>0.2</v>
      </c>
    </row>
    <row r="40" spans="1:23" ht="13.8" thickBot="1">
      <c r="A40" s="180"/>
      <c r="B40" s="180"/>
      <c r="C40" s="175"/>
      <c r="D40" s="175"/>
      <c r="E40" s="175"/>
      <c r="F40" s="175"/>
      <c r="G40" s="175"/>
      <c r="H40" s="175"/>
      <c r="I40" s="175"/>
      <c r="J40" s="175"/>
      <c r="K40" s="175"/>
      <c r="L40" s="175"/>
      <c r="M40" s="175"/>
      <c r="N40" s="175"/>
      <c r="O40" s="175"/>
      <c r="P40" s="175"/>
      <c r="Q40" s="175"/>
      <c r="R40" s="175"/>
      <c r="S40" s="175"/>
      <c r="T40" s="175"/>
      <c r="U40" s="175"/>
      <c r="V40" s="175"/>
      <c r="W40" s="175"/>
    </row>
    <row r="41" spans="1:23" ht="14.4" thickBot="1">
      <c r="A41" s="189" t="s">
        <v>240</v>
      </c>
      <c r="B41" s="190"/>
      <c r="C41" s="183"/>
      <c r="D41" s="183"/>
      <c r="E41" s="183"/>
      <c r="F41" s="183"/>
      <c r="G41" s="183"/>
      <c r="H41" s="183"/>
      <c r="I41" s="183"/>
      <c r="J41" s="183"/>
      <c r="K41" s="183"/>
      <c r="L41" s="183"/>
      <c r="M41" s="183"/>
      <c r="N41" s="183"/>
      <c r="O41" s="183"/>
      <c r="P41" s="183"/>
      <c r="Q41" s="183"/>
      <c r="R41" s="183"/>
      <c r="S41" s="183"/>
      <c r="T41" s="183"/>
      <c r="U41" s="183"/>
      <c r="V41" s="183"/>
      <c r="W41" s="184"/>
    </row>
    <row r="42" spans="1:23">
      <c r="A42" s="77" t="s">
        <v>212</v>
      </c>
      <c r="B42" s="77"/>
      <c r="F42" s="78"/>
      <c r="G42" s="78"/>
    </row>
    <row r="44" spans="1:23">
      <c r="A44" s="79"/>
      <c r="B44" s="186"/>
      <c r="C44" s="504" t="s">
        <v>213</v>
      </c>
      <c r="D44" s="504"/>
      <c r="E44" s="504"/>
      <c r="F44" s="504"/>
      <c r="G44" s="504"/>
      <c r="H44" s="504"/>
      <c r="I44" s="504"/>
      <c r="J44" s="504"/>
      <c r="K44" s="504"/>
      <c r="L44" s="504"/>
      <c r="M44" s="504"/>
      <c r="N44" s="504"/>
      <c r="O44" s="504"/>
      <c r="P44" s="504"/>
      <c r="Q44" s="504"/>
      <c r="R44" s="504"/>
      <c r="S44" s="504"/>
      <c r="T44" s="504"/>
      <c r="U44" s="504"/>
      <c r="V44" s="504"/>
      <c r="W44" s="504"/>
    </row>
    <row r="45" spans="1:23" ht="16.5" customHeight="1">
      <c r="A45" s="81" t="s">
        <v>214</v>
      </c>
      <c r="B45" s="82"/>
      <c r="C45" s="187">
        <v>2015</v>
      </c>
      <c r="D45" s="187">
        <v>2016</v>
      </c>
      <c r="E45" s="187">
        <v>2017</v>
      </c>
      <c r="F45" s="187">
        <v>2018</v>
      </c>
      <c r="G45" s="187">
        <v>2019</v>
      </c>
      <c r="H45" s="187">
        <v>2020</v>
      </c>
      <c r="I45" s="187">
        <v>2021</v>
      </c>
      <c r="J45" s="187">
        <v>2022</v>
      </c>
      <c r="K45" s="187">
        <v>2023</v>
      </c>
      <c r="L45" s="187">
        <v>2024</v>
      </c>
      <c r="M45" s="187">
        <v>2025</v>
      </c>
      <c r="N45" s="187">
        <v>2026</v>
      </c>
      <c r="O45" s="187">
        <v>2027</v>
      </c>
      <c r="P45" s="187">
        <v>2028</v>
      </c>
      <c r="Q45" s="187">
        <v>2029</v>
      </c>
      <c r="R45" s="187">
        <v>2030</v>
      </c>
      <c r="S45" s="187">
        <v>2031</v>
      </c>
      <c r="T45" s="187">
        <v>2032</v>
      </c>
      <c r="U45" s="187">
        <v>2033</v>
      </c>
      <c r="V45" s="187">
        <v>2034</v>
      </c>
      <c r="W45" s="187">
        <v>2035</v>
      </c>
    </row>
    <row r="46" spans="1:23" ht="12.75" customHeight="1">
      <c r="A46" s="84"/>
      <c r="B46" s="85"/>
      <c r="C46" s="84"/>
      <c r="D46" s="84"/>
      <c r="E46" s="84"/>
      <c r="F46" s="84"/>
      <c r="G46" s="84"/>
      <c r="H46" s="86"/>
      <c r="I46" s="84"/>
      <c r="J46" s="84"/>
      <c r="K46" s="84"/>
      <c r="L46" s="84"/>
      <c r="M46" s="84"/>
      <c r="N46" s="84"/>
      <c r="O46" s="84"/>
      <c r="P46" s="84"/>
      <c r="Q46" s="84"/>
      <c r="R46" s="84"/>
      <c r="S46" s="84"/>
      <c r="T46" s="84"/>
      <c r="U46" s="84"/>
      <c r="V46" s="84"/>
      <c r="W46" s="84"/>
    </row>
    <row r="47" spans="1:23" ht="12.75" customHeight="1">
      <c r="A47" s="169" t="s">
        <v>315</v>
      </c>
      <c r="B47" s="85"/>
      <c r="C47" s="88">
        <f>C58</f>
        <v>237.78977077065113</v>
      </c>
      <c r="D47" s="88">
        <f t="shared" ref="D47:E49" si="3">D58-C58</f>
        <v>1089.1548376585879</v>
      </c>
      <c r="E47" s="88">
        <f t="shared" si="3"/>
        <v>1316.738368535754</v>
      </c>
      <c r="F47" s="88">
        <f t="shared" ref="F47:W48" si="4">F58-E58</f>
        <v>1550.8675589304858</v>
      </c>
      <c r="G47" s="88">
        <f t="shared" si="4"/>
        <v>1792.6607476857389</v>
      </c>
      <c r="H47" s="88">
        <f t="shared" si="4"/>
        <v>1142.3808737278096</v>
      </c>
      <c r="I47" s="88">
        <f t="shared" si="4"/>
        <v>85.630659389451466</v>
      </c>
      <c r="J47" s="88">
        <f t="shared" si="4"/>
        <v>95.863564916271571</v>
      </c>
      <c r="K47" s="88">
        <f t="shared" si="4"/>
        <v>94.965798325508331</v>
      </c>
      <c r="L47" s="88">
        <f t="shared" si="4"/>
        <v>99.706366741280362</v>
      </c>
      <c r="M47" s="88">
        <f t="shared" si="4"/>
        <v>95.801115747317453</v>
      </c>
      <c r="N47" s="88">
        <f t="shared" si="4"/>
        <v>94.134959057654669</v>
      </c>
      <c r="O47" s="88">
        <f t="shared" si="4"/>
        <v>92.87726318125533</v>
      </c>
      <c r="P47" s="88">
        <f t="shared" si="4"/>
        <v>92.556639564995749</v>
      </c>
      <c r="Q47" s="88">
        <f t="shared" si="4"/>
        <v>92.027127418958116</v>
      </c>
      <c r="R47" s="88">
        <f t="shared" si="4"/>
        <v>88.121933850313326</v>
      </c>
      <c r="S47" s="88">
        <f t="shared" si="4"/>
        <v>91.2013543194671</v>
      </c>
      <c r="T47" s="88">
        <f t="shared" si="4"/>
        <v>94.929117061527904</v>
      </c>
      <c r="U47" s="88">
        <f t="shared" si="4"/>
        <v>95.475401901607256</v>
      </c>
      <c r="V47" s="88">
        <f t="shared" si="4"/>
        <v>93.313104477159868</v>
      </c>
      <c r="W47" s="88">
        <f t="shared" si="4"/>
        <v>94.356788655435594</v>
      </c>
    </row>
    <row r="48" spans="1:23" ht="12.75" customHeight="1">
      <c r="A48" s="169" t="s">
        <v>316</v>
      </c>
      <c r="B48" s="85"/>
      <c r="C48" s="88">
        <f>C59</f>
        <v>475.57954154130226</v>
      </c>
      <c r="D48" s="88">
        <f t="shared" si="3"/>
        <v>2178.3096753171758</v>
      </c>
      <c r="E48" s="88">
        <f t="shared" si="3"/>
        <v>2633.4767370715081</v>
      </c>
      <c r="F48" s="88">
        <f t="shared" si="4"/>
        <v>3101.7351178609715</v>
      </c>
      <c r="G48" s="88">
        <f t="shared" si="4"/>
        <v>3585.3214953714778</v>
      </c>
      <c r="H48" s="88">
        <f t="shared" si="4"/>
        <v>2284.7617474556191</v>
      </c>
      <c r="I48" s="88">
        <f t="shared" si="4"/>
        <v>171.26131877890293</v>
      </c>
      <c r="J48" s="88">
        <f t="shared" si="4"/>
        <v>191.72712983254314</v>
      </c>
      <c r="K48" s="88">
        <f t="shared" si="4"/>
        <v>189.93159665101666</v>
      </c>
      <c r="L48" s="88">
        <f t="shared" si="4"/>
        <v>199.41273348256072</v>
      </c>
      <c r="M48" s="88">
        <f t="shared" si="4"/>
        <v>191.60223149463491</v>
      </c>
      <c r="N48" s="88">
        <f t="shared" si="4"/>
        <v>188.26991811530934</v>
      </c>
      <c r="O48" s="88">
        <f t="shared" si="4"/>
        <v>185.75452636251066</v>
      </c>
      <c r="P48" s="88">
        <f t="shared" si="4"/>
        <v>185.1132791299915</v>
      </c>
      <c r="Q48" s="88">
        <f t="shared" si="4"/>
        <v>184.05425483791623</v>
      </c>
      <c r="R48" s="88">
        <f t="shared" si="4"/>
        <v>176.24386770062665</v>
      </c>
      <c r="S48" s="88">
        <f t="shared" si="4"/>
        <v>182.4027086389342</v>
      </c>
      <c r="T48" s="88">
        <f t="shared" si="4"/>
        <v>189.85823412305581</v>
      </c>
      <c r="U48" s="88">
        <f t="shared" si="4"/>
        <v>190.95080380321451</v>
      </c>
      <c r="V48" s="88">
        <f t="shared" si="4"/>
        <v>186.62620895431974</v>
      </c>
      <c r="W48" s="88">
        <f t="shared" si="4"/>
        <v>188.71357731087119</v>
      </c>
    </row>
    <row r="49" spans="1:23" ht="12.75" customHeight="1">
      <c r="A49" s="169" t="s">
        <v>359</v>
      </c>
      <c r="B49" s="85"/>
      <c r="C49" s="88">
        <f>C60</f>
        <v>136.66078779922483</v>
      </c>
      <c r="D49" s="88">
        <f t="shared" si="3"/>
        <v>556.62270667791165</v>
      </c>
      <c r="E49" s="88">
        <f t="shared" si="3"/>
        <v>572.8481994716152</v>
      </c>
      <c r="F49" s="88">
        <f t="shared" ref="F49" si="5">F60-E60</f>
        <v>588.22309645596943</v>
      </c>
      <c r="G49" s="88">
        <f t="shared" ref="G49" si="6">G60-F60</f>
        <v>603.44951320004816</v>
      </c>
      <c r="H49" s="88">
        <f t="shared" ref="H49" si="7">H60-G60</f>
        <v>468.95766573391165</v>
      </c>
      <c r="I49" s="88">
        <f t="shared" ref="I49" si="8">I60-H60</f>
        <v>35.152159026869413</v>
      </c>
      <c r="J49" s="88">
        <f t="shared" ref="J49" si="9">J60-I60</f>
        <v>39.35285916103021</v>
      </c>
      <c r="K49" s="88">
        <f t="shared" ref="K49" si="10">K60-J60</f>
        <v>38.984317867614664</v>
      </c>
      <c r="L49" s="88">
        <f t="shared" ref="L49" si="11">L60-K60</f>
        <v>40.930364015303894</v>
      </c>
      <c r="M49" s="88">
        <f t="shared" ref="M49" si="12">M60-L60</f>
        <v>39.32722321318488</v>
      </c>
      <c r="N49" s="88">
        <f t="shared" ref="N49" si="13">N60-M60</f>
        <v>38.643250844685554</v>
      </c>
      <c r="O49" s="88">
        <f t="shared" ref="O49" si="14">O60-N60</f>
        <v>38.126955328922577</v>
      </c>
      <c r="P49" s="88">
        <f t="shared" ref="P49" si="15">P60-O60</f>
        <v>37.99533643883251</v>
      </c>
      <c r="Q49" s="88">
        <f t="shared" ref="Q49" si="16">Q60-P60</f>
        <v>37.777966920753897</v>
      </c>
      <c r="R49" s="88">
        <f t="shared" ref="R49" si="17">R60-Q60</f>
        <v>36.17484969224688</v>
      </c>
      <c r="S49" s="88">
        <f t="shared" ref="S49" si="18">S60-R60</f>
        <v>37.438979605692566</v>
      </c>
      <c r="T49" s="88">
        <f t="shared" ref="T49" si="19">T60-S60</f>
        <v>38.969259877474997</v>
      </c>
      <c r="U49" s="88">
        <f t="shared" ref="U49" si="20">U60-T60</f>
        <v>39.193514737934038</v>
      </c>
      <c r="V49" s="88">
        <f t="shared" ref="V49" si="21">V60-U60</f>
        <v>38.305872117060517</v>
      </c>
      <c r="W49" s="88">
        <f t="shared" ref="W49" si="22">W60-V60</f>
        <v>38.734313897963148</v>
      </c>
    </row>
    <row r="50" spans="1:23" ht="12.75" customHeight="1">
      <c r="A50" s="169"/>
      <c r="B50" s="85"/>
      <c r="C50" s="88"/>
      <c r="D50" s="88"/>
      <c r="E50" s="88"/>
      <c r="F50" s="88"/>
      <c r="G50" s="88"/>
      <c r="H50" s="88"/>
      <c r="I50" s="88"/>
      <c r="J50" s="88"/>
      <c r="K50" s="88"/>
      <c r="L50" s="88"/>
      <c r="M50" s="88"/>
      <c r="N50" s="88"/>
      <c r="O50" s="88"/>
      <c r="P50" s="88"/>
      <c r="Q50" s="88"/>
      <c r="R50" s="88"/>
      <c r="S50" s="88"/>
      <c r="T50" s="88"/>
      <c r="U50" s="88"/>
      <c r="V50" s="88"/>
      <c r="W50" s="88"/>
    </row>
    <row r="51" spans="1:23">
      <c r="A51" s="93" t="s">
        <v>216</v>
      </c>
      <c r="B51" s="94"/>
      <c r="C51" s="95">
        <f>SUM(C47:C49)</f>
        <v>850.03010011117829</v>
      </c>
      <c r="D51" s="95">
        <f t="shared" ref="D51:W51" si="23">SUM(D47:D49)</f>
        <v>3824.0872196536752</v>
      </c>
      <c r="E51" s="95">
        <f t="shared" si="23"/>
        <v>4523.0633050788774</v>
      </c>
      <c r="F51" s="95">
        <f t="shared" si="23"/>
        <v>5240.8257732474267</v>
      </c>
      <c r="G51" s="95">
        <f t="shared" si="23"/>
        <v>5981.4317562572651</v>
      </c>
      <c r="H51" s="95">
        <f t="shared" si="23"/>
        <v>3896.1002869173403</v>
      </c>
      <c r="I51" s="95">
        <f t="shared" si="23"/>
        <v>292.04413719522381</v>
      </c>
      <c r="J51" s="95">
        <f t="shared" si="23"/>
        <v>326.94355390984492</v>
      </c>
      <c r="K51" s="95">
        <f t="shared" si="23"/>
        <v>323.88171284413966</v>
      </c>
      <c r="L51" s="95">
        <f t="shared" si="23"/>
        <v>340.04946423914498</v>
      </c>
      <c r="M51" s="95">
        <f t="shared" si="23"/>
        <v>326.73057045513724</v>
      </c>
      <c r="N51" s="95">
        <f t="shared" si="23"/>
        <v>321.04812801764956</v>
      </c>
      <c r="O51" s="95">
        <f t="shared" si="23"/>
        <v>316.75874487268857</v>
      </c>
      <c r="P51" s="95">
        <f t="shared" si="23"/>
        <v>315.66525513381976</v>
      </c>
      <c r="Q51" s="95">
        <f t="shared" si="23"/>
        <v>313.85934917762825</v>
      </c>
      <c r="R51" s="95">
        <f t="shared" si="23"/>
        <v>300.54065124318686</v>
      </c>
      <c r="S51" s="95">
        <f t="shared" si="23"/>
        <v>311.04304256409387</v>
      </c>
      <c r="T51" s="95">
        <f t="shared" si="23"/>
        <v>323.75661106205871</v>
      </c>
      <c r="U51" s="95">
        <f t="shared" si="23"/>
        <v>325.61972044275581</v>
      </c>
      <c r="V51" s="95">
        <f t="shared" si="23"/>
        <v>318.24518554854012</v>
      </c>
      <c r="W51" s="95">
        <f t="shared" si="23"/>
        <v>321.80467986426993</v>
      </c>
    </row>
    <row r="52" spans="1:23">
      <c r="A52" s="96"/>
      <c r="B52" s="96"/>
      <c r="C52" s="97"/>
      <c r="D52" s="97"/>
      <c r="E52" s="97"/>
      <c r="F52" s="97"/>
      <c r="G52" s="97"/>
      <c r="H52" s="97"/>
      <c r="I52" s="97"/>
      <c r="J52" s="96"/>
      <c r="K52" s="96"/>
      <c r="L52" s="96"/>
    </row>
    <row r="53" spans="1:23">
      <c r="A53" s="98" t="s">
        <v>217</v>
      </c>
      <c r="B53" s="98"/>
      <c r="C53" s="99"/>
      <c r="D53" s="99"/>
      <c r="E53" s="99"/>
      <c r="F53" s="99"/>
      <c r="G53" s="99"/>
      <c r="H53" s="99"/>
      <c r="I53" s="99"/>
      <c r="J53" s="100"/>
      <c r="K53" s="100"/>
      <c r="L53" s="100"/>
    </row>
    <row r="54" spans="1:23">
      <c r="A54" s="98"/>
      <c r="B54" s="98"/>
      <c r="C54" s="99"/>
      <c r="D54" s="99"/>
      <c r="E54" s="99"/>
      <c r="F54" s="99"/>
      <c r="G54" s="99"/>
      <c r="H54" s="99"/>
      <c r="I54" s="99"/>
      <c r="J54" s="100"/>
      <c r="K54" s="100"/>
      <c r="L54" s="100"/>
    </row>
    <row r="55" spans="1:23">
      <c r="A55" s="509" t="s">
        <v>214</v>
      </c>
      <c r="B55" s="511"/>
      <c r="C55" s="504" t="s">
        <v>218</v>
      </c>
      <c r="D55" s="504"/>
      <c r="E55" s="504"/>
      <c r="F55" s="504"/>
      <c r="G55" s="504"/>
      <c r="H55" s="504"/>
      <c r="I55" s="504"/>
      <c r="J55" s="504"/>
      <c r="K55" s="504"/>
      <c r="L55" s="504"/>
      <c r="M55" s="504"/>
      <c r="N55" s="504"/>
      <c r="O55" s="504"/>
      <c r="P55" s="504"/>
      <c r="Q55" s="504"/>
      <c r="R55" s="504"/>
      <c r="S55" s="504"/>
      <c r="T55" s="504"/>
      <c r="U55" s="504"/>
      <c r="V55" s="504"/>
      <c r="W55" s="504"/>
    </row>
    <row r="56" spans="1:23">
      <c r="A56" s="510"/>
      <c r="B56" s="512"/>
      <c r="C56" s="187">
        <v>2015</v>
      </c>
      <c r="D56" s="187">
        <v>2016</v>
      </c>
      <c r="E56" s="187">
        <v>2017</v>
      </c>
      <c r="F56" s="187">
        <v>2018</v>
      </c>
      <c r="G56" s="187">
        <v>2019</v>
      </c>
      <c r="H56" s="187">
        <v>2020</v>
      </c>
      <c r="I56" s="187">
        <v>2021</v>
      </c>
      <c r="J56" s="187">
        <v>2022</v>
      </c>
      <c r="K56" s="187">
        <v>2023</v>
      </c>
      <c r="L56" s="187">
        <v>2024</v>
      </c>
      <c r="M56" s="187">
        <v>2025</v>
      </c>
      <c r="N56" s="187">
        <v>2026</v>
      </c>
      <c r="O56" s="187">
        <v>2027</v>
      </c>
      <c r="P56" s="187">
        <v>2028</v>
      </c>
      <c r="Q56" s="187">
        <v>2029</v>
      </c>
      <c r="R56" s="187">
        <v>2030</v>
      </c>
      <c r="S56" s="187">
        <v>2031</v>
      </c>
      <c r="T56" s="187">
        <v>2032</v>
      </c>
      <c r="U56" s="187">
        <v>2033</v>
      </c>
      <c r="V56" s="187">
        <v>2034</v>
      </c>
      <c r="W56" s="187">
        <v>2035</v>
      </c>
    </row>
    <row r="57" spans="1:23">
      <c r="A57" s="84"/>
      <c r="B57" s="87"/>
      <c r="C57" s="92"/>
      <c r="D57" s="92"/>
      <c r="E57" s="92"/>
      <c r="F57" s="92"/>
      <c r="G57" s="92"/>
      <c r="H57" s="92"/>
      <c r="I57" s="92"/>
      <c r="J57" s="92"/>
      <c r="K57" s="92"/>
      <c r="L57" s="92"/>
      <c r="M57" s="92"/>
      <c r="N57" s="92"/>
      <c r="O57" s="92"/>
      <c r="P57" s="92"/>
      <c r="Q57" s="92"/>
      <c r="R57" s="92"/>
      <c r="S57" s="92"/>
      <c r="T57" s="92"/>
      <c r="U57" s="92"/>
      <c r="V57" s="92"/>
      <c r="W57" s="92"/>
    </row>
    <row r="58" spans="1:23">
      <c r="A58" s="103" t="str">
        <f>+A47</f>
        <v>a. Space Cooling, Small - PCT</v>
      </c>
      <c r="B58" s="104"/>
      <c r="C58" s="92">
        <f t="shared" ref="C58:W58" si="24">C6*$C$20*$C$21*C28*C26*(1-C27)</f>
        <v>237.78977077065113</v>
      </c>
      <c r="D58" s="92">
        <f t="shared" si="24"/>
        <v>1326.944608429239</v>
      </c>
      <c r="E58" s="92">
        <f t="shared" si="24"/>
        <v>2643.682976964993</v>
      </c>
      <c r="F58" s="92">
        <f t="shared" si="24"/>
        <v>4194.5505358954788</v>
      </c>
      <c r="G58" s="92">
        <f t="shared" si="24"/>
        <v>5987.2112835812177</v>
      </c>
      <c r="H58" s="92">
        <f t="shared" si="24"/>
        <v>7129.5921573090272</v>
      </c>
      <c r="I58" s="92">
        <f t="shared" si="24"/>
        <v>7215.2228166984787</v>
      </c>
      <c r="J58" s="92">
        <f t="shared" si="24"/>
        <v>7311.0863816147503</v>
      </c>
      <c r="K58" s="92">
        <f t="shared" si="24"/>
        <v>7406.0521799402586</v>
      </c>
      <c r="L58" s="92">
        <f t="shared" si="24"/>
        <v>7505.758546681539</v>
      </c>
      <c r="M58" s="92">
        <f t="shared" si="24"/>
        <v>7601.5596624288564</v>
      </c>
      <c r="N58" s="92">
        <f t="shared" si="24"/>
        <v>7695.6946214865111</v>
      </c>
      <c r="O58" s="92">
        <f t="shared" si="24"/>
        <v>7788.5718846677664</v>
      </c>
      <c r="P58" s="92">
        <f t="shared" si="24"/>
        <v>7881.1285242327622</v>
      </c>
      <c r="Q58" s="92">
        <f t="shared" si="24"/>
        <v>7973.1556516517203</v>
      </c>
      <c r="R58" s="92">
        <f t="shared" si="24"/>
        <v>8061.2775855020336</v>
      </c>
      <c r="S58" s="92">
        <f t="shared" si="24"/>
        <v>8152.4789398215007</v>
      </c>
      <c r="T58" s="92">
        <f t="shared" si="24"/>
        <v>8247.4080568830286</v>
      </c>
      <c r="U58" s="92">
        <f t="shared" si="24"/>
        <v>8342.8834587846359</v>
      </c>
      <c r="V58" s="92">
        <f t="shared" si="24"/>
        <v>8436.1965632617957</v>
      </c>
      <c r="W58" s="92">
        <f t="shared" si="24"/>
        <v>8530.5533519172313</v>
      </c>
    </row>
    <row r="59" spans="1:23">
      <c r="A59" s="103" t="str">
        <f>+A48</f>
        <v>b. Space Cooling, Medium - AutoDR</v>
      </c>
      <c r="B59" s="104"/>
      <c r="C59" s="92">
        <f t="shared" ref="C59:W59" si="25">C6*$C$9*$C$10*C17*C15*(1-C16)</f>
        <v>475.57954154130226</v>
      </c>
      <c r="D59" s="92">
        <f t="shared" si="25"/>
        <v>2653.889216858478</v>
      </c>
      <c r="E59" s="92">
        <f t="shared" si="25"/>
        <v>5287.3659539299861</v>
      </c>
      <c r="F59" s="92">
        <f t="shared" si="25"/>
        <v>8389.1010717909576</v>
      </c>
      <c r="G59" s="92">
        <f t="shared" si="25"/>
        <v>11974.422567162435</v>
      </c>
      <c r="H59" s="92">
        <f t="shared" si="25"/>
        <v>14259.184314618054</v>
      </c>
      <c r="I59" s="92">
        <f t="shared" si="25"/>
        <v>14430.445633396957</v>
      </c>
      <c r="J59" s="92">
        <f t="shared" si="25"/>
        <v>14622.172763229501</v>
      </c>
      <c r="K59" s="92">
        <f t="shared" si="25"/>
        <v>14812.104359880517</v>
      </c>
      <c r="L59" s="92">
        <f t="shared" si="25"/>
        <v>15011.517093363078</v>
      </c>
      <c r="M59" s="92">
        <f t="shared" si="25"/>
        <v>15203.119324857713</v>
      </c>
      <c r="N59" s="92">
        <f t="shared" si="25"/>
        <v>15391.389242973022</v>
      </c>
      <c r="O59" s="92">
        <f t="shared" si="25"/>
        <v>15577.143769335533</v>
      </c>
      <c r="P59" s="92">
        <f t="shared" si="25"/>
        <v>15762.257048465524</v>
      </c>
      <c r="Q59" s="92">
        <f t="shared" si="25"/>
        <v>15946.311303303441</v>
      </c>
      <c r="R59" s="92">
        <f t="shared" si="25"/>
        <v>16122.555171004067</v>
      </c>
      <c r="S59" s="92">
        <f t="shared" si="25"/>
        <v>16304.957879643001</v>
      </c>
      <c r="T59" s="92">
        <f t="shared" si="25"/>
        <v>16494.816113766057</v>
      </c>
      <c r="U59" s="92">
        <f t="shared" si="25"/>
        <v>16685.766917569272</v>
      </c>
      <c r="V59" s="92">
        <f t="shared" si="25"/>
        <v>16872.393126523591</v>
      </c>
      <c r="W59" s="92">
        <f t="shared" si="25"/>
        <v>17061.106703834463</v>
      </c>
    </row>
    <row r="60" spans="1:23">
      <c r="A60" s="103" t="str">
        <f>A49</f>
        <v>c. Lighting Controls - AutoDR</v>
      </c>
      <c r="B60" s="104"/>
      <c r="C60" s="92">
        <f>C6*$C$31*$C$32*C39*C37*(1-C38)</f>
        <v>136.66078779922483</v>
      </c>
      <c r="D60" s="92">
        <f t="shared" ref="D60:W60" si="26">D6*$C$31*$C$32*D39*D37*(1-D38)</f>
        <v>693.28349447713651</v>
      </c>
      <c r="E60" s="92">
        <f t="shared" si="26"/>
        <v>1266.1316939487517</v>
      </c>
      <c r="F60" s="92">
        <f t="shared" si="26"/>
        <v>1854.3547904047211</v>
      </c>
      <c r="G60" s="92">
        <f t="shared" si="26"/>
        <v>2457.8043036047693</v>
      </c>
      <c r="H60" s="92">
        <f t="shared" si="26"/>
        <v>2926.761969338681</v>
      </c>
      <c r="I60" s="92">
        <f t="shared" si="26"/>
        <v>2961.9141283655504</v>
      </c>
      <c r="J60" s="92">
        <f t="shared" si="26"/>
        <v>3001.2669875265806</v>
      </c>
      <c r="K60" s="92">
        <f t="shared" si="26"/>
        <v>3040.2513053941952</v>
      </c>
      <c r="L60" s="92">
        <f t="shared" si="26"/>
        <v>3081.1816694094991</v>
      </c>
      <c r="M60" s="92">
        <f t="shared" si="26"/>
        <v>3120.508892622684</v>
      </c>
      <c r="N60" s="92">
        <f t="shared" si="26"/>
        <v>3159.1521434673696</v>
      </c>
      <c r="O60" s="92">
        <f t="shared" si="26"/>
        <v>3197.2790987962921</v>
      </c>
      <c r="P60" s="92">
        <f t="shared" si="26"/>
        <v>3235.2744352351247</v>
      </c>
      <c r="Q60" s="92">
        <f t="shared" si="26"/>
        <v>3273.0524021558786</v>
      </c>
      <c r="R60" s="92">
        <f t="shared" si="26"/>
        <v>3309.2272518481254</v>
      </c>
      <c r="S60" s="92">
        <f t="shared" si="26"/>
        <v>3346.666231453818</v>
      </c>
      <c r="T60" s="92">
        <f t="shared" si="26"/>
        <v>3385.635491331293</v>
      </c>
      <c r="U60" s="92">
        <f t="shared" si="26"/>
        <v>3424.829006069227</v>
      </c>
      <c r="V60" s="92">
        <f t="shared" si="26"/>
        <v>3463.1348781862876</v>
      </c>
      <c r="W60" s="92">
        <f t="shared" si="26"/>
        <v>3501.8691920842507</v>
      </c>
    </row>
    <row r="61" spans="1:23">
      <c r="A61" s="87"/>
      <c r="B61" s="87"/>
      <c r="C61" s="105"/>
      <c r="D61" s="105"/>
      <c r="E61" s="105"/>
      <c r="F61" s="105"/>
      <c r="G61" s="105"/>
      <c r="H61" s="105"/>
      <c r="I61" s="105"/>
      <c r="J61" s="105"/>
      <c r="K61" s="105"/>
      <c r="L61" s="105"/>
      <c r="M61" s="105"/>
      <c r="N61" s="105"/>
      <c r="O61" s="105"/>
      <c r="P61" s="105"/>
      <c r="Q61" s="105"/>
      <c r="R61" s="105"/>
      <c r="S61" s="105"/>
      <c r="T61" s="105"/>
      <c r="U61" s="105"/>
      <c r="V61" s="105"/>
      <c r="W61" s="105"/>
    </row>
    <row r="62" spans="1:23">
      <c r="A62" s="93" t="s">
        <v>219</v>
      </c>
      <c r="B62" s="93"/>
      <c r="C62" s="95">
        <f>SUM(C58:C60)</f>
        <v>850.03010011117829</v>
      </c>
      <c r="D62" s="95">
        <f t="shared" ref="D62:W62" si="27">SUM(D58:D60)</f>
        <v>4674.1173197648532</v>
      </c>
      <c r="E62" s="95">
        <f t="shared" si="27"/>
        <v>9197.1806248437315</v>
      </c>
      <c r="F62" s="95">
        <f t="shared" si="27"/>
        <v>14438.006398091156</v>
      </c>
      <c r="G62" s="95">
        <f t="shared" si="27"/>
        <v>20419.43815434842</v>
      </c>
      <c r="H62" s="95">
        <f t="shared" si="27"/>
        <v>24315.538441265762</v>
      </c>
      <c r="I62" s="95">
        <f t="shared" si="27"/>
        <v>24607.582578460988</v>
      </c>
      <c r="J62" s="95">
        <f t="shared" si="27"/>
        <v>24934.526132370833</v>
      </c>
      <c r="K62" s="95">
        <f t="shared" si="27"/>
        <v>25258.40784521497</v>
      </c>
      <c r="L62" s="95">
        <f t="shared" si="27"/>
        <v>25598.457309454116</v>
      </c>
      <c r="M62" s="95">
        <f t="shared" si="27"/>
        <v>25925.187879909256</v>
      </c>
      <c r="N62" s="95">
        <f t="shared" si="27"/>
        <v>26246.236007926906</v>
      </c>
      <c r="O62" s="95">
        <f t="shared" si="27"/>
        <v>26562.99475279959</v>
      </c>
      <c r="P62" s="95">
        <f t="shared" si="27"/>
        <v>26878.660007933413</v>
      </c>
      <c r="Q62" s="95">
        <f t="shared" si="27"/>
        <v>27192.519357111039</v>
      </c>
      <c r="R62" s="95">
        <f t="shared" si="27"/>
        <v>27493.060008354227</v>
      </c>
      <c r="S62" s="95">
        <f t="shared" si="27"/>
        <v>27804.103050918322</v>
      </c>
      <c r="T62" s="95">
        <f t="shared" si="27"/>
        <v>28127.859661980379</v>
      </c>
      <c r="U62" s="95">
        <f t="shared" si="27"/>
        <v>28453.479382423135</v>
      </c>
      <c r="V62" s="95">
        <f t="shared" si="27"/>
        <v>28771.724567971676</v>
      </c>
      <c r="W62" s="95">
        <f t="shared" si="27"/>
        <v>29093.529247835944</v>
      </c>
    </row>
    <row r="64" spans="1:23">
      <c r="A64" s="77" t="s">
        <v>220</v>
      </c>
      <c r="B64" s="77"/>
      <c r="D64" s="223"/>
      <c r="E64" s="78"/>
      <c r="F64" s="78"/>
      <c r="G64" s="224"/>
    </row>
    <row r="66" spans="1:23">
      <c r="A66" s="106"/>
      <c r="B66" s="502" t="s">
        <v>242</v>
      </c>
      <c r="C66" s="507" t="s">
        <v>221</v>
      </c>
      <c r="D66" s="508"/>
      <c r="E66" s="508"/>
      <c r="F66" s="508"/>
      <c r="G66" s="508"/>
      <c r="H66" s="508"/>
      <c r="I66" s="508"/>
      <c r="J66" s="508"/>
      <c r="K66" s="508"/>
      <c r="L66" s="508"/>
      <c r="M66" s="508"/>
      <c r="N66" s="508"/>
      <c r="O66" s="508"/>
      <c r="P66" s="508"/>
      <c r="Q66" s="508"/>
      <c r="R66" s="508"/>
      <c r="S66" s="508"/>
      <c r="T66" s="508"/>
      <c r="U66" s="508"/>
      <c r="V66" s="508"/>
      <c r="W66" s="508"/>
    </row>
    <row r="67" spans="1:23">
      <c r="A67" s="185" t="s">
        <v>214</v>
      </c>
      <c r="B67" s="506"/>
      <c r="C67" s="187">
        <v>2015</v>
      </c>
      <c r="D67" s="187">
        <v>2016</v>
      </c>
      <c r="E67" s="187">
        <v>2017</v>
      </c>
      <c r="F67" s="187">
        <v>2018</v>
      </c>
      <c r="G67" s="187">
        <v>2019</v>
      </c>
      <c r="H67" s="187">
        <v>2020</v>
      </c>
      <c r="I67" s="187">
        <v>2021</v>
      </c>
      <c r="J67" s="187">
        <v>2022</v>
      </c>
      <c r="K67" s="187">
        <v>2023</v>
      </c>
      <c r="L67" s="187">
        <v>2024</v>
      </c>
      <c r="M67" s="187">
        <v>2025</v>
      </c>
      <c r="N67" s="187">
        <v>2026</v>
      </c>
      <c r="O67" s="187">
        <v>2027</v>
      </c>
      <c r="P67" s="187">
        <v>2028</v>
      </c>
      <c r="Q67" s="187">
        <v>2029</v>
      </c>
      <c r="R67" s="187">
        <v>2030</v>
      </c>
      <c r="S67" s="187">
        <v>2031</v>
      </c>
      <c r="T67" s="187">
        <v>2032</v>
      </c>
      <c r="U67" s="187">
        <v>2033</v>
      </c>
      <c r="V67" s="187">
        <v>2034</v>
      </c>
      <c r="W67" s="187">
        <v>2035</v>
      </c>
    </row>
    <row r="68" spans="1:23" ht="17.100000000000001" customHeight="1">
      <c r="A68" s="84"/>
      <c r="B68" s="108"/>
      <c r="C68" s="84"/>
      <c r="D68" s="108"/>
      <c r="E68" s="84"/>
      <c r="F68" s="84"/>
      <c r="G68" s="84"/>
      <c r="H68" s="84"/>
      <c r="I68" s="84"/>
      <c r="J68" s="84"/>
      <c r="K68" s="84"/>
      <c r="L68" s="84"/>
      <c r="M68" s="84"/>
      <c r="N68" s="84"/>
      <c r="O68" s="84"/>
      <c r="P68" s="84"/>
      <c r="Q68" s="84"/>
      <c r="R68" s="84"/>
      <c r="S68" s="84"/>
      <c r="T68" s="84"/>
      <c r="U68" s="84"/>
      <c r="V68" s="84"/>
      <c r="W68" s="84"/>
    </row>
    <row r="69" spans="1:23">
      <c r="A69" s="87" t="str">
        <f>+A47</f>
        <v>a. Space Cooling, Small - PCT</v>
      </c>
      <c r="B69" s="251">
        <f>KeyAssumptions!T8</f>
        <v>2.8</v>
      </c>
      <c r="C69" s="192">
        <f>$B69/1000*C58*$C$11</f>
        <v>0.63252079024993191</v>
      </c>
      <c r="D69" s="192">
        <f t="shared" ref="D69:W69" si="28">$B69/1000*D58*$C$11</f>
        <v>3.5296726584217755</v>
      </c>
      <c r="E69" s="192">
        <f t="shared" si="28"/>
        <v>7.0321967187268806</v>
      </c>
      <c r="F69" s="192">
        <f t="shared" si="28"/>
        <v>11.157504425481973</v>
      </c>
      <c r="G69" s="192">
        <f t="shared" si="28"/>
        <v>15.925982014326038</v>
      </c>
      <c r="H69" s="192">
        <f t="shared" si="28"/>
        <v>18.96471513844201</v>
      </c>
      <c r="I69" s="192">
        <f t="shared" si="28"/>
        <v>19.192492692417954</v>
      </c>
      <c r="J69" s="192">
        <f t="shared" si="28"/>
        <v>19.447489775095235</v>
      </c>
      <c r="K69" s="192">
        <f t="shared" si="28"/>
        <v>19.700098798641086</v>
      </c>
      <c r="L69" s="192">
        <f t="shared" si="28"/>
        <v>19.965317734172892</v>
      </c>
      <c r="M69" s="192">
        <f t="shared" si="28"/>
        <v>20.220148702060754</v>
      </c>
      <c r="N69" s="192">
        <f t="shared" si="28"/>
        <v>20.470547693154121</v>
      </c>
      <c r="O69" s="192">
        <f t="shared" si="28"/>
        <v>20.717601213216259</v>
      </c>
      <c r="P69" s="192">
        <f t="shared" si="28"/>
        <v>20.963801874459147</v>
      </c>
      <c r="Q69" s="192">
        <f t="shared" si="28"/>
        <v>21.208594033393574</v>
      </c>
      <c r="R69" s="192">
        <f t="shared" si="28"/>
        <v>21.442998377435408</v>
      </c>
      <c r="S69" s="192">
        <f t="shared" si="28"/>
        <v>21.685593979925191</v>
      </c>
      <c r="T69" s="192">
        <f t="shared" si="28"/>
        <v>21.938105431308855</v>
      </c>
      <c r="U69" s="192">
        <f t="shared" si="28"/>
        <v>22.192070000367131</v>
      </c>
      <c r="V69" s="192">
        <f t="shared" si="28"/>
        <v>22.440282858276376</v>
      </c>
      <c r="W69" s="192">
        <f t="shared" si="28"/>
        <v>22.691271916099833</v>
      </c>
    </row>
    <row r="70" spans="1:23">
      <c r="A70" s="87" t="str">
        <f>+A48</f>
        <v>b. Space Cooling, Medium - AutoDR</v>
      </c>
      <c r="B70" s="251">
        <f>KeyAssumptions!T9</f>
        <v>15</v>
      </c>
      <c r="C70" s="192">
        <f>$B70/1000*C59*$C$22</f>
        <v>6.7770084669635562</v>
      </c>
      <c r="D70" s="192">
        <f t="shared" ref="D70:W70" si="29">$B70/1000*D59*$C$22</f>
        <v>37.817921340233312</v>
      </c>
      <c r="E70" s="192">
        <f t="shared" si="29"/>
        <v>75.344964843502297</v>
      </c>
      <c r="F70" s="192">
        <f t="shared" si="29"/>
        <v>119.54469027302113</v>
      </c>
      <c r="G70" s="192">
        <f t="shared" si="29"/>
        <v>170.63552158206468</v>
      </c>
      <c r="H70" s="192">
        <f t="shared" si="29"/>
        <v>203.19337648330728</v>
      </c>
      <c r="I70" s="192">
        <f t="shared" si="29"/>
        <v>205.63385027590664</v>
      </c>
      <c r="J70" s="192">
        <f t="shared" si="29"/>
        <v>208.36596187602038</v>
      </c>
      <c r="K70" s="192">
        <f t="shared" si="29"/>
        <v>211.07248712829735</v>
      </c>
      <c r="L70" s="192">
        <f t="shared" si="29"/>
        <v>213.91411858042383</v>
      </c>
      <c r="M70" s="192">
        <f t="shared" si="29"/>
        <v>216.64445037922238</v>
      </c>
      <c r="N70" s="192">
        <f t="shared" si="29"/>
        <v>219.32729671236555</v>
      </c>
      <c r="O70" s="192">
        <f t="shared" si="29"/>
        <v>221.97429871303132</v>
      </c>
      <c r="P70" s="192">
        <f t="shared" si="29"/>
        <v>224.61216294063371</v>
      </c>
      <c r="Q70" s="192">
        <f t="shared" si="29"/>
        <v>227.23493607207402</v>
      </c>
      <c r="R70" s="192">
        <f t="shared" si="29"/>
        <v>229.74641118680793</v>
      </c>
      <c r="S70" s="192">
        <f t="shared" si="29"/>
        <v>232.34564978491275</v>
      </c>
      <c r="T70" s="192">
        <f t="shared" si="29"/>
        <v>235.0511296211663</v>
      </c>
      <c r="U70" s="192">
        <f t="shared" si="29"/>
        <v>237.77217857536209</v>
      </c>
      <c r="V70" s="192">
        <f t="shared" si="29"/>
        <v>240.43160205296115</v>
      </c>
      <c r="W70" s="192">
        <f t="shared" si="29"/>
        <v>243.12077052964108</v>
      </c>
    </row>
    <row r="71" spans="1:23">
      <c r="A71" s="87" t="str">
        <f>A49</f>
        <v>c. Lighting Controls - AutoDR</v>
      </c>
      <c r="B71" s="251">
        <f>KeyAssumptions!T10</f>
        <v>57</v>
      </c>
      <c r="C71" s="192">
        <f>$B71/1000*C60*$C$33</f>
        <v>7.400181659328025</v>
      </c>
      <c r="D71" s="192">
        <f t="shared" ref="D71:W71" si="30">$B71/1000*D60*$C$33</f>
        <v>37.541301225936941</v>
      </c>
      <c r="E71" s="192">
        <f t="shared" si="30"/>
        <v>68.561031227324904</v>
      </c>
      <c r="F71" s="192">
        <f t="shared" si="30"/>
        <v>100.41331190041565</v>
      </c>
      <c r="G71" s="192">
        <f t="shared" si="30"/>
        <v>133.09010304019827</v>
      </c>
      <c r="H71" s="192">
        <f t="shared" si="30"/>
        <v>158.48416063968955</v>
      </c>
      <c r="I71" s="192">
        <f t="shared" si="30"/>
        <v>160.38765005099455</v>
      </c>
      <c r="J71" s="192">
        <f t="shared" si="30"/>
        <v>162.51860737456434</v>
      </c>
      <c r="K71" s="192">
        <f t="shared" si="30"/>
        <v>164.62960818709567</v>
      </c>
      <c r="L71" s="192">
        <f t="shared" si="30"/>
        <v>166.84598739852436</v>
      </c>
      <c r="M71" s="192">
        <f t="shared" si="30"/>
        <v>168.97555653551834</v>
      </c>
      <c r="N71" s="192">
        <f t="shared" si="30"/>
        <v>171.06808856875804</v>
      </c>
      <c r="O71" s="192">
        <f t="shared" si="30"/>
        <v>173.13266319981921</v>
      </c>
      <c r="P71" s="192">
        <f t="shared" si="30"/>
        <v>175.190110667982</v>
      </c>
      <c r="Q71" s="192">
        <f t="shared" si="30"/>
        <v>177.23578757674082</v>
      </c>
      <c r="R71" s="192">
        <f t="shared" si="30"/>
        <v>179.19465568757599</v>
      </c>
      <c r="S71" s="192">
        <f t="shared" si="30"/>
        <v>181.22197643322426</v>
      </c>
      <c r="T71" s="192">
        <f t="shared" si="30"/>
        <v>183.33216185558953</v>
      </c>
      <c r="U71" s="192">
        <f t="shared" si="30"/>
        <v>185.45449067864863</v>
      </c>
      <c r="V71" s="192">
        <f t="shared" si="30"/>
        <v>187.52875365378748</v>
      </c>
      <c r="W71" s="192">
        <f t="shared" si="30"/>
        <v>189.62621675136216</v>
      </c>
    </row>
    <row r="72" spans="1:23">
      <c r="A72" s="89"/>
      <c r="B72" s="252"/>
      <c r="C72" s="109"/>
      <c r="D72" s="109"/>
      <c r="E72" s="109"/>
      <c r="F72" s="109"/>
      <c r="G72" s="109"/>
      <c r="H72" s="109"/>
      <c r="I72" s="109"/>
      <c r="J72" s="109"/>
      <c r="K72" s="109"/>
      <c r="L72" s="109"/>
      <c r="M72" s="109"/>
      <c r="N72" s="109"/>
      <c r="O72" s="109"/>
      <c r="P72" s="109"/>
      <c r="Q72" s="109"/>
      <c r="R72" s="109"/>
      <c r="S72" s="109"/>
      <c r="T72" s="109"/>
      <c r="U72" s="109"/>
      <c r="V72" s="109"/>
      <c r="W72" s="109"/>
    </row>
    <row r="73" spans="1:23">
      <c r="A73" s="110" t="s">
        <v>269</v>
      </c>
      <c r="B73" s="111"/>
      <c r="C73" s="112">
        <f>SUM(C69:C71)</f>
        <v>14.809710916541512</v>
      </c>
      <c r="D73" s="112">
        <f t="shared" ref="D73:W73" si="31">SUM(D69:D71)</f>
        <v>78.888895224592034</v>
      </c>
      <c r="E73" s="112">
        <f t="shared" si="31"/>
        <v>150.93819278955408</v>
      </c>
      <c r="F73" s="112">
        <f t="shared" si="31"/>
        <v>231.11550659891873</v>
      </c>
      <c r="G73" s="112">
        <f t="shared" si="31"/>
        <v>319.65160663658901</v>
      </c>
      <c r="H73" s="112">
        <f t="shared" si="31"/>
        <v>380.64225226143884</v>
      </c>
      <c r="I73" s="112">
        <f t="shared" si="31"/>
        <v>385.2139930193191</v>
      </c>
      <c r="J73" s="112">
        <f t="shared" si="31"/>
        <v>390.33205902567994</v>
      </c>
      <c r="K73" s="112">
        <f t="shared" si="31"/>
        <v>395.4021941140341</v>
      </c>
      <c r="L73" s="112">
        <f t="shared" si="31"/>
        <v>400.72542371312107</v>
      </c>
      <c r="M73" s="112">
        <f t="shared" si="31"/>
        <v>405.84015561680144</v>
      </c>
      <c r="N73" s="112">
        <f t="shared" si="31"/>
        <v>410.86593297427771</v>
      </c>
      <c r="O73" s="112">
        <f t="shared" si="31"/>
        <v>415.82456312606678</v>
      </c>
      <c r="P73" s="112">
        <f t="shared" si="31"/>
        <v>420.76607548307481</v>
      </c>
      <c r="Q73" s="112">
        <f t="shared" si="31"/>
        <v>425.67931768220842</v>
      </c>
      <c r="R73" s="112">
        <f t="shared" si="31"/>
        <v>430.38406525181932</v>
      </c>
      <c r="S73" s="112">
        <f t="shared" si="31"/>
        <v>435.25322019806219</v>
      </c>
      <c r="T73" s="112">
        <f t="shared" si="31"/>
        <v>440.32139690806468</v>
      </c>
      <c r="U73" s="112">
        <f t="shared" si="31"/>
        <v>445.4187392543779</v>
      </c>
      <c r="V73" s="112">
        <f t="shared" si="31"/>
        <v>450.40063856502502</v>
      </c>
      <c r="W73" s="112">
        <f t="shared" si="31"/>
        <v>455.43825919710309</v>
      </c>
    </row>
    <row r="74" spans="1:23">
      <c r="A74" s="113"/>
      <c r="B74" s="113"/>
      <c r="C74" s="114"/>
      <c r="D74" s="114"/>
      <c r="E74" s="115"/>
      <c r="F74" s="115"/>
      <c r="G74" s="115"/>
      <c r="H74" s="115"/>
      <c r="I74" s="115"/>
      <c r="J74" s="115"/>
      <c r="K74" s="115"/>
      <c r="L74" s="115"/>
      <c r="M74" s="115"/>
      <c r="N74" s="115"/>
      <c r="O74" s="115"/>
      <c r="P74" s="115"/>
      <c r="Q74" s="115"/>
      <c r="R74" s="115"/>
      <c r="S74" s="115"/>
      <c r="T74" s="115"/>
      <c r="U74" s="115"/>
      <c r="V74" s="115"/>
      <c r="W74" s="115"/>
    </row>
    <row r="75" spans="1:23">
      <c r="A75" s="77" t="s">
        <v>277</v>
      </c>
      <c r="B75" s="113"/>
      <c r="C75" s="100"/>
      <c r="D75" s="125"/>
      <c r="E75" s="124"/>
      <c r="F75" s="124"/>
      <c r="G75" s="124"/>
      <c r="H75" s="124"/>
      <c r="I75" s="124"/>
      <c r="J75" s="124"/>
      <c r="K75" s="124"/>
      <c r="L75" s="124"/>
      <c r="M75" s="124"/>
      <c r="N75" s="124"/>
      <c r="O75" s="124"/>
      <c r="P75" s="124"/>
      <c r="Q75" s="124"/>
      <c r="R75" s="124"/>
      <c r="S75" s="124"/>
      <c r="T75" s="124"/>
      <c r="U75" s="124"/>
      <c r="V75" s="124"/>
      <c r="W75" s="124"/>
    </row>
    <row r="76" spans="1:23">
      <c r="A76" s="116"/>
      <c r="B76" s="113"/>
      <c r="C76" s="100"/>
      <c r="D76" s="124"/>
      <c r="E76" s="124"/>
      <c r="F76" s="124"/>
      <c r="G76" s="124"/>
      <c r="H76" s="124"/>
      <c r="I76" s="124"/>
      <c r="J76" s="124"/>
      <c r="K76" s="124"/>
      <c r="L76" s="124"/>
      <c r="M76" s="124"/>
      <c r="N76" s="124"/>
      <c r="O76" s="124"/>
      <c r="P76" s="124"/>
      <c r="Q76" s="124"/>
      <c r="R76" s="124"/>
      <c r="S76" s="124"/>
      <c r="T76" s="124"/>
      <c r="U76" s="124"/>
      <c r="V76" s="124"/>
      <c r="W76" s="124"/>
    </row>
    <row r="77" spans="1:23" ht="12.75" customHeight="1">
      <c r="A77" s="500" t="s">
        <v>214</v>
      </c>
      <c r="B77" s="502" t="s">
        <v>308</v>
      </c>
      <c r="C77" s="504" t="s">
        <v>222</v>
      </c>
      <c r="D77" s="504"/>
      <c r="E77" s="504"/>
      <c r="F77" s="504"/>
      <c r="G77" s="504"/>
      <c r="H77" s="504"/>
      <c r="I77" s="504"/>
      <c r="J77" s="504"/>
      <c r="K77" s="504"/>
      <c r="L77" s="504"/>
      <c r="M77" s="504"/>
      <c r="N77" s="504"/>
      <c r="O77" s="504"/>
      <c r="P77" s="504"/>
      <c r="Q77" s="504"/>
      <c r="R77" s="504"/>
      <c r="S77" s="504"/>
      <c r="T77" s="504"/>
      <c r="U77" s="504"/>
      <c r="V77" s="504"/>
      <c r="W77" s="504"/>
    </row>
    <row r="78" spans="1:23">
      <c r="A78" s="501"/>
      <c r="B78" s="503"/>
      <c r="C78" s="187">
        <v>2015</v>
      </c>
      <c r="D78" s="187">
        <v>2016</v>
      </c>
      <c r="E78" s="187">
        <v>2017</v>
      </c>
      <c r="F78" s="187">
        <v>2018</v>
      </c>
      <c r="G78" s="187">
        <v>2019</v>
      </c>
      <c r="H78" s="187">
        <v>2020</v>
      </c>
      <c r="I78" s="187">
        <v>2021</v>
      </c>
      <c r="J78" s="187">
        <v>2022</v>
      </c>
      <c r="K78" s="187">
        <v>2023</v>
      </c>
      <c r="L78" s="187">
        <v>2024</v>
      </c>
      <c r="M78" s="187">
        <v>2025</v>
      </c>
      <c r="N78" s="187">
        <v>2026</v>
      </c>
      <c r="O78" s="187">
        <v>2027</v>
      </c>
      <c r="P78" s="187">
        <v>2028</v>
      </c>
      <c r="Q78" s="187">
        <v>2029</v>
      </c>
      <c r="R78" s="187">
        <v>2030</v>
      </c>
      <c r="S78" s="187">
        <v>2031</v>
      </c>
      <c r="T78" s="187">
        <v>2032</v>
      </c>
      <c r="U78" s="187">
        <v>2033</v>
      </c>
      <c r="V78" s="187">
        <v>2034</v>
      </c>
      <c r="W78" s="187">
        <v>2035</v>
      </c>
    </row>
    <row r="79" spans="1:23">
      <c r="A79" s="126"/>
      <c r="B79" s="127"/>
      <c r="C79" s="78"/>
      <c r="D79" s="84"/>
      <c r="E79" s="84"/>
      <c r="F79" s="84"/>
      <c r="G79" s="84"/>
      <c r="H79" s="84"/>
      <c r="I79" s="84"/>
      <c r="J79" s="84"/>
      <c r="K79" s="84"/>
      <c r="L79" s="84"/>
      <c r="M79" s="84"/>
      <c r="N79" s="84"/>
      <c r="O79" s="84"/>
      <c r="P79" s="84"/>
      <c r="Q79" s="84"/>
      <c r="R79" s="84"/>
      <c r="S79" s="84"/>
      <c r="T79" s="84"/>
      <c r="U79" s="84"/>
      <c r="V79" s="84"/>
      <c r="W79" s="84"/>
    </row>
    <row r="80" spans="1:23">
      <c r="A80" s="87" t="str">
        <f>+A47</f>
        <v>a. Space Cooling, Small - PCT</v>
      </c>
      <c r="B80" s="139">
        <f>SUM(KeyAssumptions!P8:R8)</f>
        <v>1028.2719999999999</v>
      </c>
      <c r="C80" s="119">
        <f t="shared" ref="C80:W80" si="32">MAX(0,($B$80*C47))</f>
        <v>244512.56316987897</v>
      </c>
      <c r="D80" s="119">
        <f t="shared" si="32"/>
        <v>1119947.4232288713</v>
      </c>
      <c r="E80" s="119">
        <f t="shared" si="32"/>
        <v>1353965.1956909967</v>
      </c>
      <c r="F80" s="119">
        <f t="shared" si="32"/>
        <v>1594713.6865565684</v>
      </c>
      <c r="G80" s="119">
        <f t="shared" si="32"/>
        <v>1843342.8523443099</v>
      </c>
      <c r="H80" s="119">
        <f t="shared" si="32"/>
        <v>1174678.265789842</v>
      </c>
      <c r="I80" s="119">
        <f t="shared" si="32"/>
        <v>88051.609391710037</v>
      </c>
      <c r="J80" s="119">
        <f t="shared" si="32"/>
        <v>98573.819623584393</v>
      </c>
      <c r="K80" s="119">
        <f t="shared" si="32"/>
        <v>97650.671375767095</v>
      </c>
      <c r="L80" s="119">
        <f t="shared" si="32"/>
        <v>102525.26514178983</v>
      </c>
      <c r="M80" s="119">
        <f t="shared" si="32"/>
        <v>98509.604891725612</v>
      </c>
      <c r="N80" s="119">
        <f t="shared" si="32"/>
        <v>96796.34262013268</v>
      </c>
      <c r="O80" s="119">
        <f t="shared" si="32"/>
        <v>95503.089165915779</v>
      </c>
      <c r="P80" s="119">
        <f t="shared" si="32"/>
        <v>95173.400878777305</v>
      </c>
      <c r="Q80" s="119">
        <f t="shared" si="32"/>
        <v>94628.918365346894</v>
      </c>
      <c r="R80" s="119">
        <f t="shared" si="32"/>
        <v>90613.317164129374</v>
      </c>
      <c r="S80" s="119">
        <f t="shared" si="32"/>
        <v>93779.799008787071</v>
      </c>
      <c r="T80" s="119">
        <f t="shared" si="32"/>
        <v>97612.953059091422</v>
      </c>
      <c r="U80" s="119">
        <f t="shared" si="32"/>
        <v>98174.682464169484</v>
      </c>
      <c r="V80" s="119">
        <f t="shared" si="32"/>
        <v>95951.252566938128</v>
      </c>
      <c r="W80" s="119">
        <f t="shared" si="32"/>
        <v>97024.443784302057</v>
      </c>
    </row>
    <row r="81" spans="1:23">
      <c r="A81" s="87" t="str">
        <f>A48</f>
        <v>b. Space Cooling, Medium - AutoDR</v>
      </c>
      <c r="B81" s="139">
        <f>SUM(KeyAssumptions!P9:R9)</f>
        <v>3517.5</v>
      </c>
      <c r="C81" s="119">
        <f t="shared" ref="C81:W81" si="33">MAX(0,($B$81*C48))</f>
        <v>1672851.0373715307</v>
      </c>
      <c r="D81" s="119">
        <f t="shared" si="33"/>
        <v>7662204.282928166</v>
      </c>
      <c r="E81" s="119">
        <f t="shared" si="33"/>
        <v>9263254.4226490296</v>
      </c>
      <c r="F81" s="119">
        <f t="shared" si="33"/>
        <v>10910353.277075967</v>
      </c>
      <c r="G81" s="119">
        <f t="shared" si="33"/>
        <v>12611368.359969173</v>
      </c>
      <c r="H81" s="119">
        <f t="shared" si="33"/>
        <v>8036649.4466751404</v>
      </c>
      <c r="I81" s="119">
        <f t="shared" si="33"/>
        <v>602411.68880479108</v>
      </c>
      <c r="J81" s="119">
        <f t="shared" si="33"/>
        <v>674400.17918597045</v>
      </c>
      <c r="K81" s="119">
        <f t="shared" si="33"/>
        <v>668084.3912199511</v>
      </c>
      <c r="L81" s="119">
        <f t="shared" si="33"/>
        <v>701434.29002490733</v>
      </c>
      <c r="M81" s="119">
        <f t="shared" si="33"/>
        <v>673960.84928237833</v>
      </c>
      <c r="N81" s="119">
        <f t="shared" si="33"/>
        <v>662239.43697060063</v>
      </c>
      <c r="O81" s="119">
        <f t="shared" si="33"/>
        <v>653391.54648013122</v>
      </c>
      <c r="P81" s="119">
        <f t="shared" si="33"/>
        <v>651135.95933974511</v>
      </c>
      <c r="Q81" s="119">
        <f t="shared" si="33"/>
        <v>647410.84139237041</v>
      </c>
      <c r="R81" s="119">
        <f t="shared" si="33"/>
        <v>619937.80463695421</v>
      </c>
      <c r="S81" s="119">
        <f t="shared" si="33"/>
        <v>641601.52763745107</v>
      </c>
      <c r="T81" s="119">
        <f t="shared" si="33"/>
        <v>667826.33852784883</v>
      </c>
      <c r="U81" s="119">
        <f t="shared" si="33"/>
        <v>671669.452377807</v>
      </c>
      <c r="V81" s="119">
        <f t="shared" si="33"/>
        <v>656457.68999681971</v>
      </c>
      <c r="W81" s="119">
        <f t="shared" si="33"/>
        <v>663800.00819098938</v>
      </c>
    </row>
    <row r="82" spans="1:23">
      <c r="A82" s="87" t="str">
        <f>A49</f>
        <v>c. Lighting Controls - AutoDR</v>
      </c>
      <c r="B82" s="139">
        <f>SUM(KeyAssumptions!P10:R10)</f>
        <v>13366.5</v>
      </c>
      <c r="C82" s="119">
        <f>MAX(0,($B$82*C49))</f>
        <v>1826676.4201183387</v>
      </c>
      <c r="D82" s="119">
        <f t="shared" ref="D82:W82" si="34">MAX(0,($B$82*D49))</f>
        <v>7440097.4088103063</v>
      </c>
      <c r="E82" s="119">
        <f t="shared" si="34"/>
        <v>7656975.4582373444</v>
      </c>
      <c r="F82" s="119">
        <f t="shared" si="34"/>
        <v>7862484.0187787153</v>
      </c>
      <c r="G82" s="119">
        <f t="shared" si="34"/>
        <v>8066007.9181884434</v>
      </c>
      <c r="H82" s="119">
        <f t="shared" si="34"/>
        <v>6268322.6390323304</v>
      </c>
      <c r="I82" s="119">
        <f t="shared" si="34"/>
        <v>469861.33363265003</v>
      </c>
      <c r="J82" s="119">
        <f t="shared" si="34"/>
        <v>526009.99197591026</v>
      </c>
      <c r="K82" s="119">
        <f t="shared" si="34"/>
        <v>521083.88477747142</v>
      </c>
      <c r="L82" s="119">
        <f t="shared" si="34"/>
        <v>547095.71061055944</v>
      </c>
      <c r="M82" s="119">
        <f t="shared" si="34"/>
        <v>525667.32907903567</v>
      </c>
      <c r="N82" s="119">
        <f t="shared" si="34"/>
        <v>516525.01241548947</v>
      </c>
      <c r="O82" s="119">
        <f t="shared" si="34"/>
        <v>509623.94840404362</v>
      </c>
      <c r="P82" s="119">
        <f t="shared" si="34"/>
        <v>507864.66450965474</v>
      </c>
      <c r="Q82" s="119">
        <f t="shared" si="34"/>
        <v>504959.19484625699</v>
      </c>
      <c r="R82" s="119">
        <f t="shared" si="34"/>
        <v>483531.12841141794</v>
      </c>
      <c r="S82" s="119">
        <f t="shared" si="34"/>
        <v>500428.12089948967</v>
      </c>
      <c r="T82" s="119">
        <f t="shared" si="34"/>
        <v>520882.61215226952</v>
      </c>
      <c r="U82" s="119">
        <f t="shared" si="34"/>
        <v>523880.11474459531</v>
      </c>
      <c r="V82" s="119">
        <f t="shared" si="34"/>
        <v>512015.43965268938</v>
      </c>
      <c r="W82" s="119">
        <f t="shared" si="34"/>
        <v>517742.20671712444</v>
      </c>
    </row>
    <row r="83" spans="1:23">
      <c r="A83" s="87"/>
      <c r="B83" s="128"/>
      <c r="C83" s="119"/>
      <c r="D83" s="119"/>
      <c r="E83" s="119"/>
      <c r="F83" s="119"/>
      <c r="G83" s="119"/>
      <c r="H83" s="119"/>
      <c r="I83" s="119"/>
      <c r="J83" s="119"/>
      <c r="K83" s="119"/>
      <c r="L83" s="119"/>
      <c r="M83" s="119"/>
      <c r="N83" s="119"/>
      <c r="O83" s="119"/>
      <c r="P83" s="119"/>
      <c r="Q83" s="119"/>
      <c r="R83" s="119"/>
      <c r="S83" s="119"/>
      <c r="T83" s="119"/>
      <c r="U83" s="119"/>
      <c r="V83" s="119"/>
      <c r="W83" s="119"/>
    </row>
    <row r="84" spans="1:23">
      <c r="A84" s="129" t="s">
        <v>289</v>
      </c>
      <c r="B84" s="110"/>
      <c r="C84" s="122">
        <f>SUM(C80:C82)</f>
        <v>3744040.0206597485</v>
      </c>
      <c r="D84" s="122">
        <f t="shared" ref="D84:W84" si="35">SUM(D80:D82)</f>
        <v>16222249.114967344</v>
      </c>
      <c r="E84" s="122">
        <f t="shared" si="35"/>
        <v>18274195.076577373</v>
      </c>
      <c r="F84" s="122">
        <f t="shared" si="35"/>
        <v>20367550.98241125</v>
      </c>
      <c r="G84" s="122">
        <f t="shared" si="35"/>
        <v>22520719.130501926</v>
      </c>
      <c r="H84" s="122">
        <f t="shared" si="35"/>
        <v>15479650.351497313</v>
      </c>
      <c r="I84" s="122">
        <f t="shared" si="35"/>
        <v>1160324.6318291512</v>
      </c>
      <c r="J84" s="122">
        <f t="shared" si="35"/>
        <v>1298983.9907854651</v>
      </c>
      <c r="K84" s="122">
        <f t="shared" si="35"/>
        <v>1286818.9473731895</v>
      </c>
      <c r="L84" s="122">
        <f t="shared" si="35"/>
        <v>1351055.2657772566</v>
      </c>
      <c r="M84" s="122">
        <f t="shared" si="35"/>
        <v>1298137.7832531396</v>
      </c>
      <c r="N84" s="122">
        <f t="shared" si="35"/>
        <v>1275560.7920062228</v>
      </c>
      <c r="O84" s="122">
        <f t="shared" si="35"/>
        <v>1258518.5840500905</v>
      </c>
      <c r="P84" s="122">
        <f t="shared" si="35"/>
        <v>1254174.0247281771</v>
      </c>
      <c r="Q84" s="122">
        <f t="shared" si="35"/>
        <v>1246998.9546039742</v>
      </c>
      <c r="R84" s="122">
        <f t="shared" si="35"/>
        <v>1194082.2502125015</v>
      </c>
      <c r="S84" s="122">
        <f t="shared" si="35"/>
        <v>1235809.4475457277</v>
      </c>
      <c r="T84" s="122">
        <f t="shared" si="35"/>
        <v>1286321.9037392098</v>
      </c>
      <c r="U84" s="122">
        <f t="shared" si="35"/>
        <v>1293724.2495865717</v>
      </c>
      <c r="V84" s="122">
        <f t="shared" si="35"/>
        <v>1264424.3822164473</v>
      </c>
      <c r="W84" s="122">
        <f t="shared" si="35"/>
        <v>1278566.6586924158</v>
      </c>
    </row>
    <row r="85" spans="1:23">
      <c r="A85" s="113"/>
      <c r="B85" s="113"/>
      <c r="C85" s="124"/>
      <c r="D85" s="124"/>
      <c r="E85" s="124"/>
      <c r="F85" s="124"/>
      <c r="G85" s="124"/>
      <c r="H85" s="124"/>
      <c r="I85" s="124"/>
      <c r="J85" s="124"/>
      <c r="K85" s="124"/>
      <c r="L85" s="124"/>
      <c r="M85" s="124"/>
      <c r="N85" s="124"/>
      <c r="O85" s="124"/>
      <c r="P85" s="124"/>
      <c r="Q85" s="124"/>
      <c r="R85" s="124"/>
      <c r="S85" s="124"/>
      <c r="T85" s="124"/>
      <c r="U85" s="124"/>
      <c r="V85" s="124"/>
      <c r="W85" s="124"/>
    </row>
    <row r="86" spans="1:23">
      <c r="A86" s="98" t="s">
        <v>278</v>
      </c>
      <c r="B86" s="98"/>
      <c r="C86" s="114"/>
      <c r="D86" s="130"/>
      <c r="E86" s="131"/>
      <c r="F86" s="132"/>
      <c r="G86" s="123"/>
      <c r="H86" s="133"/>
      <c r="I86" s="123"/>
      <c r="J86" s="78"/>
      <c r="L86" s="78"/>
    </row>
    <row r="87" spans="1:23">
      <c r="A87" s="113"/>
      <c r="B87" s="113"/>
      <c r="C87" s="114"/>
      <c r="D87" s="130"/>
      <c r="E87" s="131"/>
      <c r="F87" s="132"/>
      <c r="G87" s="123"/>
      <c r="H87" s="133"/>
      <c r="I87" s="123"/>
      <c r="J87" s="78"/>
      <c r="L87" s="78"/>
    </row>
    <row r="88" spans="1:23">
      <c r="A88" s="518" t="s">
        <v>214</v>
      </c>
      <c r="B88" s="497" t="s">
        <v>356</v>
      </c>
      <c r="C88" s="505" t="s">
        <v>223</v>
      </c>
      <c r="D88" s="505"/>
      <c r="E88" s="505"/>
      <c r="F88" s="505"/>
      <c r="G88" s="505"/>
      <c r="H88" s="505"/>
      <c r="I88" s="505"/>
      <c r="J88" s="505"/>
      <c r="K88" s="505"/>
      <c r="L88" s="505"/>
      <c r="M88" s="505"/>
      <c r="N88" s="505"/>
      <c r="O88" s="505"/>
      <c r="P88" s="505"/>
      <c r="Q88" s="505"/>
      <c r="R88" s="505"/>
      <c r="S88" s="505"/>
      <c r="T88" s="505"/>
      <c r="U88" s="505"/>
      <c r="V88" s="505"/>
      <c r="W88" s="505"/>
    </row>
    <row r="89" spans="1:23">
      <c r="A89" s="519"/>
      <c r="B89" s="497"/>
      <c r="C89" s="187">
        <v>2015</v>
      </c>
      <c r="D89" s="187">
        <v>2016</v>
      </c>
      <c r="E89" s="187">
        <v>2017</v>
      </c>
      <c r="F89" s="187">
        <v>2018</v>
      </c>
      <c r="G89" s="187">
        <v>2019</v>
      </c>
      <c r="H89" s="187">
        <v>2020</v>
      </c>
      <c r="I89" s="187">
        <v>2021</v>
      </c>
      <c r="J89" s="187">
        <v>2022</v>
      </c>
      <c r="K89" s="187">
        <v>2023</v>
      </c>
      <c r="L89" s="187">
        <v>2024</v>
      </c>
      <c r="M89" s="187">
        <v>2025</v>
      </c>
      <c r="N89" s="187">
        <v>2026</v>
      </c>
      <c r="O89" s="187">
        <v>2027</v>
      </c>
      <c r="P89" s="187">
        <v>2028</v>
      </c>
      <c r="Q89" s="187">
        <v>2029</v>
      </c>
      <c r="R89" s="187">
        <v>2030</v>
      </c>
      <c r="S89" s="187">
        <v>2031</v>
      </c>
      <c r="T89" s="187">
        <v>2032</v>
      </c>
      <c r="U89" s="187">
        <v>2033</v>
      </c>
      <c r="V89" s="187">
        <v>2034</v>
      </c>
      <c r="W89" s="187">
        <v>2035</v>
      </c>
    </row>
    <row r="90" spans="1:23">
      <c r="A90" s="134"/>
      <c r="B90" s="135"/>
      <c r="C90" s="135"/>
      <c r="D90" s="136"/>
      <c r="E90" s="136"/>
      <c r="F90" s="136"/>
      <c r="G90" s="136"/>
      <c r="H90" s="136"/>
      <c r="I90" s="136"/>
      <c r="J90" s="136"/>
      <c r="K90" s="136"/>
      <c r="L90" s="136"/>
      <c r="M90" s="136"/>
      <c r="N90" s="136"/>
      <c r="O90" s="136"/>
      <c r="P90" s="136"/>
      <c r="Q90" s="136"/>
      <c r="R90" s="136"/>
      <c r="S90" s="136"/>
      <c r="T90" s="136"/>
      <c r="U90" s="136"/>
      <c r="V90" s="136"/>
      <c r="W90" s="136"/>
    </row>
    <row r="91" spans="1:23">
      <c r="A91" s="138" t="str">
        <f>A47</f>
        <v>a. Space Cooling, Small - PCT</v>
      </c>
      <c r="B91" s="139">
        <f>KeyAssumptions!S8</f>
        <v>20</v>
      </c>
      <c r="C91" s="91">
        <f>$B91*C69*1000</f>
        <v>12650.415804998638</v>
      </c>
      <c r="D91" s="91">
        <f t="shared" ref="D91:W93" si="36">$B91*D69*1000</f>
        <v>70593.453168435502</v>
      </c>
      <c r="E91" s="91">
        <f t="shared" si="36"/>
        <v>140643.93437453761</v>
      </c>
      <c r="F91" s="91">
        <f t="shared" si="36"/>
        <v>223150.08850963946</v>
      </c>
      <c r="G91" s="91">
        <f t="shared" si="36"/>
        <v>318519.64028652076</v>
      </c>
      <c r="H91" s="91">
        <f t="shared" si="36"/>
        <v>379294.30276884022</v>
      </c>
      <c r="I91" s="91">
        <f t="shared" si="36"/>
        <v>383849.85384835908</v>
      </c>
      <c r="J91" s="91">
        <f t="shared" si="36"/>
        <v>388949.79550190468</v>
      </c>
      <c r="K91" s="91">
        <f t="shared" si="36"/>
        <v>394001.9759728217</v>
      </c>
      <c r="L91" s="91">
        <f t="shared" si="36"/>
        <v>399306.35468345782</v>
      </c>
      <c r="M91" s="91">
        <f t="shared" si="36"/>
        <v>404402.97404121509</v>
      </c>
      <c r="N91" s="91">
        <f t="shared" si="36"/>
        <v>409410.9538630824</v>
      </c>
      <c r="O91" s="91">
        <f t="shared" si="36"/>
        <v>414352.02426432515</v>
      </c>
      <c r="P91" s="91">
        <f t="shared" si="36"/>
        <v>419276.03748918296</v>
      </c>
      <c r="Q91" s="91">
        <f t="shared" si="36"/>
        <v>424171.8806678715</v>
      </c>
      <c r="R91" s="91">
        <f t="shared" si="36"/>
        <v>428859.96754870814</v>
      </c>
      <c r="S91" s="91">
        <f t="shared" si="36"/>
        <v>433711.87959850382</v>
      </c>
      <c r="T91" s="91">
        <f t="shared" si="36"/>
        <v>438762.10862617713</v>
      </c>
      <c r="U91" s="91">
        <f t="shared" si="36"/>
        <v>443841.40000734257</v>
      </c>
      <c r="V91" s="91">
        <f t="shared" si="36"/>
        <v>448805.65716552752</v>
      </c>
      <c r="W91" s="91">
        <f t="shared" si="36"/>
        <v>453825.43832199665</v>
      </c>
    </row>
    <row r="92" spans="1:23">
      <c r="A92" s="138" t="str">
        <f t="shared" ref="A92:A93" si="37">A48</f>
        <v>b. Space Cooling, Medium - AutoDR</v>
      </c>
      <c r="B92" s="139">
        <f>KeyAssumptions!S9</f>
        <v>20</v>
      </c>
      <c r="C92" s="91">
        <f t="shared" ref="C92:R93" si="38">$B92*C70*1000</f>
        <v>135540.16933927112</v>
      </c>
      <c r="D92" s="91">
        <f t="shared" si="38"/>
        <v>756358.42680466629</v>
      </c>
      <c r="E92" s="91">
        <f t="shared" si="38"/>
        <v>1506899.2968700458</v>
      </c>
      <c r="F92" s="91">
        <f t="shared" si="38"/>
        <v>2390893.8054604228</v>
      </c>
      <c r="G92" s="91">
        <f t="shared" si="38"/>
        <v>3412710.4316412937</v>
      </c>
      <c r="H92" s="91">
        <f t="shared" si="38"/>
        <v>4063867.5296661453</v>
      </c>
      <c r="I92" s="91">
        <f t="shared" si="38"/>
        <v>4112677.0055181333</v>
      </c>
      <c r="J92" s="91">
        <f t="shared" si="38"/>
        <v>4167319.237520407</v>
      </c>
      <c r="K92" s="91">
        <f t="shared" si="38"/>
        <v>4221449.7425659476</v>
      </c>
      <c r="L92" s="91">
        <f t="shared" si="38"/>
        <v>4278282.3716084771</v>
      </c>
      <c r="M92" s="91">
        <f t="shared" si="38"/>
        <v>4332889.007584447</v>
      </c>
      <c r="N92" s="91">
        <f t="shared" si="38"/>
        <v>4386545.9342473112</v>
      </c>
      <c r="O92" s="91">
        <f t="shared" si="38"/>
        <v>4439485.9742606254</v>
      </c>
      <c r="P92" s="91">
        <f t="shared" si="38"/>
        <v>4492243.2588126743</v>
      </c>
      <c r="Q92" s="91">
        <f t="shared" si="38"/>
        <v>4544698.7214414803</v>
      </c>
      <c r="R92" s="91">
        <f t="shared" si="38"/>
        <v>4594928.2237361586</v>
      </c>
      <c r="S92" s="91">
        <f t="shared" si="36"/>
        <v>4646912.9956982555</v>
      </c>
      <c r="T92" s="91">
        <f t="shared" si="36"/>
        <v>4701022.5924233254</v>
      </c>
      <c r="U92" s="91">
        <f t="shared" si="36"/>
        <v>4755443.5715072416</v>
      </c>
      <c r="V92" s="91">
        <f t="shared" si="36"/>
        <v>4808632.041059223</v>
      </c>
      <c r="W92" s="91">
        <f t="shared" si="36"/>
        <v>4862415.4105928224</v>
      </c>
    </row>
    <row r="93" spans="1:23">
      <c r="A93" s="138" t="str">
        <f t="shared" si="37"/>
        <v>c. Lighting Controls - AutoDR</v>
      </c>
      <c r="B93" s="139">
        <f>KeyAssumptions!S10</f>
        <v>20</v>
      </c>
      <c r="C93" s="91">
        <f t="shared" si="38"/>
        <v>148003.6331865605</v>
      </c>
      <c r="D93" s="91">
        <f t="shared" si="36"/>
        <v>750826.02451873873</v>
      </c>
      <c r="E93" s="91">
        <f t="shared" si="36"/>
        <v>1371220.6245464981</v>
      </c>
      <c r="F93" s="91">
        <f t="shared" si="36"/>
        <v>2008266.2380083129</v>
      </c>
      <c r="G93" s="91">
        <f t="shared" si="36"/>
        <v>2661802.0608039657</v>
      </c>
      <c r="H93" s="91">
        <f t="shared" si="36"/>
        <v>3169683.2127937912</v>
      </c>
      <c r="I93" s="91">
        <f t="shared" si="36"/>
        <v>3207753.0010198914</v>
      </c>
      <c r="J93" s="91">
        <f t="shared" si="36"/>
        <v>3250372.147491287</v>
      </c>
      <c r="K93" s="91">
        <f t="shared" si="36"/>
        <v>3292592.1637419132</v>
      </c>
      <c r="L93" s="91">
        <f t="shared" si="36"/>
        <v>3336919.747970487</v>
      </c>
      <c r="M93" s="91">
        <f t="shared" si="36"/>
        <v>3379511.1307103666</v>
      </c>
      <c r="N93" s="91">
        <f t="shared" si="36"/>
        <v>3421361.7713751611</v>
      </c>
      <c r="O93" s="91">
        <f t="shared" si="36"/>
        <v>3462653.2639963841</v>
      </c>
      <c r="P93" s="91">
        <f t="shared" si="36"/>
        <v>3503802.21335964</v>
      </c>
      <c r="Q93" s="91">
        <f t="shared" si="36"/>
        <v>3544715.7515348163</v>
      </c>
      <c r="R93" s="91">
        <f t="shared" si="36"/>
        <v>3583893.1137515195</v>
      </c>
      <c r="S93" s="91">
        <f t="shared" si="36"/>
        <v>3624439.5286644851</v>
      </c>
      <c r="T93" s="91">
        <f t="shared" si="36"/>
        <v>3666643.2371117906</v>
      </c>
      <c r="U93" s="91">
        <f t="shared" si="36"/>
        <v>3709089.8135729725</v>
      </c>
      <c r="V93" s="91">
        <f t="shared" si="36"/>
        <v>3750575.0730757494</v>
      </c>
      <c r="W93" s="91">
        <f t="shared" si="36"/>
        <v>3792524.335027243</v>
      </c>
    </row>
    <row r="94" spans="1:23">
      <c r="A94" s="144"/>
      <c r="B94" s="145"/>
      <c r="C94" s="137"/>
      <c r="D94" s="137"/>
      <c r="E94" s="137"/>
      <c r="F94" s="137"/>
      <c r="G94" s="137"/>
      <c r="H94" s="137"/>
      <c r="I94" s="137"/>
      <c r="J94" s="137"/>
      <c r="K94" s="137"/>
      <c r="L94" s="137"/>
      <c r="M94" s="137"/>
      <c r="N94" s="137"/>
      <c r="O94" s="137"/>
      <c r="P94" s="137"/>
      <c r="Q94" s="137"/>
      <c r="R94" s="137"/>
      <c r="S94" s="137"/>
      <c r="T94" s="137"/>
      <c r="U94" s="137"/>
      <c r="V94" s="137"/>
      <c r="W94" s="137"/>
    </row>
    <row r="95" spans="1:23">
      <c r="A95" s="146" t="s">
        <v>224</v>
      </c>
      <c r="B95" s="147"/>
      <c r="C95" s="148">
        <f>SUM(C91:C93)</f>
        <v>296194.21833083022</v>
      </c>
      <c r="D95" s="148">
        <f t="shared" ref="D95:W95" si="39">SUM(D91:D93)</f>
        <v>1577777.9044918404</v>
      </c>
      <c r="E95" s="148">
        <f t="shared" si="39"/>
        <v>3018763.8557910817</v>
      </c>
      <c r="F95" s="148">
        <f t="shared" si="39"/>
        <v>4622310.1319783749</v>
      </c>
      <c r="G95" s="148">
        <f t="shared" si="39"/>
        <v>6393032.1327317804</v>
      </c>
      <c r="H95" s="148">
        <f t="shared" si="39"/>
        <v>7612845.0452287775</v>
      </c>
      <c r="I95" s="148">
        <f t="shared" si="39"/>
        <v>7704279.8603863837</v>
      </c>
      <c r="J95" s="148">
        <f t="shared" si="39"/>
        <v>7806641.180513598</v>
      </c>
      <c r="K95" s="148">
        <f t="shared" si="39"/>
        <v>7908043.8822806831</v>
      </c>
      <c r="L95" s="148">
        <f t="shared" si="39"/>
        <v>8014508.474262422</v>
      </c>
      <c r="M95" s="148">
        <f t="shared" si="39"/>
        <v>8116803.1123360284</v>
      </c>
      <c r="N95" s="148">
        <f t="shared" si="39"/>
        <v>8217318.6594855543</v>
      </c>
      <c r="O95" s="148">
        <f t="shared" si="39"/>
        <v>8316491.2625213349</v>
      </c>
      <c r="P95" s="148">
        <f t="shared" si="39"/>
        <v>8415321.5096614975</v>
      </c>
      <c r="Q95" s="148">
        <f t="shared" si="39"/>
        <v>8513586.353644168</v>
      </c>
      <c r="R95" s="148">
        <f t="shared" si="39"/>
        <v>8607681.3050363865</v>
      </c>
      <c r="S95" s="148">
        <f t="shared" si="39"/>
        <v>8705064.403961245</v>
      </c>
      <c r="T95" s="148">
        <f t="shared" si="39"/>
        <v>8806427.938161293</v>
      </c>
      <c r="U95" s="148">
        <f t="shared" si="39"/>
        <v>8908374.7850875575</v>
      </c>
      <c r="V95" s="148">
        <f t="shared" si="39"/>
        <v>9008012.7713005003</v>
      </c>
      <c r="W95" s="148">
        <f t="shared" si="39"/>
        <v>9108765.1839420609</v>
      </c>
    </row>
    <row r="96" spans="1:23">
      <c r="A96" s="123"/>
      <c r="B96" s="123"/>
      <c r="C96" s="149"/>
      <c r="D96" s="149"/>
      <c r="E96" s="149"/>
      <c r="F96" s="149"/>
      <c r="G96" s="149"/>
      <c r="H96" s="149"/>
      <c r="I96" s="149"/>
      <c r="J96" s="149"/>
      <c r="K96" s="149"/>
      <c r="L96" s="149"/>
      <c r="M96" s="149"/>
      <c r="N96" s="149"/>
      <c r="O96" s="149"/>
      <c r="P96" s="149"/>
      <c r="Q96" s="149"/>
      <c r="R96" s="149"/>
      <c r="S96" s="149"/>
      <c r="T96" s="149"/>
      <c r="U96" s="149"/>
      <c r="V96" s="149"/>
      <c r="W96" s="149"/>
    </row>
    <row r="97" spans="1:23">
      <c r="A97" s="98" t="s">
        <v>312</v>
      </c>
      <c r="B97" s="98"/>
      <c r="C97" s="114"/>
      <c r="D97" s="130"/>
      <c r="E97" s="131"/>
      <c r="F97" s="193"/>
      <c r="G97" s="123"/>
      <c r="H97" s="133"/>
      <c r="I97" s="123"/>
      <c r="J97" s="78"/>
      <c r="L97" s="78"/>
    </row>
    <row r="98" spans="1:23">
      <c r="A98" s="113"/>
      <c r="B98" s="113"/>
      <c r="C98" s="114"/>
      <c r="D98" s="130"/>
      <c r="E98" s="131"/>
      <c r="F98" s="132"/>
      <c r="G98" s="123"/>
      <c r="H98" s="133"/>
      <c r="I98" s="123"/>
      <c r="J98" s="78"/>
      <c r="L98" s="78"/>
    </row>
    <row r="99" spans="1:23" ht="17.100000000000001" customHeight="1">
      <c r="A99" s="513" t="s">
        <v>214</v>
      </c>
      <c r="B99" s="514"/>
      <c r="C99" s="209">
        <v>2015</v>
      </c>
      <c r="D99" s="209">
        <v>2016</v>
      </c>
      <c r="E99" s="209">
        <v>2017</v>
      </c>
      <c r="F99" s="209">
        <v>2018</v>
      </c>
      <c r="G99" s="209">
        <v>2019</v>
      </c>
      <c r="H99" s="209">
        <v>2020</v>
      </c>
      <c r="I99" s="209">
        <v>2021</v>
      </c>
      <c r="J99" s="209">
        <v>2022</v>
      </c>
      <c r="K99" s="209">
        <v>2023</v>
      </c>
      <c r="L99" s="209">
        <v>2024</v>
      </c>
      <c r="M99" s="209">
        <v>2025</v>
      </c>
      <c r="N99" s="209">
        <v>2026</v>
      </c>
      <c r="O99" s="209">
        <v>2027</v>
      </c>
      <c r="P99" s="209">
        <v>2028</v>
      </c>
      <c r="Q99" s="209">
        <v>2029</v>
      </c>
      <c r="R99" s="209">
        <v>2030</v>
      </c>
      <c r="S99" s="209">
        <v>2031</v>
      </c>
      <c r="T99" s="209">
        <v>2032</v>
      </c>
      <c r="U99" s="209">
        <v>2033</v>
      </c>
      <c r="V99" s="209">
        <v>2034</v>
      </c>
      <c r="W99" s="209">
        <v>2035</v>
      </c>
    </row>
    <row r="100" spans="1:23">
      <c r="A100" s="146" t="str">
        <f>A84</f>
        <v xml:space="preserve">TOTAL ENABLEMENT COST </v>
      </c>
      <c r="B100" s="150"/>
      <c r="C100" s="151">
        <f>C84</f>
        <v>3744040.0206597485</v>
      </c>
      <c r="D100" s="151">
        <f t="shared" ref="D100:W100" si="40">D84</f>
        <v>16222249.114967344</v>
      </c>
      <c r="E100" s="151">
        <f t="shared" si="40"/>
        <v>18274195.076577373</v>
      </c>
      <c r="F100" s="151">
        <f t="shared" si="40"/>
        <v>20367550.98241125</v>
      </c>
      <c r="G100" s="151">
        <f t="shared" si="40"/>
        <v>22520719.130501926</v>
      </c>
      <c r="H100" s="151">
        <f t="shared" si="40"/>
        <v>15479650.351497313</v>
      </c>
      <c r="I100" s="151">
        <f t="shared" si="40"/>
        <v>1160324.6318291512</v>
      </c>
      <c r="J100" s="151">
        <f t="shared" si="40"/>
        <v>1298983.9907854651</v>
      </c>
      <c r="K100" s="151">
        <f t="shared" si="40"/>
        <v>1286818.9473731895</v>
      </c>
      <c r="L100" s="151">
        <f t="shared" si="40"/>
        <v>1351055.2657772566</v>
      </c>
      <c r="M100" s="151">
        <f t="shared" si="40"/>
        <v>1298137.7832531396</v>
      </c>
      <c r="N100" s="151">
        <f t="shared" si="40"/>
        <v>1275560.7920062228</v>
      </c>
      <c r="O100" s="151">
        <f t="shared" si="40"/>
        <v>1258518.5840500905</v>
      </c>
      <c r="P100" s="151">
        <f t="shared" si="40"/>
        <v>1254174.0247281771</v>
      </c>
      <c r="Q100" s="151">
        <f t="shared" si="40"/>
        <v>1246998.9546039742</v>
      </c>
      <c r="R100" s="151">
        <f t="shared" si="40"/>
        <v>1194082.2502125015</v>
      </c>
      <c r="S100" s="151">
        <f t="shared" si="40"/>
        <v>1235809.4475457277</v>
      </c>
      <c r="T100" s="151">
        <f t="shared" si="40"/>
        <v>1286321.9037392098</v>
      </c>
      <c r="U100" s="151">
        <f t="shared" si="40"/>
        <v>1293724.2495865717</v>
      </c>
      <c r="V100" s="151">
        <f t="shared" si="40"/>
        <v>1264424.3822164473</v>
      </c>
      <c r="W100" s="151">
        <f t="shared" si="40"/>
        <v>1278566.6586924158</v>
      </c>
    </row>
    <row r="101" spans="1:23">
      <c r="A101" s="146" t="str">
        <f>A95</f>
        <v>TOTAL IMPLEMENTATION COST</v>
      </c>
      <c r="B101" s="150"/>
      <c r="C101" s="151">
        <f>C95</f>
        <v>296194.21833083022</v>
      </c>
      <c r="D101" s="151">
        <f t="shared" ref="D101:W101" si="41">D95</f>
        <v>1577777.9044918404</v>
      </c>
      <c r="E101" s="151">
        <f t="shared" si="41"/>
        <v>3018763.8557910817</v>
      </c>
      <c r="F101" s="151">
        <f t="shared" si="41"/>
        <v>4622310.1319783749</v>
      </c>
      <c r="G101" s="151">
        <f t="shared" si="41"/>
        <v>6393032.1327317804</v>
      </c>
      <c r="H101" s="151">
        <f t="shared" si="41"/>
        <v>7612845.0452287775</v>
      </c>
      <c r="I101" s="151">
        <f t="shared" si="41"/>
        <v>7704279.8603863837</v>
      </c>
      <c r="J101" s="151">
        <f t="shared" si="41"/>
        <v>7806641.180513598</v>
      </c>
      <c r="K101" s="151">
        <f t="shared" si="41"/>
        <v>7908043.8822806831</v>
      </c>
      <c r="L101" s="151">
        <f t="shared" si="41"/>
        <v>8014508.474262422</v>
      </c>
      <c r="M101" s="151">
        <f t="shared" si="41"/>
        <v>8116803.1123360284</v>
      </c>
      <c r="N101" s="151">
        <f t="shared" si="41"/>
        <v>8217318.6594855543</v>
      </c>
      <c r="O101" s="151">
        <f t="shared" si="41"/>
        <v>8316491.2625213349</v>
      </c>
      <c r="P101" s="151">
        <f t="shared" si="41"/>
        <v>8415321.5096614975</v>
      </c>
      <c r="Q101" s="151">
        <f t="shared" si="41"/>
        <v>8513586.353644168</v>
      </c>
      <c r="R101" s="151">
        <f t="shared" si="41"/>
        <v>8607681.3050363865</v>
      </c>
      <c r="S101" s="151">
        <f t="shared" si="41"/>
        <v>8705064.403961245</v>
      </c>
      <c r="T101" s="151">
        <f t="shared" si="41"/>
        <v>8806427.938161293</v>
      </c>
      <c r="U101" s="151">
        <f t="shared" si="41"/>
        <v>8908374.7850875575</v>
      </c>
      <c r="V101" s="151">
        <f t="shared" si="41"/>
        <v>9008012.7713005003</v>
      </c>
      <c r="W101" s="151">
        <f t="shared" si="41"/>
        <v>9108765.1839420609</v>
      </c>
    </row>
    <row r="102" spans="1:23">
      <c r="A102" s="152" t="s">
        <v>226</v>
      </c>
      <c r="B102" s="150"/>
      <c r="C102" s="153">
        <f>SUM(C100:C101)</f>
        <v>4040234.2389905788</v>
      </c>
      <c r="D102" s="153">
        <f t="shared" ref="D102:W102" si="42">SUM(D100:D101)</f>
        <v>17800027.019459184</v>
      </c>
      <c r="E102" s="153">
        <f t="shared" si="42"/>
        <v>21292958.932368454</v>
      </c>
      <c r="F102" s="153">
        <f t="shared" si="42"/>
        <v>24989861.114389624</v>
      </c>
      <c r="G102" s="153">
        <f t="shared" si="42"/>
        <v>28913751.263233706</v>
      </c>
      <c r="H102" s="153">
        <f t="shared" si="42"/>
        <v>23092495.39672609</v>
      </c>
      <c r="I102" s="153">
        <f t="shared" si="42"/>
        <v>8864604.4922155347</v>
      </c>
      <c r="J102" s="153">
        <f t="shared" si="42"/>
        <v>9105625.1712990627</v>
      </c>
      <c r="K102" s="153">
        <f t="shared" si="42"/>
        <v>9194862.8296538722</v>
      </c>
      <c r="L102" s="153">
        <f t="shared" si="42"/>
        <v>9365563.7400396783</v>
      </c>
      <c r="M102" s="153">
        <f t="shared" si="42"/>
        <v>9414940.8955891673</v>
      </c>
      <c r="N102" s="153">
        <f t="shared" si="42"/>
        <v>9492879.4514917769</v>
      </c>
      <c r="O102" s="153">
        <f t="shared" si="42"/>
        <v>9575009.846571425</v>
      </c>
      <c r="P102" s="153">
        <f t="shared" si="42"/>
        <v>9669495.5343896747</v>
      </c>
      <c r="Q102" s="153">
        <f t="shared" si="42"/>
        <v>9760585.3082481418</v>
      </c>
      <c r="R102" s="153">
        <f t="shared" si="42"/>
        <v>9801763.5552488882</v>
      </c>
      <c r="S102" s="153">
        <f t="shared" si="42"/>
        <v>9940873.8515069727</v>
      </c>
      <c r="T102" s="153">
        <f t="shared" si="42"/>
        <v>10092749.841900503</v>
      </c>
      <c r="U102" s="153">
        <f t="shared" si="42"/>
        <v>10202099.034674129</v>
      </c>
      <c r="V102" s="153">
        <f t="shared" si="42"/>
        <v>10272437.153516948</v>
      </c>
      <c r="W102" s="153">
        <f t="shared" si="42"/>
        <v>10387331.842634477</v>
      </c>
    </row>
    <row r="105" spans="1:23" s="70" customFormat="1" ht="14.4"/>
  </sheetData>
  <mergeCells count="15">
    <mergeCell ref="C88:W88"/>
    <mergeCell ref="A99:B99"/>
    <mergeCell ref="B66:B67"/>
    <mergeCell ref="C66:W66"/>
    <mergeCell ref="B77:B78"/>
    <mergeCell ref="A77:A78"/>
    <mergeCell ref="C77:W77"/>
    <mergeCell ref="B88:B89"/>
    <mergeCell ref="A88:A89"/>
    <mergeCell ref="A1:W1"/>
    <mergeCell ref="C4:W4"/>
    <mergeCell ref="C44:W44"/>
    <mergeCell ref="A55:A56"/>
    <mergeCell ref="B55:B56"/>
    <mergeCell ref="C55:W55"/>
  </mergeCells>
  <pageMargins left="0.75" right="0.75" top="1" bottom="1" header="0.5" footer="0.5"/>
  <pageSetup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W120"/>
  <sheetViews>
    <sheetView topLeftCell="A94" workbookViewId="0">
      <selection activeCell="C113" sqref="C113"/>
    </sheetView>
  </sheetViews>
  <sheetFormatPr defaultRowHeight="13.2"/>
  <cols>
    <col min="1" max="1" width="39.44140625" style="76" customWidth="1"/>
    <col min="2" max="2" width="28.5546875" style="76" customWidth="1"/>
    <col min="3" max="3" width="19.88671875" style="76" bestFit="1" customWidth="1"/>
    <col min="4" max="4" width="15" style="76" customWidth="1"/>
    <col min="5" max="5" width="17" style="76" bestFit="1" customWidth="1"/>
    <col min="6" max="7" width="12.88671875" style="76" customWidth="1"/>
    <col min="8" max="8" width="13.6640625" style="76" customWidth="1"/>
    <col min="9" max="23" width="12.88671875" style="76" customWidth="1"/>
    <col min="24" max="255" width="9.109375" style="76"/>
    <col min="256" max="256" width="33.88671875" style="76" customWidth="1"/>
    <col min="257" max="257" width="19.33203125" style="76" customWidth="1"/>
    <col min="258" max="279" width="12.88671875" style="76" customWidth="1"/>
    <col min="280" max="511" width="9.109375" style="76"/>
    <col min="512" max="512" width="33.88671875" style="76" customWidth="1"/>
    <col min="513" max="513" width="19.33203125" style="76" customWidth="1"/>
    <col min="514" max="535" width="12.88671875" style="76" customWidth="1"/>
    <col min="536" max="767" width="9.109375" style="76"/>
    <col min="768" max="768" width="33.88671875" style="76" customWidth="1"/>
    <col min="769" max="769" width="19.33203125" style="76" customWidth="1"/>
    <col min="770" max="791" width="12.88671875" style="76" customWidth="1"/>
    <col min="792" max="1023" width="9.109375" style="76"/>
    <col min="1024" max="1024" width="33.88671875" style="76" customWidth="1"/>
    <col min="1025" max="1025" width="19.33203125" style="76" customWidth="1"/>
    <col min="1026" max="1047" width="12.88671875" style="76" customWidth="1"/>
    <col min="1048" max="1279" width="9.109375" style="76"/>
    <col min="1280" max="1280" width="33.88671875" style="76" customWidth="1"/>
    <col min="1281" max="1281" width="19.33203125" style="76" customWidth="1"/>
    <col min="1282" max="1303" width="12.88671875" style="76" customWidth="1"/>
    <col min="1304" max="1535" width="9.109375" style="76"/>
    <col min="1536" max="1536" width="33.88671875" style="76" customWidth="1"/>
    <col min="1537" max="1537" width="19.33203125" style="76" customWidth="1"/>
    <col min="1538" max="1559" width="12.88671875" style="76" customWidth="1"/>
    <col min="1560" max="1791" width="9.109375" style="76"/>
    <col min="1792" max="1792" width="33.88671875" style="76" customWidth="1"/>
    <col min="1793" max="1793" width="19.33203125" style="76" customWidth="1"/>
    <col min="1794" max="1815" width="12.88671875" style="76" customWidth="1"/>
    <col min="1816" max="2047" width="9.109375" style="76"/>
    <col min="2048" max="2048" width="33.88671875" style="76" customWidth="1"/>
    <col min="2049" max="2049" width="19.33203125" style="76" customWidth="1"/>
    <col min="2050" max="2071" width="12.88671875" style="76" customWidth="1"/>
    <col min="2072" max="2303" width="9.109375" style="76"/>
    <col min="2304" max="2304" width="33.88671875" style="76" customWidth="1"/>
    <col min="2305" max="2305" width="19.33203125" style="76" customWidth="1"/>
    <col min="2306" max="2327" width="12.88671875" style="76" customWidth="1"/>
    <col min="2328" max="2559" width="9.109375" style="76"/>
    <col min="2560" max="2560" width="33.88671875" style="76" customWidth="1"/>
    <col min="2561" max="2561" width="19.33203125" style="76" customWidth="1"/>
    <col min="2562" max="2583" width="12.88671875" style="76" customWidth="1"/>
    <col min="2584" max="2815" width="9.109375" style="76"/>
    <col min="2816" max="2816" width="33.88671875" style="76" customWidth="1"/>
    <col min="2817" max="2817" width="19.33203125" style="76" customWidth="1"/>
    <col min="2818" max="2839" width="12.88671875" style="76" customWidth="1"/>
    <col min="2840" max="3071" width="9.109375" style="76"/>
    <col min="3072" max="3072" width="33.88671875" style="76" customWidth="1"/>
    <col min="3073" max="3073" width="19.33203125" style="76" customWidth="1"/>
    <col min="3074" max="3095" width="12.88671875" style="76" customWidth="1"/>
    <col min="3096" max="3327" width="9.109375" style="76"/>
    <col min="3328" max="3328" width="33.88671875" style="76" customWidth="1"/>
    <col min="3329" max="3329" width="19.33203125" style="76" customWidth="1"/>
    <col min="3330" max="3351" width="12.88671875" style="76" customWidth="1"/>
    <col min="3352" max="3583" width="9.109375" style="76"/>
    <col min="3584" max="3584" width="33.88671875" style="76" customWidth="1"/>
    <col min="3585" max="3585" width="19.33203125" style="76" customWidth="1"/>
    <col min="3586" max="3607" width="12.88671875" style="76" customWidth="1"/>
    <col min="3608" max="3839" width="9.109375" style="76"/>
    <col min="3840" max="3840" width="33.88671875" style="76" customWidth="1"/>
    <col min="3841" max="3841" width="19.33203125" style="76" customWidth="1"/>
    <col min="3842" max="3863" width="12.88671875" style="76" customWidth="1"/>
    <col min="3864" max="4095" width="9.109375" style="76"/>
    <col min="4096" max="4096" width="33.88671875" style="76" customWidth="1"/>
    <col min="4097" max="4097" width="19.33203125" style="76" customWidth="1"/>
    <col min="4098" max="4119" width="12.88671875" style="76" customWidth="1"/>
    <col min="4120" max="4351" width="9.109375" style="76"/>
    <col min="4352" max="4352" width="33.88671875" style="76" customWidth="1"/>
    <col min="4353" max="4353" width="19.33203125" style="76" customWidth="1"/>
    <col min="4354" max="4375" width="12.88671875" style="76" customWidth="1"/>
    <col min="4376" max="4607" width="9.109375" style="76"/>
    <col min="4608" max="4608" width="33.88671875" style="76" customWidth="1"/>
    <col min="4609" max="4609" width="19.33203125" style="76" customWidth="1"/>
    <col min="4610" max="4631" width="12.88671875" style="76" customWidth="1"/>
    <col min="4632" max="4863" width="9.109375" style="76"/>
    <col min="4864" max="4864" width="33.88671875" style="76" customWidth="1"/>
    <col min="4865" max="4865" width="19.33203125" style="76" customWidth="1"/>
    <col min="4866" max="4887" width="12.88671875" style="76" customWidth="1"/>
    <col min="4888" max="5119" width="9.109375" style="76"/>
    <col min="5120" max="5120" width="33.88671875" style="76" customWidth="1"/>
    <col min="5121" max="5121" width="19.33203125" style="76" customWidth="1"/>
    <col min="5122" max="5143" width="12.88671875" style="76" customWidth="1"/>
    <col min="5144" max="5375" width="9.109375" style="76"/>
    <col min="5376" max="5376" width="33.88671875" style="76" customWidth="1"/>
    <col min="5377" max="5377" width="19.33203125" style="76" customWidth="1"/>
    <col min="5378" max="5399" width="12.88671875" style="76" customWidth="1"/>
    <col min="5400" max="5631" width="9.109375" style="76"/>
    <col min="5632" max="5632" width="33.88671875" style="76" customWidth="1"/>
    <col min="5633" max="5633" width="19.33203125" style="76" customWidth="1"/>
    <col min="5634" max="5655" width="12.88671875" style="76" customWidth="1"/>
    <col min="5656" max="5887" width="9.109375" style="76"/>
    <col min="5888" max="5888" width="33.88671875" style="76" customWidth="1"/>
    <col min="5889" max="5889" width="19.33203125" style="76" customWidth="1"/>
    <col min="5890" max="5911" width="12.88671875" style="76" customWidth="1"/>
    <col min="5912" max="6143" width="9.109375" style="76"/>
    <col min="6144" max="6144" width="33.88671875" style="76" customWidth="1"/>
    <col min="6145" max="6145" width="19.33203125" style="76" customWidth="1"/>
    <col min="6146" max="6167" width="12.88671875" style="76" customWidth="1"/>
    <col min="6168" max="6399" width="9.109375" style="76"/>
    <col min="6400" max="6400" width="33.88671875" style="76" customWidth="1"/>
    <col min="6401" max="6401" width="19.33203125" style="76" customWidth="1"/>
    <col min="6402" max="6423" width="12.88671875" style="76" customWidth="1"/>
    <col min="6424" max="6655" width="9.109375" style="76"/>
    <col min="6656" max="6656" width="33.88671875" style="76" customWidth="1"/>
    <col min="6657" max="6657" width="19.33203125" style="76" customWidth="1"/>
    <col min="6658" max="6679" width="12.88671875" style="76" customWidth="1"/>
    <col min="6680" max="6911" width="9.109375" style="76"/>
    <col min="6912" max="6912" width="33.88671875" style="76" customWidth="1"/>
    <col min="6913" max="6913" width="19.33203125" style="76" customWidth="1"/>
    <col min="6914" max="6935" width="12.88671875" style="76" customWidth="1"/>
    <col min="6936" max="7167" width="9.109375" style="76"/>
    <col min="7168" max="7168" width="33.88671875" style="76" customWidth="1"/>
    <col min="7169" max="7169" width="19.33203125" style="76" customWidth="1"/>
    <col min="7170" max="7191" width="12.88671875" style="76" customWidth="1"/>
    <col min="7192" max="7423" width="9.109375" style="76"/>
    <col min="7424" max="7424" width="33.88671875" style="76" customWidth="1"/>
    <col min="7425" max="7425" width="19.33203125" style="76" customWidth="1"/>
    <col min="7426" max="7447" width="12.88671875" style="76" customWidth="1"/>
    <col min="7448" max="7679" width="9.109375" style="76"/>
    <col min="7680" max="7680" width="33.88671875" style="76" customWidth="1"/>
    <col min="7681" max="7681" width="19.33203125" style="76" customWidth="1"/>
    <col min="7682" max="7703" width="12.88671875" style="76" customWidth="1"/>
    <col min="7704" max="7935" width="9.109375" style="76"/>
    <col min="7936" max="7936" width="33.88671875" style="76" customWidth="1"/>
    <col min="7937" max="7937" width="19.33203125" style="76" customWidth="1"/>
    <col min="7938" max="7959" width="12.88671875" style="76" customWidth="1"/>
    <col min="7960" max="8191" width="9.109375" style="76"/>
    <col min="8192" max="8192" width="33.88671875" style="76" customWidth="1"/>
    <col min="8193" max="8193" width="19.33203125" style="76" customWidth="1"/>
    <col min="8194" max="8215" width="12.88671875" style="76" customWidth="1"/>
    <col min="8216" max="8447" width="9.109375" style="76"/>
    <col min="8448" max="8448" width="33.88671875" style="76" customWidth="1"/>
    <col min="8449" max="8449" width="19.33203125" style="76" customWidth="1"/>
    <col min="8450" max="8471" width="12.88671875" style="76" customWidth="1"/>
    <col min="8472" max="8703" width="9.109375" style="76"/>
    <col min="8704" max="8704" width="33.88671875" style="76" customWidth="1"/>
    <col min="8705" max="8705" width="19.33203125" style="76" customWidth="1"/>
    <col min="8706" max="8727" width="12.88671875" style="76" customWidth="1"/>
    <col min="8728" max="8959" width="9.109375" style="76"/>
    <col min="8960" max="8960" width="33.88671875" style="76" customWidth="1"/>
    <col min="8961" max="8961" width="19.33203125" style="76" customWidth="1"/>
    <col min="8962" max="8983" width="12.88671875" style="76" customWidth="1"/>
    <col min="8984" max="9215" width="9.109375" style="76"/>
    <col min="9216" max="9216" width="33.88671875" style="76" customWidth="1"/>
    <col min="9217" max="9217" width="19.33203125" style="76" customWidth="1"/>
    <col min="9218" max="9239" width="12.88671875" style="76" customWidth="1"/>
    <col min="9240" max="9471" width="9.109375" style="76"/>
    <col min="9472" max="9472" width="33.88671875" style="76" customWidth="1"/>
    <col min="9473" max="9473" width="19.33203125" style="76" customWidth="1"/>
    <col min="9474" max="9495" width="12.88671875" style="76" customWidth="1"/>
    <col min="9496" max="9727" width="9.109375" style="76"/>
    <col min="9728" max="9728" width="33.88671875" style="76" customWidth="1"/>
    <col min="9729" max="9729" width="19.33203125" style="76" customWidth="1"/>
    <col min="9730" max="9751" width="12.88671875" style="76" customWidth="1"/>
    <col min="9752" max="9983" width="9.109375" style="76"/>
    <col min="9984" max="9984" width="33.88671875" style="76" customWidth="1"/>
    <col min="9985" max="9985" width="19.33203125" style="76" customWidth="1"/>
    <col min="9986" max="10007" width="12.88671875" style="76" customWidth="1"/>
    <col min="10008" max="10239" width="9.109375" style="76"/>
    <col min="10240" max="10240" width="33.88671875" style="76" customWidth="1"/>
    <col min="10241" max="10241" width="19.33203125" style="76" customWidth="1"/>
    <col min="10242" max="10263" width="12.88671875" style="76" customWidth="1"/>
    <col min="10264" max="10495" width="9.109375" style="76"/>
    <col min="10496" max="10496" width="33.88671875" style="76" customWidth="1"/>
    <col min="10497" max="10497" width="19.33203125" style="76" customWidth="1"/>
    <col min="10498" max="10519" width="12.88671875" style="76" customWidth="1"/>
    <col min="10520" max="10751" width="9.109375" style="76"/>
    <col min="10752" max="10752" width="33.88671875" style="76" customWidth="1"/>
    <col min="10753" max="10753" width="19.33203125" style="76" customWidth="1"/>
    <col min="10754" max="10775" width="12.88671875" style="76" customWidth="1"/>
    <col min="10776" max="11007" width="9.109375" style="76"/>
    <col min="11008" max="11008" width="33.88671875" style="76" customWidth="1"/>
    <col min="11009" max="11009" width="19.33203125" style="76" customWidth="1"/>
    <col min="11010" max="11031" width="12.88671875" style="76" customWidth="1"/>
    <col min="11032" max="11263" width="9.109375" style="76"/>
    <col min="11264" max="11264" width="33.88671875" style="76" customWidth="1"/>
    <col min="11265" max="11265" width="19.33203125" style="76" customWidth="1"/>
    <col min="11266" max="11287" width="12.88671875" style="76" customWidth="1"/>
    <col min="11288" max="11519" width="9.109375" style="76"/>
    <col min="11520" max="11520" width="33.88671875" style="76" customWidth="1"/>
    <col min="11521" max="11521" width="19.33203125" style="76" customWidth="1"/>
    <col min="11522" max="11543" width="12.88671875" style="76" customWidth="1"/>
    <col min="11544" max="11775" width="9.109375" style="76"/>
    <col min="11776" max="11776" width="33.88671875" style="76" customWidth="1"/>
    <col min="11777" max="11777" width="19.33203125" style="76" customWidth="1"/>
    <col min="11778" max="11799" width="12.88671875" style="76" customWidth="1"/>
    <col min="11800" max="12031" width="9.109375" style="76"/>
    <col min="12032" max="12032" width="33.88671875" style="76" customWidth="1"/>
    <col min="12033" max="12033" width="19.33203125" style="76" customWidth="1"/>
    <col min="12034" max="12055" width="12.88671875" style="76" customWidth="1"/>
    <col min="12056" max="12287" width="9.109375" style="76"/>
    <col min="12288" max="12288" width="33.88671875" style="76" customWidth="1"/>
    <col min="12289" max="12289" width="19.33203125" style="76" customWidth="1"/>
    <col min="12290" max="12311" width="12.88671875" style="76" customWidth="1"/>
    <col min="12312" max="12543" width="9.109375" style="76"/>
    <col min="12544" max="12544" width="33.88671875" style="76" customWidth="1"/>
    <col min="12545" max="12545" width="19.33203125" style="76" customWidth="1"/>
    <col min="12546" max="12567" width="12.88671875" style="76" customWidth="1"/>
    <col min="12568" max="12799" width="9.109375" style="76"/>
    <col min="12800" max="12800" width="33.88671875" style="76" customWidth="1"/>
    <col min="12801" max="12801" width="19.33203125" style="76" customWidth="1"/>
    <col min="12802" max="12823" width="12.88671875" style="76" customWidth="1"/>
    <col min="12824" max="13055" width="9.109375" style="76"/>
    <col min="13056" max="13056" width="33.88671875" style="76" customWidth="1"/>
    <col min="13057" max="13057" width="19.33203125" style="76" customWidth="1"/>
    <col min="13058" max="13079" width="12.88671875" style="76" customWidth="1"/>
    <col min="13080" max="13311" width="9.109375" style="76"/>
    <col min="13312" max="13312" width="33.88671875" style="76" customWidth="1"/>
    <col min="13313" max="13313" width="19.33203125" style="76" customWidth="1"/>
    <col min="13314" max="13335" width="12.88671875" style="76" customWidth="1"/>
    <col min="13336" max="13567" width="9.109375" style="76"/>
    <col min="13568" max="13568" width="33.88671875" style="76" customWidth="1"/>
    <col min="13569" max="13569" width="19.33203125" style="76" customWidth="1"/>
    <col min="13570" max="13591" width="12.88671875" style="76" customWidth="1"/>
    <col min="13592" max="13823" width="9.109375" style="76"/>
    <col min="13824" max="13824" width="33.88671875" style="76" customWidth="1"/>
    <col min="13825" max="13825" width="19.33203125" style="76" customWidth="1"/>
    <col min="13826" max="13847" width="12.88671875" style="76" customWidth="1"/>
    <col min="13848" max="14079" width="9.109375" style="76"/>
    <col min="14080" max="14080" width="33.88671875" style="76" customWidth="1"/>
    <col min="14081" max="14081" width="19.33203125" style="76" customWidth="1"/>
    <col min="14082" max="14103" width="12.88671875" style="76" customWidth="1"/>
    <col min="14104" max="14335" width="9.109375" style="76"/>
    <col min="14336" max="14336" width="33.88671875" style="76" customWidth="1"/>
    <col min="14337" max="14337" width="19.33203125" style="76" customWidth="1"/>
    <col min="14338" max="14359" width="12.88671875" style="76" customWidth="1"/>
    <col min="14360" max="14591" width="9.109375" style="76"/>
    <col min="14592" max="14592" width="33.88671875" style="76" customWidth="1"/>
    <col min="14593" max="14593" width="19.33203125" style="76" customWidth="1"/>
    <col min="14594" max="14615" width="12.88671875" style="76" customWidth="1"/>
    <col min="14616" max="14847" width="9.109375" style="76"/>
    <col min="14848" max="14848" width="33.88671875" style="76" customWidth="1"/>
    <col min="14849" max="14849" width="19.33203125" style="76" customWidth="1"/>
    <col min="14850" max="14871" width="12.88671875" style="76" customWidth="1"/>
    <col min="14872" max="15103" width="9.109375" style="76"/>
    <col min="15104" max="15104" width="33.88671875" style="76" customWidth="1"/>
    <col min="15105" max="15105" width="19.33203125" style="76" customWidth="1"/>
    <col min="15106" max="15127" width="12.88671875" style="76" customWidth="1"/>
    <col min="15128" max="15359" width="9.109375" style="76"/>
    <col min="15360" max="15360" width="33.88671875" style="76" customWidth="1"/>
    <col min="15361" max="15361" width="19.33203125" style="76" customWidth="1"/>
    <col min="15362" max="15383" width="12.88671875" style="76" customWidth="1"/>
    <col min="15384" max="15615" width="9.109375" style="76"/>
    <col min="15616" max="15616" width="33.88671875" style="76" customWidth="1"/>
    <col min="15617" max="15617" width="19.33203125" style="76" customWidth="1"/>
    <col min="15618" max="15639" width="12.88671875" style="76" customWidth="1"/>
    <col min="15640" max="15871" width="9.109375" style="76"/>
    <col min="15872" max="15872" width="33.88671875" style="76" customWidth="1"/>
    <col min="15873" max="15873" width="19.33203125" style="76" customWidth="1"/>
    <col min="15874" max="15895" width="12.88671875" style="76" customWidth="1"/>
    <col min="15896" max="16127" width="9.109375" style="76"/>
    <col min="16128" max="16128" width="33.88671875" style="76" customWidth="1"/>
    <col min="16129" max="16129" width="19.33203125" style="76" customWidth="1"/>
    <col min="16130" max="16151" width="12.88671875" style="76" customWidth="1"/>
    <col min="16152" max="16384" width="9.109375" style="76"/>
  </cols>
  <sheetData>
    <row r="1" spans="1:23" ht="16.2" thickBot="1">
      <c r="A1" s="494" t="s">
        <v>365</v>
      </c>
      <c r="B1" s="495"/>
      <c r="C1" s="495"/>
      <c r="D1" s="495"/>
      <c r="E1" s="495"/>
      <c r="F1" s="495"/>
      <c r="G1" s="495"/>
      <c r="H1" s="495"/>
      <c r="I1" s="495"/>
      <c r="J1" s="495"/>
      <c r="K1" s="495"/>
      <c r="L1" s="495"/>
      <c r="M1" s="495"/>
      <c r="N1" s="495"/>
      <c r="O1" s="495"/>
      <c r="P1" s="495"/>
      <c r="Q1" s="495"/>
      <c r="R1" s="495"/>
      <c r="S1" s="495"/>
      <c r="T1" s="495"/>
      <c r="U1" s="495"/>
      <c r="V1" s="495"/>
      <c r="W1" s="496"/>
    </row>
    <row r="2" spans="1:23" ht="16.2" thickBot="1">
      <c r="A2" s="181" t="s">
        <v>235</v>
      </c>
      <c r="B2" s="182"/>
      <c r="C2" s="182"/>
      <c r="D2" s="182"/>
      <c r="E2" s="182"/>
      <c r="F2" s="182"/>
      <c r="G2" s="182"/>
      <c r="H2" s="182"/>
      <c r="I2" s="182"/>
      <c r="J2" s="182"/>
      <c r="K2" s="182"/>
      <c r="L2" s="182"/>
      <c r="M2" s="183"/>
      <c r="N2" s="183"/>
      <c r="O2" s="183"/>
      <c r="P2" s="183"/>
      <c r="Q2" s="183"/>
      <c r="R2" s="183"/>
      <c r="S2" s="183"/>
      <c r="T2" s="183"/>
      <c r="U2" s="183"/>
      <c r="V2" s="183"/>
      <c r="W2" s="184"/>
    </row>
    <row r="3" spans="1:23" ht="15.6">
      <c r="A3" s="154" t="s">
        <v>233</v>
      </c>
      <c r="B3" s="155"/>
      <c r="C3" s="155"/>
      <c r="D3" s="156"/>
      <c r="E3" s="156"/>
      <c r="F3" s="156"/>
      <c r="G3" s="156"/>
      <c r="H3" s="156"/>
      <c r="I3" s="156"/>
      <c r="J3" s="156"/>
      <c r="K3" s="156"/>
      <c r="L3" s="156"/>
      <c r="M3" s="157"/>
      <c r="N3" s="157"/>
      <c r="O3" s="157"/>
      <c r="P3" s="157"/>
      <c r="Q3" s="157"/>
      <c r="R3" s="157"/>
      <c r="S3" s="157"/>
      <c r="T3" s="157"/>
      <c r="U3" s="157"/>
      <c r="V3" s="157"/>
      <c r="W3" s="158"/>
    </row>
    <row r="4" spans="1:23">
      <c r="A4" s="159"/>
      <c r="B4" s="160"/>
      <c r="C4" s="498" t="s">
        <v>230</v>
      </c>
      <c r="D4" s="498"/>
      <c r="E4" s="498"/>
      <c r="F4" s="498"/>
      <c r="G4" s="498"/>
      <c r="H4" s="498"/>
      <c r="I4" s="498"/>
      <c r="J4" s="498"/>
      <c r="K4" s="498"/>
      <c r="L4" s="498"/>
      <c r="M4" s="498"/>
      <c r="N4" s="498"/>
      <c r="O4" s="498"/>
      <c r="P4" s="498"/>
      <c r="Q4" s="498"/>
      <c r="R4" s="498"/>
      <c r="S4" s="498"/>
      <c r="T4" s="498"/>
      <c r="U4" s="498"/>
      <c r="V4" s="498"/>
      <c r="W4" s="499"/>
    </row>
    <row r="5" spans="1:23">
      <c r="A5" s="159"/>
      <c r="B5" s="161" t="s">
        <v>1</v>
      </c>
      <c r="C5" s="162">
        <v>2015</v>
      </c>
      <c r="D5" s="162">
        <v>2016</v>
      </c>
      <c r="E5" s="162">
        <v>2017</v>
      </c>
      <c r="F5" s="162">
        <v>2018</v>
      </c>
      <c r="G5" s="162">
        <v>2019</v>
      </c>
      <c r="H5" s="162">
        <v>2020</v>
      </c>
      <c r="I5" s="162">
        <v>2021</v>
      </c>
      <c r="J5" s="162">
        <v>2022</v>
      </c>
      <c r="K5" s="162">
        <v>2023</v>
      </c>
      <c r="L5" s="162">
        <v>2024</v>
      </c>
      <c r="M5" s="162">
        <v>2025</v>
      </c>
      <c r="N5" s="162">
        <v>2026</v>
      </c>
      <c r="O5" s="162">
        <v>2027</v>
      </c>
      <c r="P5" s="162">
        <v>2028</v>
      </c>
      <c r="Q5" s="162">
        <v>2029</v>
      </c>
      <c r="R5" s="162">
        <v>2030</v>
      </c>
      <c r="S5" s="162">
        <v>2031</v>
      </c>
      <c r="T5" s="162">
        <v>2032</v>
      </c>
      <c r="U5" s="162">
        <v>2033</v>
      </c>
      <c r="V5" s="162">
        <v>2034</v>
      </c>
      <c r="W5" s="163">
        <v>2035</v>
      </c>
    </row>
    <row r="6" spans="1:23" s="100" customFormat="1">
      <c r="A6" s="159"/>
      <c r="B6" s="161" t="s">
        <v>325</v>
      </c>
      <c r="C6" s="255">
        <f>'NW Customers'!B5-C7</f>
        <v>29279.767481969688</v>
      </c>
      <c r="D6" s="255">
        <f>'NW Customers'!C5-D7</f>
        <v>29707.394263233007</v>
      </c>
      <c r="E6" s="255">
        <f>'NW Customers'!D5-E7</f>
        <v>30141.16777539911</v>
      </c>
      <c r="F6" s="255">
        <f>'NW Customers'!E5-F7</f>
        <v>30561.39554703897</v>
      </c>
      <c r="G6" s="255">
        <f>'NW Customers'!F5-G7</f>
        <v>30975.767977234213</v>
      </c>
      <c r="H6" s="255">
        <f>'NW Customers'!G5-H7</f>
        <v>31353.145008649793</v>
      </c>
      <c r="I6" s="255">
        <f>'NW Customers'!H5-I7</f>
        <v>31729.715003368419</v>
      </c>
      <c r="J6" s="255">
        <f>'NW Customers'!I5-J7</f>
        <v>32151.285295967089</v>
      </c>
      <c r="K6" s="255">
        <f>'NW Customers'!J5-K7</f>
        <v>32568.907563842458</v>
      </c>
      <c r="L6" s="255">
        <f>'NW Customers'!K5-L7</f>
        <v>33007.376988986252</v>
      </c>
      <c r="M6" s="255">
        <f>'NW Customers'!L5-M7</f>
        <v>33428.672654676862</v>
      </c>
      <c r="N6" s="255">
        <f>'NW Customers'!M5-N7</f>
        <v>33842.64121789857</v>
      </c>
      <c r="O6" s="255">
        <f>'NW Customers'!N5-O7</f>
        <v>34251.07892881913</v>
      </c>
      <c r="P6" s="255">
        <f>'NW Customers'!O5-P7</f>
        <v>34658.106663052095</v>
      </c>
      <c r="Q6" s="255">
        <f>'NW Customers'!P5-Q7</f>
        <v>35062.805810918224</v>
      </c>
      <c r="R6" s="255">
        <f>'NW Customers'!Q5-R7</f>
        <v>35450.331451865175</v>
      </c>
      <c r="S6" s="255">
        <f>'NW Customers'!R5-S7</f>
        <v>35851.399174095553</v>
      </c>
      <c r="T6" s="255">
        <f>'NW Customers'!S5-T7</f>
        <v>36268.860132184433</v>
      </c>
      <c r="U6" s="255">
        <f>'NW Customers'!T5-U7</f>
        <v>36688.723436358341</v>
      </c>
      <c r="V6" s="255">
        <f>'NW Customers'!U5-V7</f>
        <v>37099.077806051202</v>
      </c>
      <c r="W6" s="256">
        <f>'NW Customers'!V5-W7</f>
        <v>37514.021888684547</v>
      </c>
    </row>
    <row r="7" spans="1:23" ht="13.8" thickBot="1">
      <c r="A7" s="159"/>
      <c r="B7" s="254" t="s">
        <v>324</v>
      </c>
      <c r="C7" s="257">
        <f>C8*0.15</f>
        <v>5167.0177909358272</v>
      </c>
      <c r="D7" s="257">
        <f t="shared" ref="D7:V7" si="0">D8*0.15</f>
        <v>5242.4813405705299</v>
      </c>
      <c r="E7" s="257">
        <f t="shared" si="0"/>
        <v>5319.029607423372</v>
      </c>
      <c r="F7" s="257">
        <f t="shared" si="0"/>
        <v>5393.1874494774656</v>
      </c>
      <c r="G7" s="257">
        <f t="shared" si="0"/>
        <v>5466.3119959825081</v>
      </c>
      <c r="H7" s="257">
        <f t="shared" si="0"/>
        <v>5532.9079427029046</v>
      </c>
      <c r="I7" s="257">
        <f t="shared" si="0"/>
        <v>5599.3614711826622</v>
      </c>
      <c r="J7" s="257">
        <f t="shared" si="0"/>
        <v>5673.7562287000737</v>
      </c>
      <c r="K7" s="257">
        <f t="shared" si="0"/>
        <v>5747.454275972198</v>
      </c>
      <c r="L7" s="257">
        <f t="shared" si="0"/>
        <v>5824.8312333505155</v>
      </c>
      <c r="M7" s="257">
        <f t="shared" si="0"/>
        <v>5899.1775272959176</v>
      </c>
      <c r="N7" s="257">
        <f t="shared" si="0"/>
        <v>5972.2308031585708</v>
      </c>
      <c r="O7" s="257">
        <f t="shared" si="0"/>
        <v>6044.3080462621983</v>
      </c>
      <c r="P7" s="257">
        <f t="shared" si="0"/>
        <v>6116.1364699503692</v>
      </c>
      <c r="Q7" s="257">
        <f t="shared" si="0"/>
        <v>6187.5539666326276</v>
      </c>
      <c r="R7" s="257">
        <f t="shared" si="0"/>
        <v>6255.9408444467945</v>
      </c>
      <c r="S7" s="257">
        <f t="shared" si="0"/>
        <v>6326.71750131098</v>
      </c>
      <c r="T7" s="257">
        <f t="shared" si="0"/>
        <v>6400.3870821501932</v>
      </c>
      <c r="U7" s="257">
        <f t="shared" si="0"/>
        <v>6474.4806064161785</v>
      </c>
      <c r="V7" s="257">
        <f t="shared" si="0"/>
        <v>6546.8960834208001</v>
      </c>
      <c r="W7" s="257">
        <f>W8*0.15</f>
        <v>6620.1215097678605</v>
      </c>
    </row>
    <row r="8" spans="1:23" ht="13.8" thickBot="1">
      <c r="A8" s="258"/>
      <c r="B8" s="261" t="s">
        <v>323</v>
      </c>
      <c r="C8" s="259">
        <f>'NW Customers'!B5</f>
        <v>34446.785272905516</v>
      </c>
      <c r="D8" s="259">
        <f>'NW Customers'!C5</f>
        <v>34949.875603803535</v>
      </c>
      <c r="E8" s="259">
        <f>'NW Customers'!D5</f>
        <v>35460.19738282248</v>
      </c>
      <c r="F8" s="259">
        <f>'NW Customers'!E5</f>
        <v>35954.582996516438</v>
      </c>
      <c r="G8" s="259">
        <f>'NW Customers'!F5</f>
        <v>36442.079973216722</v>
      </c>
      <c r="H8" s="259">
        <f>'NW Customers'!G5</f>
        <v>36886.0529513527</v>
      </c>
      <c r="I8" s="259">
        <f>'NW Customers'!H5</f>
        <v>37329.076474551082</v>
      </c>
      <c r="J8" s="259">
        <f>'NW Customers'!I5</f>
        <v>37825.041524667162</v>
      </c>
      <c r="K8" s="259">
        <f>'NW Customers'!J5</f>
        <v>38316.361839814657</v>
      </c>
      <c r="L8" s="259">
        <f>'NW Customers'!K5</f>
        <v>38832.208222336769</v>
      </c>
      <c r="M8" s="259">
        <f>'NW Customers'!L5</f>
        <v>39327.850181972783</v>
      </c>
      <c r="N8" s="259">
        <f>'NW Customers'!M5</f>
        <v>39814.872021057141</v>
      </c>
      <c r="O8" s="259">
        <f>'NW Customers'!N5</f>
        <v>40295.386975081325</v>
      </c>
      <c r="P8" s="259">
        <f>'NW Customers'!O5</f>
        <v>40774.243133002463</v>
      </c>
      <c r="Q8" s="259">
        <f>'NW Customers'!P5</f>
        <v>41250.359777550853</v>
      </c>
      <c r="R8" s="259">
        <f>'NW Customers'!Q5</f>
        <v>41706.272296311967</v>
      </c>
      <c r="S8" s="259">
        <f>'NW Customers'!R5</f>
        <v>42178.116675406534</v>
      </c>
      <c r="T8" s="259">
        <f>'NW Customers'!S5</f>
        <v>42669.247214334624</v>
      </c>
      <c r="U8" s="259">
        <f>'NW Customers'!T5</f>
        <v>43163.204042774523</v>
      </c>
      <c r="V8" s="259">
        <f>'NW Customers'!U5</f>
        <v>43645.973889471999</v>
      </c>
      <c r="W8" s="260">
        <f>'NW Customers'!V5</f>
        <v>44134.143398452405</v>
      </c>
    </row>
    <row r="9" spans="1:23" ht="16.2" thickBot="1">
      <c r="A9" s="173"/>
      <c r="B9" s="173"/>
      <c r="C9" s="173"/>
      <c r="D9" s="174"/>
      <c r="E9" s="174"/>
      <c r="F9" s="174"/>
      <c r="G9" s="174"/>
      <c r="H9" s="174"/>
      <c r="I9" s="174"/>
      <c r="J9" s="174"/>
      <c r="K9" s="174"/>
      <c r="L9" s="174"/>
      <c r="M9" s="175"/>
      <c r="N9" s="175"/>
      <c r="O9" s="175"/>
      <c r="P9" s="175"/>
      <c r="Q9" s="175"/>
      <c r="R9" s="175"/>
      <c r="S9" s="175"/>
      <c r="T9" s="175"/>
      <c r="U9" s="175"/>
      <c r="V9" s="175"/>
      <c r="W9" s="175"/>
    </row>
    <row r="10" spans="1:23" ht="15.6">
      <c r="A10" s="154" t="s">
        <v>313</v>
      </c>
      <c r="B10" s="155"/>
      <c r="C10" s="155"/>
      <c r="D10" s="156"/>
      <c r="E10" s="156"/>
      <c r="F10" s="156"/>
      <c r="G10" s="156"/>
      <c r="H10" s="156"/>
      <c r="I10" s="156"/>
      <c r="J10" s="156"/>
      <c r="K10" s="156"/>
      <c r="L10" s="156"/>
      <c r="M10" s="157"/>
      <c r="N10" s="157"/>
      <c r="O10" s="157"/>
      <c r="P10" s="157"/>
      <c r="Q10" s="157"/>
      <c r="R10" s="157"/>
      <c r="S10" s="157"/>
      <c r="T10" s="157"/>
      <c r="U10" s="157"/>
      <c r="V10" s="157"/>
      <c r="W10" s="158"/>
    </row>
    <row r="11" spans="1:23" ht="15.6">
      <c r="A11" s="188"/>
      <c r="B11" s="161" t="s">
        <v>241</v>
      </c>
      <c r="C11" s="177">
        <f>KeyAssumptions!U11</f>
        <v>0.35</v>
      </c>
      <c r="D11" s="166"/>
      <c r="E11" s="166"/>
      <c r="F11" s="166"/>
      <c r="G11" s="166"/>
      <c r="H11" s="166"/>
      <c r="I11" s="166"/>
      <c r="J11" s="166"/>
      <c r="K11" s="166"/>
      <c r="L11" s="166"/>
      <c r="M11" s="167"/>
      <c r="N11" s="167"/>
      <c r="O11" s="167"/>
      <c r="P11" s="167"/>
      <c r="Q11" s="167"/>
      <c r="R11" s="167"/>
      <c r="S11" s="167"/>
      <c r="T11" s="167"/>
      <c r="U11" s="167"/>
      <c r="V11" s="167"/>
      <c r="W11" s="168"/>
    </row>
    <row r="12" spans="1:23" ht="15.6">
      <c r="A12" s="188"/>
      <c r="B12" s="161" t="s">
        <v>207</v>
      </c>
      <c r="C12" s="177">
        <f>KeyAssumptions!V11</f>
        <v>0.2</v>
      </c>
      <c r="D12" s="166"/>
      <c r="E12" s="166"/>
      <c r="F12" s="166"/>
      <c r="G12" s="166"/>
      <c r="H12" s="166"/>
      <c r="I12" s="166"/>
      <c r="J12" s="166"/>
      <c r="K12" s="166"/>
      <c r="L12" s="166"/>
      <c r="M12" s="167"/>
      <c r="N12" s="167"/>
      <c r="O12" s="167"/>
      <c r="P12" s="167"/>
      <c r="Q12" s="167"/>
      <c r="R12" s="167"/>
      <c r="S12" s="167"/>
      <c r="T12" s="167"/>
      <c r="U12" s="167"/>
      <c r="V12" s="167"/>
      <c r="W12" s="168"/>
    </row>
    <row r="13" spans="1:23" ht="15.75" customHeight="1">
      <c r="A13" s="188"/>
      <c r="B13" s="191" t="s">
        <v>355</v>
      </c>
      <c r="C13" s="177">
        <v>0.95</v>
      </c>
      <c r="D13" s="166"/>
      <c r="E13" s="166"/>
      <c r="F13" s="166"/>
      <c r="G13" s="166"/>
      <c r="H13" s="166"/>
      <c r="I13" s="166"/>
      <c r="J13" s="166"/>
      <c r="K13" s="166"/>
      <c r="L13" s="166"/>
      <c r="M13" s="167"/>
      <c r="N13" s="167"/>
      <c r="O13" s="167"/>
      <c r="P13" s="167"/>
      <c r="Q13" s="167"/>
      <c r="R13" s="167"/>
      <c r="S13" s="167"/>
      <c r="T13" s="167"/>
      <c r="U13" s="167"/>
      <c r="V13" s="167"/>
      <c r="W13" s="168"/>
    </row>
    <row r="14" spans="1:23" ht="15.6">
      <c r="A14" s="188"/>
      <c r="B14" s="160"/>
      <c r="C14" s="160"/>
      <c r="D14" s="166"/>
      <c r="E14" s="166"/>
      <c r="F14" s="166"/>
      <c r="G14" s="166"/>
      <c r="H14" s="166"/>
      <c r="I14" s="166"/>
      <c r="J14" s="166"/>
      <c r="K14" s="166"/>
      <c r="L14" s="166"/>
      <c r="M14" s="167"/>
      <c r="N14" s="167"/>
      <c r="O14" s="167"/>
      <c r="P14" s="167"/>
      <c r="Q14" s="167"/>
      <c r="R14" s="167"/>
      <c r="S14" s="167"/>
      <c r="T14" s="167"/>
      <c r="U14" s="167"/>
      <c r="V14" s="167"/>
      <c r="W14" s="168"/>
    </row>
    <row r="15" spans="1:23">
      <c r="A15" s="159"/>
      <c r="B15" s="161" t="s">
        <v>1</v>
      </c>
      <c r="C15" s="162">
        <v>2015</v>
      </c>
      <c r="D15" s="162">
        <v>2016</v>
      </c>
      <c r="E15" s="162">
        <v>2017</v>
      </c>
      <c r="F15" s="162">
        <v>2018</v>
      </c>
      <c r="G15" s="162">
        <v>2019</v>
      </c>
      <c r="H15" s="162">
        <v>2020</v>
      </c>
      <c r="I15" s="162">
        <v>2021</v>
      </c>
      <c r="J15" s="162">
        <v>2022</v>
      </c>
      <c r="K15" s="162">
        <v>2023</v>
      </c>
      <c r="L15" s="162">
        <v>2024</v>
      </c>
      <c r="M15" s="162">
        <v>2025</v>
      </c>
      <c r="N15" s="162">
        <v>2026</v>
      </c>
      <c r="O15" s="162">
        <v>2027</v>
      </c>
      <c r="P15" s="162">
        <v>2028</v>
      </c>
      <c r="Q15" s="162">
        <v>2029</v>
      </c>
      <c r="R15" s="162">
        <v>2030</v>
      </c>
      <c r="S15" s="162">
        <v>2031</v>
      </c>
      <c r="T15" s="162">
        <v>2032</v>
      </c>
      <c r="U15" s="162">
        <v>2033</v>
      </c>
      <c r="V15" s="162">
        <v>2034</v>
      </c>
      <c r="W15" s="163">
        <v>2035</v>
      </c>
    </row>
    <row r="16" spans="1:23">
      <c r="A16" s="159"/>
      <c r="B16" s="161" t="s">
        <v>231</v>
      </c>
      <c r="C16" s="177">
        <v>0.05</v>
      </c>
      <c r="D16" s="177">
        <v>0.2</v>
      </c>
      <c r="E16" s="177">
        <v>0.2</v>
      </c>
      <c r="F16" s="177">
        <v>0.2</v>
      </c>
      <c r="G16" s="177">
        <v>0.2</v>
      </c>
      <c r="H16" s="177">
        <v>0.15</v>
      </c>
      <c r="I16" s="177">
        <v>0</v>
      </c>
      <c r="J16" s="177">
        <v>0</v>
      </c>
      <c r="K16" s="177">
        <v>0</v>
      </c>
      <c r="L16" s="177">
        <v>0</v>
      </c>
      <c r="M16" s="177">
        <v>0</v>
      </c>
      <c r="N16" s="177">
        <v>0</v>
      </c>
      <c r="O16" s="177">
        <v>0</v>
      </c>
      <c r="P16" s="177">
        <v>0</v>
      </c>
      <c r="Q16" s="177">
        <v>0</v>
      </c>
      <c r="R16" s="177">
        <v>0</v>
      </c>
      <c r="S16" s="177">
        <v>0</v>
      </c>
      <c r="T16" s="177">
        <v>0</v>
      </c>
      <c r="U16" s="177">
        <v>0</v>
      </c>
      <c r="V16" s="177">
        <v>0</v>
      </c>
      <c r="W16" s="225">
        <v>0</v>
      </c>
    </row>
    <row r="17" spans="1:23">
      <c r="A17" s="159"/>
      <c r="B17" s="161" t="s">
        <v>237</v>
      </c>
      <c r="C17" s="177">
        <f>C16</f>
        <v>0.05</v>
      </c>
      <c r="D17" s="177">
        <f>C17+D16</f>
        <v>0.25</v>
      </c>
      <c r="E17" s="177">
        <f t="shared" ref="E17:W17" si="1">D17+E16</f>
        <v>0.45</v>
      </c>
      <c r="F17" s="177">
        <f t="shared" si="1"/>
        <v>0.65</v>
      </c>
      <c r="G17" s="177">
        <f t="shared" si="1"/>
        <v>0.85000000000000009</v>
      </c>
      <c r="H17" s="177">
        <f t="shared" si="1"/>
        <v>1</v>
      </c>
      <c r="I17" s="177">
        <f t="shared" si="1"/>
        <v>1</v>
      </c>
      <c r="J17" s="177">
        <f t="shared" si="1"/>
        <v>1</v>
      </c>
      <c r="K17" s="177">
        <f t="shared" si="1"/>
        <v>1</v>
      </c>
      <c r="L17" s="177">
        <f t="shared" si="1"/>
        <v>1</v>
      </c>
      <c r="M17" s="177">
        <f t="shared" si="1"/>
        <v>1</v>
      </c>
      <c r="N17" s="177">
        <f t="shared" si="1"/>
        <v>1</v>
      </c>
      <c r="O17" s="177">
        <f t="shared" si="1"/>
        <v>1</v>
      </c>
      <c r="P17" s="177">
        <f t="shared" si="1"/>
        <v>1</v>
      </c>
      <c r="Q17" s="177">
        <f t="shared" si="1"/>
        <v>1</v>
      </c>
      <c r="R17" s="177">
        <f t="shared" si="1"/>
        <v>1</v>
      </c>
      <c r="S17" s="177">
        <f t="shared" si="1"/>
        <v>1</v>
      </c>
      <c r="T17" s="177">
        <f t="shared" si="1"/>
        <v>1</v>
      </c>
      <c r="U17" s="177">
        <f t="shared" si="1"/>
        <v>1</v>
      </c>
      <c r="V17" s="177">
        <f t="shared" si="1"/>
        <v>1</v>
      </c>
      <c r="W17" s="225">
        <f t="shared" si="1"/>
        <v>1</v>
      </c>
    </row>
    <row r="18" spans="1:23">
      <c r="A18" s="159"/>
      <c r="B18" s="161" t="s">
        <v>232</v>
      </c>
      <c r="C18" s="177">
        <v>0.01</v>
      </c>
      <c r="D18" s="177">
        <v>0.01</v>
      </c>
      <c r="E18" s="177">
        <v>0.01</v>
      </c>
      <c r="F18" s="177">
        <v>0.01</v>
      </c>
      <c r="G18" s="177">
        <v>0.01</v>
      </c>
      <c r="H18" s="177">
        <v>0.01</v>
      </c>
      <c r="I18" s="177">
        <v>0.01</v>
      </c>
      <c r="J18" s="177">
        <v>0.01</v>
      </c>
      <c r="K18" s="177">
        <v>0.01</v>
      </c>
      <c r="L18" s="177">
        <v>0.01</v>
      </c>
      <c r="M18" s="177">
        <v>0.01</v>
      </c>
      <c r="N18" s="177">
        <v>0.01</v>
      </c>
      <c r="O18" s="177">
        <v>0.01</v>
      </c>
      <c r="P18" s="177">
        <v>0.01</v>
      </c>
      <c r="Q18" s="177">
        <v>0.01</v>
      </c>
      <c r="R18" s="177">
        <v>0.01</v>
      </c>
      <c r="S18" s="177">
        <v>0.01</v>
      </c>
      <c r="T18" s="177">
        <v>0.01</v>
      </c>
      <c r="U18" s="177">
        <v>0.01</v>
      </c>
      <c r="V18" s="177">
        <v>0.01</v>
      </c>
      <c r="W18" s="225">
        <v>0.01</v>
      </c>
    </row>
    <row r="19" spans="1:23" ht="13.8" thickBot="1">
      <c r="A19" s="164"/>
      <c r="B19" s="165" t="s">
        <v>300</v>
      </c>
      <c r="C19" s="226">
        <f>1-'Ag-Ind-Capacity-Base'!C19</f>
        <v>0.5</v>
      </c>
      <c r="D19" s="226">
        <f>1-'Ag-Ind-Capacity-Base'!D19</f>
        <v>0.5</v>
      </c>
      <c r="E19" s="226">
        <f>1-'Ag-Ind-Capacity-Base'!E19</f>
        <v>0.5</v>
      </c>
      <c r="F19" s="226">
        <f>1-'Ag-Ind-Capacity-Base'!F19</f>
        <v>0.5</v>
      </c>
      <c r="G19" s="226">
        <f>1-'Ag-Ind-Capacity-Base'!G19</f>
        <v>0.5</v>
      </c>
      <c r="H19" s="226">
        <f>1-'Ag-Ind-Capacity-Base'!H19</f>
        <v>0.5</v>
      </c>
      <c r="I19" s="226">
        <f>1-'Ag-Ind-Capacity-Base'!I19</f>
        <v>0.5</v>
      </c>
      <c r="J19" s="226">
        <f>1-'Ag-Ind-Capacity-Base'!J19</f>
        <v>0.5</v>
      </c>
      <c r="K19" s="226">
        <f>1-'Ag-Ind-Capacity-Base'!K19</f>
        <v>0.5</v>
      </c>
      <c r="L19" s="226">
        <f>1-'Ag-Ind-Capacity-Base'!L19</f>
        <v>0.5</v>
      </c>
      <c r="M19" s="226">
        <f>1-'Ag-Ind-Capacity-Base'!M19</f>
        <v>0.5</v>
      </c>
      <c r="N19" s="226">
        <f>1-'Ag-Ind-Capacity-Base'!N19</f>
        <v>0.5</v>
      </c>
      <c r="O19" s="226">
        <f>1-'Ag-Ind-Capacity-Base'!O19</f>
        <v>0.5</v>
      </c>
      <c r="P19" s="226">
        <f>1-'Ag-Ind-Capacity-Base'!P19</f>
        <v>0.5</v>
      </c>
      <c r="Q19" s="226">
        <f>1-'Ag-Ind-Capacity-Base'!Q19</f>
        <v>0.5</v>
      </c>
      <c r="R19" s="226">
        <f>1-'Ag-Ind-Capacity-Base'!R19</f>
        <v>0.5</v>
      </c>
      <c r="S19" s="226">
        <f>1-'Ag-Ind-Capacity-Base'!S19</f>
        <v>0.5</v>
      </c>
      <c r="T19" s="226">
        <f>1-'Ag-Ind-Capacity-Base'!T19</f>
        <v>0.5</v>
      </c>
      <c r="U19" s="226">
        <f>1-'Ag-Ind-Capacity-Base'!U19</f>
        <v>0.5</v>
      </c>
      <c r="V19" s="226">
        <f>1-'Ag-Ind-Capacity-Base'!V19</f>
        <v>0.5</v>
      </c>
      <c r="W19" s="226">
        <f>1-'Ag-Ind-Capacity-Base'!W19</f>
        <v>0.5</v>
      </c>
    </row>
    <row r="20" spans="1:23" ht="16.2" thickBot="1">
      <c r="A20" s="173"/>
      <c r="B20" s="173"/>
      <c r="C20" s="173"/>
      <c r="D20" s="174"/>
      <c r="E20" s="174"/>
      <c r="F20" s="174"/>
      <c r="G20" s="174"/>
      <c r="H20" s="174"/>
      <c r="I20" s="174"/>
      <c r="J20" s="174"/>
      <c r="K20" s="174"/>
      <c r="L20" s="174"/>
      <c r="M20" s="175"/>
      <c r="N20" s="175"/>
      <c r="O20" s="175"/>
      <c r="P20" s="175"/>
      <c r="Q20" s="175"/>
      <c r="R20" s="175"/>
      <c r="S20" s="175"/>
      <c r="T20" s="175"/>
      <c r="U20" s="175"/>
      <c r="V20" s="175"/>
      <c r="W20" s="175"/>
    </row>
    <row r="21" spans="1:23" ht="15.6">
      <c r="A21" s="154" t="s">
        <v>322</v>
      </c>
      <c r="B21" s="155"/>
      <c r="C21" s="155"/>
      <c r="D21" s="156"/>
      <c r="E21" s="156"/>
      <c r="F21" s="156"/>
      <c r="G21" s="156"/>
      <c r="H21" s="156"/>
      <c r="I21" s="156"/>
      <c r="J21" s="156"/>
      <c r="K21" s="156"/>
      <c r="L21" s="156"/>
      <c r="M21" s="157"/>
      <c r="N21" s="157"/>
      <c r="O21" s="157"/>
      <c r="P21" s="157"/>
      <c r="Q21" s="157"/>
      <c r="R21" s="157"/>
      <c r="S21" s="157"/>
      <c r="T21" s="157"/>
      <c r="U21" s="157"/>
      <c r="V21" s="157"/>
      <c r="W21" s="158"/>
    </row>
    <row r="22" spans="1:23" ht="15.6">
      <c r="A22" s="188"/>
      <c r="B22" s="161" t="s">
        <v>241</v>
      </c>
      <c r="C22" s="176">
        <f>KeyAssumptions!U12</f>
        <v>0.17499999999999999</v>
      </c>
      <c r="D22" s="166"/>
      <c r="E22" s="166"/>
      <c r="F22" s="166"/>
      <c r="G22" s="166"/>
      <c r="H22" s="166"/>
      <c r="I22" s="166"/>
      <c r="J22" s="166"/>
      <c r="K22" s="166"/>
      <c r="L22" s="166"/>
      <c r="M22" s="167"/>
      <c r="N22" s="167"/>
      <c r="O22" s="167"/>
      <c r="P22" s="167"/>
      <c r="Q22" s="167"/>
      <c r="R22" s="167"/>
      <c r="S22" s="167"/>
      <c r="T22" s="167"/>
      <c r="U22" s="167"/>
      <c r="V22" s="167"/>
      <c r="W22" s="168"/>
    </row>
    <row r="23" spans="1:23" ht="15.6">
      <c r="A23" s="188"/>
      <c r="B23" s="161" t="s">
        <v>207</v>
      </c>
      <c r="C23" s="177">
        <f>KeyAssumptions!V12</f>
        <v>0.25</v>
      </c>
      <c r="D23" s="166"/>
      <c r="E23" s="166"/>
      <c r="F23" s="166"/>
      <c r="G23" s="166"/>
      <c r="H23" s="166"/>
      <c r="I23" s="166"/>
      <c r="J23" s="166"/>
      <c r="K23" s="166"/>
      <c r="L23" s="166"/>
      <c r="M23" s="167"/>
      <c r="N23" s="167"/>
      <c r="O23" s="167"/>
      <c r="P23" s="167"/>
      <c r="Q23" s="167"/>
      <c r="R23" s="167"/>
      <c r="S23" s="167"/>
      <c r="T23" s="167"/>
      <c r="U23" s="167"/>
      <c r="V23" s="167"/>
      <c r="W23" s="168"/>
    </row>
    <row r="24" spans="1:23" ht="15.75" customHeight="1">
      <c r="A24" s="188"/>
      <c r="B24" s="191" t="s">
        <v>355</v>
      </c>
      <c r="C24" s="177">
        <v>0.95</v>
      </c>
      <c r="D24" s="166"/>
      <c r="E24" s="166"/>
      <c r="F24" s="166"/>
      <c r="G24" s="166"/>
      <c r="H24" s="166"/>
      <c r="I24" s="166"/>
      <c r="J24" s="166"/>
      <c r="K24" s="166"/>
      <c r="L24" s="166"/>
      <c r="M24" s="167"/>
      <c r="N24" s="167"/>
      <c r="O24" s="167"/>
      <c r="P24" s="167"/>
      <c r="Q24" s="167"/>
      <c r="R24" s="167"/>
      <c r="S24" s="167"/>
      <c r="T24" s="167"/>
      <c r="U24" s="167"/>
      <c r="V24" s="167"/>
      <c r="W24" s="168"/>
    </row>
    <row r="25" spans="1:23" ht="15.6">
      <c r="A25" s="188"/>
      <c r="B25" s="160"/>
      <c r="C25" s="160"/>
      <c r="D25" s="166"/>
      <c r="E25" s="166"/>
      <c r="F25" s="166"/>
      <c r="G25" s="166"/>
      <c r="H25" s="166"/>
      <c r="I25" s="166"/>
      <c r="J25" s="166"/>
      <c r="K25" s="166"/>
      <c r="L25" s="166"/>
      <c r="M25" s="167"/>
      <c r="N25" s="167"/>
      <c r="O25" s="167"/>
      <c r="P25" s="167"/>
      <c r="Q25" s="167"/>
      <c r="R25" s="167"/>
      <c r="S25" s="167"/>
      <c r="T25" s="167"/>
      <c r="U25" s="167"/>
      <c r="V25" s="167"/>
      <c r="W25" s="168"/>
    </row>
    <row r="26" spans="1:23">
      <c r="A26" s="159"/>
      <c r="B26" s="161" t="s">
        <v>1</v>
      </c>
      <c r="C26" s="162">
        <v>2015</v>
      </c>
      <c r="D26" s="162">
        <v>2016</v>
      </c>
      <c r="E26" s="162">
        <v>2017</v>
      </c>
      <c r="F26" s="162">
        <v>2018</v>
      </c>
      <c r="G26" s="162">
        <v>2019</v>
      </c>
      <c r="H26" s="162">
        <v>2020</v>
      </c>
      <c r="I26" s="162">
        <v>2021</v>
      </c>
      <c r="J26" s="162">
        <v>2022</v>
      </c>
      <c r="K26" s="162">
        <v>2023</v>
      </c>
      <c r="L26" s="162">
        <v>2024</v>
      </c>
      <c r="M26" s="162">
        <v>2025</v>
      </c>
      <c r="N26" s="162">
        <v>2026</v>
      </c>
      <c r="O26" s="162">
        <v>2027</v>
      </c>
      <c r="P26" s="162">
        <v>2028</v>
      </c>
      <c r="Q26" s="162">
        <v>2029</v>
      </c>
      <c r="R26" s="162">
        <v>2030</v>
      </c>
      <c r="S26" s="162">
        <v>2031</v>
      </c>
      <c r="T26" s="162">
        <v>2032</v>
      </c>
      <c r="U26" s="162">
        <v>2033</v>
      </c>
      <c r="V26" s="162">
        <v>2034</v>
      </c>
      <c r="W26" s="163">
        <v>2035</v>
      </c>
    </row>
    <row r="27" spans="1:23">
      <c r="A27" s="159"/>
      <c r="B27" s="161" t="s">
        <v>231</v>
      </c>
      <c r="C27" s="177">
        <v>0.05</v>
      </c>
      <c r="D27" s="177">
        <v>0.2</v>
      </c>
      <c r="E27" s="177">
        <v>0.2</v>
      </c>
      <c r="F27" s="177">
        <v>0.2</v>
      </c>
      <c r="G27" s="177">
        <v>0.2</v>
      </c>
      <c r="H27" s="177">
        <v>0.15</v>
      </c>
      <c r="I27" s="177">
        <v>0</v>
      </c>
      <c r="J27" s="177">
        <v>0</v>
      </c>
      <c r="K27" s="177">
        <v>0</v>
      </c>
      <c r="L27" s="177">
        <v>0</v>
      </c>
      <c r="M27" s="177">
        <v>0</v>
      </c>
      <c r="N27" s="177">
        <v>0</v>
      </c>
      <c r="O27" s="177">
        <v>0</v>
      </c>
      <c r="P27" s="177">
        <v>0</v>
      </c>
      <c r="Q27" s="177">
        <v>0</v>
      </c>
      <c r="R27" s="177">
        <v>0</v>
      </c>
      <c r="S27" s="177">
        <v>0</v>
      </c>
      <c r="T27" s="177">
        <v>0</v>
      </c>
      <c r="U27" s="177">
        <v>0</v>
      </c>
      <c r="V27" s="177">
        <v>0</v>
      </c>
      <c r="W27" s="225">
        <v>0</v>
      </c>
    </row>
    <row r="28" spans="1:23">
      <c r="A28" s="159"/>
      <c r="B28" s="161" t="s">
        <v>237</v>
      </c>
      <c r="C28" s="177">
        <f>C27</f>
        <v>0.05</v>
      </c>
      <c r="D28" s="177">
        <f>C28+D27</f>
        <v>0.25</v>
      </c>
      <c r="E28" s="177">
        <f t="shared" ref="E28:W28" si="2">D28+E27</f>
        <v>0.45</v>
      </c>
      <c r="F28" s="177">
        <f t="shared" si="2"/>
        <v>0.65</v>
      </c>
      <c r="G28" s="177">
        <f t="shared" si="2"/>
        <v>0.85000000000000009</v>
      </c>
      <c r="H28" s="177">
        <f t="shared" si="2"/>
        <v>1</v>
      </c>
      <c r="I28" s="177">
        <f t="shared" si="2"/>
        <v>1</v>
      </c>
      <c r="J28" s="177">
        <f t="shared" si="2"/>
        <v>1</v>
      </c>
      <c r="K28" s="177">
        <f t="shared" si="2"/>
        <v>1</v>
      </c>
      <c r="L28" s="177">
        <f t="shared" si="2"/>
        <v>1</v>
      </c>
      <c r="M28" s="177">
        <f t="shared" si="2"/>
        <v>1</v>
      </c>
      <c r="N28" s="177">
        <f t="shared" si="2"/>
        <v>1</v>
      </c>
      <c r="O28" s="177">
        <f t="shared" si="2"/>
        <v>1</v>
      </c>
      <c r="P28" s="177">
        <f t="shared" si="2"/>
        <v>1</v>
      </c>
      <c r="Q28" s="177">
        <f t="shared" si="2"/>
        <v>1</v>
      </c>
      <c r="R28" s="177">
        <f t="shared" si="2"/>
        <v>1</v>
      </c>
      <c r="S28" s="177">
        <f t="shared" si="2"/>
        <v>1</v>
      </c>
      <c r="T28" s="177">
        <f t="shared" si="2"/>
        <v>1</v>
      </c>
      <c r="U28" s="177">
        <f t="shared" si="2"/>
        <v>1</v>
      </c>
      <c r="V28" s="177">
        <f t="shared" si="2"/>
        <v>1</v>
      </c>
      <c r="W28" s="225">
        <f t="shared" si="2"/>
        <v>1</v>
      </c>
    </row>
    <row r="29" spans="1:23">
      <c r="A29" s="159"/>
      <c r="B29" s="161" t="s">
        <v>232</v>
      </c>
      <c r="C29" s="177">
        <v>0.01</v>
      </c>
      <c r="D29" s="177">
        <v>0.01</v>
      </c>
      <c r="E29" s="177">
        <v>0.01</v>
      </c>
      <c r="F29" s="177">
        <v>0.01</v>
      </c>
      <c r="G29" s="177">
        <v>0.01</v>
      </c>
      <c r="H29" s="177">
        <v>0.01</v>
      </c>
      <c r="I29" s="177">
        <v>0.01</v>
      </c>
      <c r="J29" s="177">
        <v>0.01</v>
      </c>
      <c r="K29" s="177">
        <v>0.01</v>
      </c>
      <c r="L29" s="177">
        <v>0.01</v>
      </c>
      <c r="M29" s="177">
        <v>0.01</v>
      </c>
      <c r="N29" s="177">
        <v>0.01</v>
      </c>
      <c r="O29" s="177">
        <v>0.01</v>
      </c>
      <c r="P29" s="177">
        <v>0.01</v>
      </c>
      <c r="Q29" s="177">
        <v>0.01</v>
      </c>
      <c r="R29" s="177">
        <v>0.01</v>
      </c>
      <c r="S29" s="177">
        <v>0.01</v>
      </c>
      <c r="T29" s="177">
        <v>0.01</v>
      </c>
      <c r="U29" s="177">
        <v>0.01</v>
      </c>
      <c r="V29" s="177">
        <v>0.01</v>
      </c>
      <c r="W29" s="225">
        <v>0.01</v>
      </c>
    </row>
    <row r="30" spans="1:23" ht="13.8" thickBot="1">
      <c r="A30" s="164"/>
      <c r="B30" s="165" t="s">
        <v>300</v>
      </c>
      <c r="C30" s="226">
        <f>1-'Ag-Ind-Capacity-Base'!C30</f>
        <v>0.8</v>
      </c>
      <c r="D30" s="226">
        <f>1-'Ag-Ind-Capacity-Base'!D30</f>
        <v>0.8</v>
      </c>
      <c r="E30" s="226">
        <f>1-'Ag-Ind-Capacity-Base'!E30</f>
        <v>0.8</v>
      </c>
      <c r="F30" s="226">
        <f>1-'Ag-Ind-Capacity-Base'!F30</f>
        <v>0.8</v>
      </c>
      <c r="G30" s="226">
        <f>1-'Ag-Ind-Capacity-Base'!G30</f>
        <v>0.8</v>
      </c>
      <c r="H30" s="226">
        <f>1-'Ag-Ind-Capacity-Base'!H30</f>
        <v>0.8</v>
      </c>
      <c r="I30" s="226">
        <f>1-'Ag-Ind-Capacity-Base'!I30</f>
        <v>0.8</v>
      </c>
      <c r="J30" s="226">
        <f>1-'Ag-Ind-Capacity-Base'!J30</f>
        <v>0.8</v>
      </c>
      <c r="K30" s="226">
        <f>1-'Ag-Ind-Capacity-Base'!K30</f>
        <v>0.8</v>
      </c>
      <c r="L30" s="226">
        <f>1-'Ag-Ind-Capacity-Base'!L30</f>
        <v>0.8</v>
      </c>
      <c r="M30" s="226">
        <f>1-'Ag-Ind-Capacity-Base'!M30</f>
        <v>0.8</v>
      </c>
      <c r="N30" s="226">
        <f>1-'Ag-Ind-Capacity-Base'!N30</f>
        <v>0.8</v>
      </c>
      <c r="O30" s="226">
        <f>1-'Ag-Ind-Capacity-Base'!O30</f>
        <v>0.8</v>
      </c>
      <c r="P30" s="226">
        <f>1-'Ag-Ind-Capacity-Base'!P30</f>
        <v>0.8</v>
      </c>
      <c r="Q30" s="226">
        <f>1-'Ag-Ind-Capacity-Base'!Q30</f>
        <v>0.8</v>
      </c>
      <c r="R30" s="226">
        <f>1-'Ag-Ind-Capacity-Base'!R30</f>
        <v>0.8</v>
      </c>
      <c r="S30" s="226">
        <f>1-'Ag-Ind-Capacity-Base'!S30</f>
        <v>0.8</v>
      </c>
      <c r="T30" s="226">
        <f>1-'Ag-Ind-Capacity-Base'!T30</f>
        <v>0.8</v>
      </c>
      <c r="U30" s="226">
        <f>1-'Ag-Ind-Capacity-Base'!U30</f>
        <v>0.8</v>
      </c>
      <c r="V30" s="226">
        <f>1-'Ag-Ind-Capacity-Base'!V30</f>
        <v>0.8</v>
      </c>
      <c r="W30" s="226">
        <f>1-'Ag-Ind-Capacity-Base'!W30</f>
        <v>0.8</v>
      </c>
    </row>
    <row r="31" spans="1:23" ht="13.8" thickBot="1">
      <c r="A31" s="180"/>
      <c r="B31" s="180"/>
      <c r="C31" s="175"/>
      <c r="D31" s="175"/>
      <c r="E31" s="175"/>
      <c r="F31" s="175"/>
      <c r="G31" s="175"/>
      <c r="H31" s="175"/>
      <c r="I31" s="175"/>
      <c r="J31" s="175"/>
      <c r="K31" s="175"/>
      <c r="L31" s="175"/>
      <c r="M31" s="175"/>
      <c r="N31" s="175"/>
      <c r="O31" s="175"/>
      <c r="P31" s="175"/>
      <c r="Q31" s="175"/>
      <c r="R31" s="175"/>
      <c r="S31" s="175"/>
      <c r="T31" s="175"/>
      <c r="U31" s="175"/>
      <c r="V31" s="175"/>
      <c r="W31" s="175"/>
    </row>
    <row r="32" spans="1:23" ht="15.6">
      <c r="A32" s="154" t="s">
        <v>326</v>
      </c>
      <c r="B32" s="155"/>
      <c r="C32" s="155"/>
      <c r="D32" s="156"/>
      <c r="E32" s="156"/>
      <c r="F32" s="156"/>
      <c r="G32" s="156"/>
      <c r="H32" s="156"/>
      <c r="I32" s="156"/>
      <c r="J32" s="156"/>
      <c r="K32" s="156"/>
      <c r="L32" s="156"/>
      <c r="M32" s="157"/>
      <c r="N32" s="157"/>
      <c r="O32" s="157"/>
      <c r="P32" s="157"/>
      <c r="Q32" s="157"/>
      <c r="R32" s="157"/>
      <c r="S32" s="157"/>
      <c r="T32" s="157"/>
      <c r="U32" s="157"/>
      <c r="V32" s="157"/>
      <c r="W32" s="158"/>
    </row>
    <row r="33" spans="1:23" ht="15.6">
      <c r="A33" s="188"/>
      <c r="B33" s="161" t="s">
        <v>241</v>
      </c>
      <c r="C33" s="176">
        <f>KeyAssumptions!U13</f>
        <v>0.17499999999999999</v>
      </c>
      <c r="D33" s="166"/>
      <c r="E33" s="166"/>
      <c r="F33" s="166"/>
      <c r="G33" s="166"/>
      <c r="H33" s="166"/>
      <c r="I33" s="166"/>
      <c r="J33" s="166"/>
      <c r="K33" s="166"/>
      <c r="L33" s="166"/>
      <c r="M33" s="167"/>
      <c r="N33" s="167"/>
      <c r="O33" s="167"/>
      <c r="P33" s="167"/>
      <c r="Q33" s="167"/>
      <c r="R33" s="167"/>
      <c r="S33" s="167"/>
      <c r="T33" s="167"/>
      <c r="U33" s="167"/>
      <c r="V33" s="167"/>
      <c r="W33" s="168"/>
    </row>
    <row r="34" spans="1:23" ht="15.6">
      <c r="A34" s="188"/>
      <c r="B34" s="161" t="s">
        <v>207</v>
      </c>
      <c r="C34" s="177">
        <f>KeyAssumptions!V13</f>
        <v>0.25</v>
      </c>
      <c r="D34" s="166"/>
      <c r="E34" s="166"/>
      <c r="F34" s="166"/>
      <c r="G34" s="166"/>
      <c r="H34" s="166"/>
      <c r="I34" s="166"/>
      <c r="J34" s="166"/>
      <c r="K34" s="166"/>
      <c r="L34" s="166"/>
      <c r="M34" s="167"/>
      <c r="N34" s="167"/>
      <c r="O34" s="167"/>
      <c r="P34" s="167"/>
      <c r="Q34" s="167"/>
      <c r="R34" s="167"/>
      <c r="S34" s="167"/>
      <c r="T34" s="167"/>
      <c r="U34" s="167"/>
      <c r="V34" s="167"/>
      <c r="W34" s="168"/>
    </row>
    <row r="35" spans="1:23" ht="15.75" customHeight="1">
      <c r="A35" s="188"/>
      <c r="B35" s="191" t="s">
        <v>355</v>
      </c>
      <c r="C35" s="177">
        <v>0.95</v>
      </c>
      <c r="D35" s="166"/>
      <c r="E35" s="166"/>
      <c r="F35" s="166"/>
      <c r="G35" s="166"/>
      <c r="H35" s="166"/>
      <c r="I35" s="166"/>
      <c r="J35" s="166"/>
      <c r="K35" s="166"/>
      <c r="L35" s="166"/>
      <c r="M35" s="167"/>
      <c r="N35" s="167"/>
      <c r="O35" s="167"/>
      <c r="P35" s="167"/>
      <c r="Q35" s="167"/>
      <c r="R35" s="167"/>
      <c r="S35" s="167"/>
      <c r="T35" s="167"/>
      <c r="U35" s="167"/>
      <c r="V35" s="167"/>
      <c r="W35" s="168"/>
    </row>
    <row r="36" spans="1:23" ht="15.6">
      <c r="A36" s="188"/>
      <c r="B36" s="160"/>
      <c r="C36" s="160"/>
      <c r="D36" s="166"/>
      <c r="E36" s="166"/>
      <c r="F36" s="166"/>
      <c r="G36" s="166"/>
      <c r="H36" s="166"/>
      <c r="I36" s="166"/>
      <c r="J36" s="166"/>
      <c r="K36" s="166"/>
      <c r="L36" s="166"/>
      <c r="M36" s="167"/>
      <c r="N36" s="167"/>
      <c r="O36" s="167"/>
      <c r="P36" s="167"/>
      <c r="Q36" s="167"/>
      <c r="R36" s="167"/>
      <c r="S36" s="167"/>
      <c r="T36" s="167"/>
      <c r="U36" s="167"/>
      <c r="V36" s="167"/>
      <c r="W36" s="168"/>
    </row>
    <row r="37" spans="1:23">
      <c r="A37" s="159"/>
      <c r="B37" s="161" t="s">
        <v>1</v>
      </c>
      <c r="C37" s="162">
        <v>2015</v>
      </c>
      <c r="D37" s="162">
        <v>2016</v>
      </c>
      <c r="E37" s="162">
        <v>2017</v>
      </c>
      <c r="F37" s="162">
        <v>2018</v>
      </c>
      <c r="G37" s="162">
        <v>2019</v>
      </c>
      <c r="H37" s="162">
        <v>2020</v>
      </c>
      <c r="I37" s="162">
        <v>2021</v>
      </c>
      <c r="J37" s="162">
        <v>2022</v>
      </c>
      <c r="K37" s="162">
        <v>2023</v>
      </c>
      <c r="L37" s="162">
        <v>2024</v>
      </c>
      <c r="M37" s="162">
        <v>2025</v>
      </c>
      <c r="N37" s="162">
        <v>2026</v>
      </c>
      <c r="O37" s="162">
        <v>2027</v>
      </c>
      <c r="P37" s="162">
        <v>2028</v>
      </c>
      <c r="Q37" s="162">
        <v>2029</v>
      </c>
      <c r="R37" s="162">
        <v>2030</v>
      </c>
      <c r="S37" s="162">
        <v>2031</v>
      </c>
      <c r="T37" s="162">
        <v>2032</v>
      </c>
      <c r="U37" s="162">
        <v>2033</v>
      </c>
      <c r="V37" s="162">
        <v>2034</v>
      </c>
      <c r="W37" s="163">
        <v>2035</v>
      </c>
    </row>
    <row r="38" spans="1:23">
      <c r="A38" s="159"/>
      <c r="B38" s="161" t="s">
        <v>231</v>
      </c>
      <c r="C38" s="177">
        <v>0.05</v>
      </c>
      <c r="D38" s="177">
        <v>0.2</v>
      </c>
      <c r="E38" s="177">
        <v>0.2</v>
      </c>
      <c r="F38" s="177">
        <v>0.2</v>
      </c>
      <c r="G38" s="177">
        <v>0.2</v>
      </c>
      <c r="H38" s="177">
        <v>0.15</v>
      </c>
      <c r="I38" s="177">
        <v>0</v>
      </c>
      <c r="J38" s="177">
        <v>0</v>
      </c>
      <c r="K38" s="177">
        <v>0</v>
      </c>
      <c r="L38" s="177">
        <v>0</v>
      </c>
      <c r="M38" s="177">
        <v>0</v>
      </c>
      <c r="N38" s="177">
        <v>0</v>
      </c>
      <c r="O38" s="177">
        <v>0</v>
      </c>
      <c r="P38" s="177">
        <v>0</v>
      </c>
      <c r="Q38" s="177">
        <v>0</v>
      </c>
      <c r="R38" s="177">
        <v>0</v>
      </c>
      <c r="S38" s="177">
        <v>0</v>
      </c>
      <c r="T38" s="177">
        <v>0</v>
      </c>
      <c r="U38" s="177">
        <v>0</v>
      </c>
      <c r="V38" s="177">
        <v>0</v>
      </c>
      <c r="W38" s="225">
        <v>0</v>
      </c>
    </row>
    <row r="39" spans="1:23">
      <c r="A39" s="159"/>
      <c r="B39" s="161" t="s">
        <v>237</v>
      </c>
      <c r="C39" s="177">
        <f>C38</f>
        <v>0.05</v>
      </c>
      <c r="D39" s="177">
        <f>C39+D38</f>
        <v>0.25</v>
      </c>
      <c r="E39" s="177">
        <f t="shared" ref="E39:W39" si="3">D39+E38</f>
        <v>0.45</v>
      </c>
      <c r="F39" s="177">
        <f t="shared" si="3"/>
        <v>0.65</v>
      </c>
      <c r="G39" s="177">
        <f t="shared" si="3"/>
        <v>0.85000000000000009</v>
      </c>
      <c r="H39" s="177">
        <f t="shared" si="3"/>
        <v>1</v>
      </c>
      <c r="I39" s="177">
        <f t="shared" si="3"/>
        <v>1</v>
      </c>
      <c r="J39" s="177">
        <f t="shared" si="3"/>
        <v>1</v>
      </c>
      <c r="K39" s="177">
        <f t="shared" si="3"/>
        <v>1</v>
      </c>
      <c r="L39" s="177">
        <f t="shared" si="3"/>
        <v>1</v>
      </c>
      <c r="M39" s="177">
        <f t="shared" si="3"/>
        <v>1</v>
      </c>
      <c r="N39" s="177">
        <f t="shared" si="3"/>
        <v>1</v>
      </c>
      <c r="O39" s="177">
        <f t="shared" si="3"/>
        <v>1</v>
      </c>
      <c r="P39" s="177">
        <f t="shared" si="3"/>
        <v>1</v>
      </c>
      <c r="Q39" s="177">
        <f t="shared" si="3"/>
        <v>1</v>
      </c>
      <c r="R39" s="177">
        <f t="shared" si="3"/>
        <v>1</v>
      </c>
      <c r="S39" s="177">
        <f t="shared" si="3"/>
        <v>1</v>
      </c>
      <c r="T39" s="177">
        <f t="shared" si="3"/>
        <v>1</v>
      </c>
      <c r="U39" s="177">
        <f t="shared" si="3"/>
        <v>1</v>
      </c>
      <c r="V39" s="177">
        <f t="shared" si="3"/>
        <v>1</v>
      </c>
      <c r="W39" s="225">
        <f t="shared" si="3"/>
        <v>1</v>
      </c>
    </row>
    <row r="40" spans="1:23">
      <c r="A40" s="159"/>
      <c r="B40" s="161" t="s">
        <v>232</v>
      </c>
      <c r="C40" s="177">
        <v>0.01</v>
      </c>
      <c r="D40" s="177">
        <v>0.01</v>
      </c>
      <c r="E40" s="177">
        <v>0.01</v>
      </c>
      <c r="F40" s="177">
        <v>0.01</v>
      </c>
      <c r="G40" s="177">
        <v>0.01</v>
      </c>
      <c r="H40" s="177">
        <v>0.01</v>
      </c>
      <c r="I40" s="177">
        <v>0.01</v>
      </c>
      <c r="J40" s="177">
        <v>0.01</v>
      </c>
      <c r="K40" s="177">
        <v>0.01</v>
      </c>
      <c r="L40" s="177">
        <v>0.01</v>
      </c>
      <c r="M40" s="177">
        <v>0.01</v>
      </c>
      <c r="N40" s="177">
        <v>0.01</v>
      </c>
      <c r="O40" s="177">
        <v>0.01</v>
      </c>
      <c r="P40" s="177">
        <v>0.01</v>
      </c>
      <c r="Q40" s="177">
        <v>0.01</v>
      </c>
      <c r="R40" s="177">
        <v>0.01</v>
      </c>
      <c r="S40" s="177">
        <v>0.01</v>
      </c>
      <c r="T40" s="177">
        <v>0.01</v>
      </c>
      <c r="U40" s="177">
        <v>0.01</v>
      </c>
      <c r="V40" s="177">
        <v>0.01</v>
      </c>
      <c r="W40" s="225">
        <v>0.01</v>
      </c>
    </row>
    <row r="41" spans="1:23" ht="13.8" thickBot="1">
      <c r="A41" s="164"/>
      <c r="B41" s="165" t="s">
        <v>300</v>
      </c>
      <c r="C41" s="226">
        <v>1</v>
      </c>
      <c r="D41" s="226">
        <v>1</v>
      </c>
      <c r="E41" s="226">
        <v>1</v>
      </c>
      <c r="F41" s="226">
        <v>1</v>
      </c>
      <c r="G41" s="226">
        <v>1</v>
      </c>
      <c r="H41" s="226">
        <v>1</v>
      </c>
      <c r="I41" s="226">
        <v>1</v>
      </c>
      <c r="J41" s="226">
        <v>1</v>
      </c>
      <c r="K41" s="226">
        <v>1</v>
      </c>
      <c r="L41" s="226">
        <v>1</v>
      </c>
      <c r="M41" s="226">
        <v>1</v>
      </c>
      <c r="N41" s="226">
        <v>1</v>
      </c>
      <c r="O41" s="226">
        <v>1</v>
      </c>
      <c r="P41" s="226">
        <v>1</v>
      </c>
      <c r="Q41" s="226">
        <v>1</v>
      </c>
      <c r="R41" s="226">
        <v>1</v>
      </c>
      <c r="S41" s="226">
        <v>1</v>
      </c>
      <c r="T41" s="226">
        <v>1</v>
      </c>
      <c r="U41" s="226">
        <v>1</v>
      </c>
      <c r="V41" s="226">
        <v>1</v>
      </c>
      <c r="W41" s="226">
        <v>1</v>
      </c>
    </row>
    <row r="42" spans="1:23" ht="13.8" thickBot="1">
      <c r="A42" s="180"/>
      <c r="B42" s="180"/>
      <c r="C42" s="175"/>
      <c r="D42" s="175"/>
      <c r="E42" s="175"/>
      <c r="F42" s="175"/>
      <c r="G42" s="175"/>
      <c r="H42" s="175"/>
      <c r="I42" s="175"/>
      <c r="J42" s="175"/>
      <c r="K42" s="175"/>
      <c r="L42" s="175"/>
      <c r="M42" s="175"/>
      <c r="N42" s="175"/>
      <c r="O42" s="175"/>
      <c r="P42" s="175"/>
      <c r="Q42" s="175"/>
      <c r="R42" s="175"/>
      <c r="S42" s="175"/>
      <c r="T42" s="175"/>
      <c r="U42" s="175"/>
      <c r="V42" s="175"/>
      <c r="W42" s="175"/>
    </row>
    <row r="43" spans="1:23" ht="15.6">
      <c r="A43" s="154" t="s">
        <v>327</v>
      </c>
      <c r="B43" s="155"/>
      <c r="C43" s="155"/>
      <c r="D43" s="156"/>
      <c r="E43" s="156"/>
      <c r="F43" s="156"/>
      <c r="G43" s="156"/>
      <c r="H43" s="156"/>
      <c r="I43" s="156"/>
      <c r="J43" s="156"/>
      <c r="K43" s="156"/>
      <c r="L43" s="156"/>
      <c r="M43" s="157"/>
      <c r="N43" s="157"/>
      <c r="O43" s="157"/>
      <c r="P43" s="157"/>
      <c r="Q43" s="157"/>
      <c r="R43" s="157"/>
      <c r="S43" s="157"/>
      <c r="T43" s="157"/>
      <c r="U43" s="157"/>
      <c r="V43" s="157"/>
      <c r="W43" s="158"/>
    </row>
    <row r="44" spans="1:23" ht="15.6">
      <c r="A44" s="188"/>
      <c r="B44" s="161" t="s">
        <v>241</v>
      </c>
      <c r="C44" s="176">
        <f>KeyAssumptions!U14</f>
        <v>0.17499999999999999</v>
      </c>
      <c r="D44" s="166"/>
      <c r="E44" s="166"/>
      <c r="F44" s="166"/>
      <c r="G44" s="166"/>
      <c r="H44" s="166"/>
      <c r="I44" s="166"/>
      <c r="J44" s="166"/>
      <c r="K44" s="166"/>
      <c r="L44" s="166"/>
      <c r="M44" s="167"/>
      <c r="N44" s="167"/>
      <c r="O44" s="167"/>
      <c r="P44" s="167"/>
      <c r="Q44" s="167"/>
      <c r="R44" s="167"/>
      <c r="S44" s="167"/>
      <c r="T44" s="167"/>
      <c r="U44" s="167"/>
      <c r="V44" s="167"/>
      <c r="W44" s="168"/>
    </row>
    <row r="45" spans="1:23" ht="15.6">
      <c r="A45" s="188"/>
      <c r="B45" s="161" t="s">
        <v>207</v>
      </c>
      <c r="C45" s="177">
        <f>KeyAssumptions!V14</f>
        <v>0.2</v>
      </c>
      <c r="D45" s="166"/>
      <c r="E45" s="166"/>
      <c r="F45" s="166"/>
      <c r="G45" s="166"/>
      <c r="H45" s="166"/>
      <c r="I45" s="166"/>
      <c r="J45" s="166"/>
      <c r="K45" s="166"/>
      <c r="L45" s="166"/>
      <c r="M45" s="167"/>
      <c r="N45" s="167"/>
      <c r="O45" s="167"/>
      <c r="P45" s="167"/>
      <c r="Q45" s="167"/>
      <c r="R45" s="167"/>
      <c r="S45" s="167"/>
      <c r="T45" s="167"/>
      <c r="U45" s="167"/>
      <c r="V45" s="167"/>
      <c r="W45" s="168"/>
    </row>
    <row r="46" spans="1:23" ht="15.75" customHeight="1">
      <c r="A46" s="188"/>
      <c r="B46" s="191" t="s">
        <v>355</v>
      </c>
      <c r="C46" s="177">
        <v>0.95</v>
      </c>
      <c r="D46" s="166"/>
      <c r="E46" s="166"/>
      <c r="F46" s="166"/>
      <c r="G46" s="166"/>
      <c r="H46" s="166"/>
      <c r="I46" s="166"/>
      <c r="J46" s="166"/>
      <c r="K46" s="166"/>
      <c r="L46" s="166"/>
      <c r="M46" s="167"/>
      <c r="N46" s="167"/>
      <c r="O46" s="167"/>
      <c r="P46" s="167"/>
      <c r="Q46" s="167"/>
      <c r="R46" s="167"/>
      <c r="S46" s="167"/>
      <c r="T46" s="167"/>
      <c r="U46" s="167"/>
      <c r="V46" s="167"/>
      <c r="W46" s="168"/>
    </row>
    <row r="47" spans="1:23" ht="15.6">
      <c r="A47" s="188"/>
      <c r="B47" s="160"/>
      <c r="C47" s="160"/>
      <c r="D47" s="166"/>
      <c r="E47" s="166"/>
      <c r="F47" s="166"/>
      <c r="G47" s="166"/>
      <c r="H47" s="166"/>
      <c r="I47" s="166"/>
      <c r="J47" s="166"/>
      <c r="K47" s="166"/>
      <c r="L47" s="166"/>
      <c r="M47" s="167"/>
      <c r="N47" s="167"/>
      <c r="O47" s="167"/>
      <c r="P47" s="167"/>
      <c r="Q47" s="167"/>
      <c r="R47" s="167"/>
      <c r="S47" s="167"/>
      <c r="T47" s="167"/>
      <c r="U47" s="167"/>
      <c r="V47" s="167"/>
      <c r="W47" s="168"/>
    </row>
    <row r="48" spans="1:23">
      <c r="A48" s="159"/>
      <c r="B48" s="161" t="s">
        <v>1</v>
      </c>
      <c r="C48" s="162">
        <v>2015</v>
      </c>
      <c r="D48" s="162">
        <v>2016</v>
      </c>
      <c r="E48" s="162">
        <v>2017</v>
      </c>
      <c r="F48" s="162">
        <v>2018</v>
      </c>
      <c r="G48" s="162">
        <v>2019</v>
      </c>
      <c r="H48" s="162">
        <v>2020</v>
      </c>
      <c r="I48" s="162">
        <v>2021</v>
      </c>
      <c r="J48" s="162">
        <v>2022</v>
      </c>
      <c r="K48" s="162">
        <v>2023</v>
      </c>
      <c r="L48" s="162">
        <v>2024</v>
      </c>
      <c r="M48" s="162">
        <v>2025</v>
      </c>
      <c r="N48" s="162">
        <v>2026</v>
      </c>
      <c r="O48" s="162">
        <v>2027</v>
      </c>
      <c r="P48" s="162">
        <v>2028</v>
      </c>
      <c r="Q48" s="162">
        <v>2029</v>
      </c>
      <c r="R48" s="162">
        <v>2030</v>
      </c>
      <c r="S48" s="162">
        <v>2031</v>
      </c>
      <c r="T48" s="162">
        <v>2032</v>
      </c>
      <c r="U48" s="162">
        <v>2033</v>
      </c>
      <c r="V48" s="162">
        <v>2034</v>
      </c>
      <c r="W48" s="163">
        <v>2035</v>
      </c>
    </row>
    <row r="49" spans="1:23">
      <c r="A49" s="159"/>
      <c r="B49" s="161" t="s">
        <v>231</v>
      </c>
      <c r="C49" s="177">
        <v>0.05</v>
      </c>
      <c r="D49" s="177">
        <v>0.2</v>
      </c>
      <c r="E49" s="177">
        <v>0.2</v>
      </c>
      <c r="F49" s="177">
        <v>0.2</v>
      </c>
      <c r="G49" s="177">
        <v>0.2</v>
      </c>
      <c r="H49" s="177">
        <v>0.15</v>
      </c>
      <c r="I49" s="177">
        <v>0</v>
      </c>
      <c r="J49" s="177">
        <v>0</v>
      </c>
      <c r="K49" s="177">
        <v>0</v>
      </c>
      <c r="L49" s="177">
        <v>0</v>
      </c>
      <c r="M49" s="177">
        <v>0</v>
      </c>
      <c r="N49" s="177">
        <v>0</v>
      </c>
      <c r="O49" s="177">
        <v>0</v>
      </c>
      <c r="P49" s="177">
        <v>0</v>
      </c>
      <c r="Q49" s="177">
        <v>0</v>
      </c>
      <c r="R49" s="177">
        <v>0</v>
      </c>
      <c r="S49" s="177">
        <v>0</v>
      </c>
      <c r="T49" s="177">
        <v>0</v>
      </c>
      <c r="U49" s="177">
        <v>0</v>
      </c>
      <c r="V49" s="177">
        <v>0</v>
      </c>
      <c r="W49" s="225">
        <v>0</v>
      </c>
    </row>
    <row r="50" spans="1:23">
      <c r="A50" s="159"/>
      <c r="B50" s="161" t="s">
        <v>237</v>
      </c>
      <c r="C50" s="177">
        <f>C49</f>
        <v>0.05</v>
      </c>
      <c r="D50" s="177">
        <f>C50+D49</f>
        <v>0.25</v>
      </c>
      <c r="E50" s="177">
        <f t="shared" ref="E50" si="4">D50+E49</f>
        <v>0.45</v>
      </c>
      <c r="F50" s="177">
        <f t="shared" ref="F50" si="5">E50+F49</f>
        <v>0.65</v>
      </c>
      <c r="G50" s="177">
        <f t="shared" ref="G50" si="6">F50+G49</f>
        <v>0.85000000000000009</v>
      </c>
      <c r="H50" s="177">
        <f t="shared" ref="H50" si="7">G50+H49</f>
        <v>1</v>
      </c>
      <c r="I50" s="177">
        <f t="shared" ref="I50" si="8">H50+I49</f>
        <v>1</v>
      </c>
      <c r="J50" s="177">
        <f t="shared" ref="J50" si="9">I50+J49</f>
        <v>1</v>
      </c>
      <c r="K50" s="177">
        <f t="shared" ref="K50" si="10">J50+K49</f>
        <v>1</v>
      </c>
      <c r="L50" s="177">
        <f t="shared" ref="L50" si="11">K50+L49</f>
        <v>1</v>
      </c>
      <c r="M50" s="177">
        <f t="shared" ref="M50" si="12">L50+M49</f>
        <v>1</v>
      </c>
      <c r="N50" s="177">
        <f t="shared" ref="N50" si="13">M50+N49</f>
        <v>1</v>
      </c>
      <c r="O50" s="177">
        <f t="shared" ref="O50" si="14">N50+O49</f>
        <v>1</v>
      </c>
      <c r="P50" s="177">
        <f t="shared" ref="P50" si="15">O50+P49</f>
        <v>1</v>
      </c>
      <c r="Q50" s="177">
        <f t="shared" ref="Q50" si="16">P50+Q49</f>
        <v>1</v>
      </c>
      <c r="R50" s="177">
        <f t="shared" ref="R50" si="17">Q50+R49</f>
        <v>1</v>
      </c>
      <c r="S50" s="177">
        <f t="shared" ref="S50" si="18">R50+S49</f>
        <v>1</v>
      </c>
      <c r="T50" s="177">
        <f t="shared" ref="T50" si="19">S50+T49</f>
        <v>1</v>
      </c>
      <c r="U50" s="177">
        <f t="shared" ref="U50" si="20">T50+U49</f>
        <v>1</v>
      </c>
      <c r="V50" s="177">
        <f t="shared" ref="V50" si="21">U50+V49</f>
        <v>1</v>
      </c>
      <c r="W50" s="225">
        <f t="shared" ref="W50" si="22">V50+W49</f>
        <v>1</v>
      </c>
    </row>
    <row r="51" spans="1:23">
      <c r="A51" s="159"/>
      <c r="B51" s="161" t="s">
        <v>232</v>
      </c>
      <c r="C51" s="177">
        <v>0.01</v>
      </c>
      <c r="D51" s="177">
        <v>0.01</v>
      </c>
      <c r="E51" s="177">
        <v>0.01</v>
      </c>
      <c r="F51" s="177">
        <v>0.01</v>
      </c>
      <c r="G51" s="177">
        <v>0.01</v>
      </c>
      <c r="H51" s="177">
        <v>0.01</v>
      </c>
      <c r="I51" s="177">
        <v>0.01</v>
      </c>
      <c r="J51" s="177">
        <v>0.01</v>
      </c>
      <c r="K51" s="177">
        <v>0.01</v>
      </c>
      <c r="L51" s="177">
        <v>0.01</v>
      </c>
      <c r="M51" s="177">
        <v>0.01</v>
      </c>
      <c r="N51" s="177">
        <v>0.01</v>
      </c>
      <c r="O51" s="177">
        <v>0.01</v>
      </c>
      <c r="P51" s="177">
        <v>0.01</v>
      </c>
      <c r="Q51" s="177">
        <v>0.01</v>
      </c>
      <c r="R51" s="177">
        <v>0.01</v>
      </c>
      <c r="S51" s="177">
        <v>0.01</v>
      </c>
      <c r="T51" s="177">
        <v>0.01</v>
      </c>
      <c r="U51" s="177">
        <v>0.01</v>
      </c>
      <c r="V51" s="177">
        <v>0.01</v>
      </c>
      <c r="W51" s="225">
        <v>0.01</v>
      </c>
    </row>
    <row r="52" spans="1:23" ht="13.8" thickBot="1">
      <c r="A52" s="164"/>
      <c r="B52" s="165" t="s">
        <v>300</v>
      </c>
      <c r="C52" s="226">
        <v>1</v>
      </c>
      <c r="D52" s="226">
        <v>1</v>
      </c>
      <c r="E52" s="226">
        <v>1</v>
      </c>
      <c r="F52" s="226">
        <v>1</v>
      </c>
      <c r="G52" s="226">
        <v>1</v>
      </c>
      <c r="H52" s="226">
        <v>1</v>
      </c>
      <c r="I52" s="226">
        <v>1</v>
      </c>
      <c r="J52" s="226">
        <v>1</v>
      </c>
      <c r="K52" s="226">
        <v>1</v>
      </c>
      <c r="L52" s="226">
        <v>1</v>
      </c>
      <c r="M52" s="226">
        <v>1</v>
      </c>
      <c r="N52" s="226">
        <v>1</v>
      </c>
      <c r="O52" s="226">
        <v>1</v>
      </c>
      <c r="P52" s="226">
        <v>1</v>
      </c>
      <c r="Q52" s="226">
        <v>1</v>
      </c>
      <c r="R52" s="226">
        <v>1</v>
      </c>
      <c r="S52" s="226">
        <v>1</v>
      </c>
      <c r="T52" s="226">
        <v>1</v>
      </c>
      <c r="U52" s="226">
        <v>1</v>
      </c>
      <c r="V52" s="226">
        <v>1</v>
      </c>
      <c r="W52" s="226">
        <v>1</v>
      </c>
    </row>
    <row r="53" spans="1:23" ht="13.8" thickBot="1">
      <c r="A53" s="180"/>
      <c r="B53" s="180"/>
      <c r="C53" s="175"/>
      <c r="D53" s="175"/>
      <c r="E53" s="175"/>
      <c r="F53" s="175"/>
      <c r="G53" s="175"/>
      <c r="H53" s="175"/>
      <c r="I53" s="175"/>
      <c r="J53" s="175"/>
      <c r="K53" s="175"/>
      <c r="L53" s="175"/>
      <c r="M53" s="175"/>
      <c r="N53" s="175"/>
      <c r="O53" s="175"/>
      <c r="P53" s="175"/>
      <c r="Q53" s="175"/>
      <c r="R53" s="175"/>
      <c r="S53" s="175"/>
      <c r="T53" s="175"/>
      <c r="U53" s="175"/>
      <c r="V53" s="175"/>
      <c r="W53" s="175"/>
    </row>
    <row r="54" spans="1:23" ht="14.4" thickBot="1">
      <c r="A54" s="189" t="s">
        <v>240</v>
      </c>
      <c r="B54" s="190"/>
      <c r="C54" s="183"/>
      <c r="D54" s="183"/>
      <c r="E54" s="183"/>
      <c r="F54" s="183"/>
      <c r="G54" s="183"/>
      <c r="H54" s="183"/>
      <c r="I54" s="183"/>
      <c r="J54" s="183"/>
      <c r="K54" s="183"/>
      <c r="L54" s="183"/>
      <c r="M54" s="183"/>
      <c r="N54" s="183"/>
      <c r="O54" s="183"/>
      <c r="P54" s="183"/>
      <c r="Q54" s="183"/>
      <c r="R54" s="183"/>
      <c r="S54" s="183"/>
      <c r="T54" s="183"/>
      <c r="U54" s="183"/>
      <c r="V54" s="183"/>
      <c r="W54" s="184"/>
    </row>
    <row r="55" spans="1:23">
      <c r="A55" s="77" t="s">
        <v>212</v>
      </c>
      <c r="B55" s="77"/>
      <c r="F55" s="78"/>
      <c r="G55" s="78"/>
    </row>
    <row r="57" spans="1:23">
      <c r="A57" s="79"/>
      <c r="B57" s="186"/>
      <c r="C57" s="504" t="s">
        <v>213</v>
      </c>
      <c r="D57" s="504"/>
      <c r="E57" s="504"/>
      <c r="F57" s="504"/>
      <c r="G57" s="504"/>
      <c r="H57" s="504"/>
      <c r="I57" s="504"/>
      <c r="J57" s="504"/>
      <c r="K57" s="504"/>
      <c r="L57" s="504"/>
      <c r="M57" s="504"/>
      <c r="N57" s="504"/>
      <c r="O57" s="504"/>
      <c r="P57" s="504"/>
      <c r="Q57" s="504"/>
      <c r="R57" s="504"/>
      <c r="S57" s="504"/>
      <c r="T57" s="504"/>
      <c r="U57" s="504"/>
      <c r="V57" s="504"/>
      <c r="W57" s="504"/>
    </row>
    <row r="58" spans="1:23" ht="16.5" customHeight="1">
      <c r="A58" s="81" t="s">
        <v>214</v>
      </c>
      <c r="B58" s="82"/>
      <c r="C58" s="187">
        <v>2015</v>
      </c>
      <c r="D58" s="187">
        <v>2016</v>
      </c>
      <c r="E58" s="187">
        <v>2017</v>
      </c>
      <c r="F58" s="187">
        <v>2018</v>
      </c>
      <c r="G58" s="187">
        <v>2019</v>
      </c>
      <c r="H58" s="187">
        <v>2020</v>
      </c>
      <c r="I58" s="187">
        <v>2021</v>
      </c>
      <c r="J58" s="187">
        <v>2022</v>
      </c>
      <c r="K58" s="187">
        <v>2023</v>
      </c>
      <c r="L58" s="187">
        <v>2024</v>
      </c>
      <c r="M58" s="187">
        <v>2025</v>
      </c>
      <c r="N58" s="187">
        <v>2026</v>
      </c>
      <c r="O58" s="187">
        <v>2027</v>
      </c>
      <c r="P58" s="187">
        <v>2028</v>
      </c>
      <c r="Q58" s="187">
        <v>2029</v>
      </c>
      <c r="R58" s="187">
        <v>2030</v>
      </c>
      <c r="S58" s="187">
        <v>2031</v>
      </c>
      <c r="T58" s="187">
        <v>2032</v>
      </c>
      <c r="U58" s="187">
        <v>2033</v>
      </c>
      <c r="V58" s="187">
        <v>2034</v>
      </c>
      <c r="W58" s="187">
        <v>2035</v>
      </c>
    </row>
    <row r="59" spans="1:23">
      <c r="A59" s="84"/>
      <c r="B59" s="85"/>
      <c r="C59" s="84"/>
      <c r="D59" s="84"/>
      <c r="E59" s="84"/>
      <c r="F59" s="84"/>
      <c r="G59" s="84"/>
      <c r="H59" s="86"/>
      <c r="I59" s="84"/>
      <c r="J59" s="84"/>
      <c r="K59" s="84"/>
      <c r="L59" s="84"/>
      <c r="M59" s="84"/>
      <c r="N59" s="84"/>
      <c r="O59" s="84"/>
      <c r="P59" s="84"/>
      <c r="Q59" s="84"/>
      <c r="R59" s="84"/>
      <c r="S59" s="84"/>
      <c r="T59" s="84"/>
      <c r="U59" s="84"/>
      <c r="V59" s="84"/>
      <c r="W59" s="84"/>
    </row>
    <row r="60" spans="1:23">
      <c r="A60" s="169" t="s">
        <v>331</v>
      </c>
      <c r="B60" s="85"/>
      <c r="C60" s="88">
        <f>C72</f>
        <v>8.9518583227963227</v>
      </c>
      <c r="D60" s="88">
        <f t="shared" ref="D60:W60" si="23">D72-C72</f>
        <v>36.46113628989589</v>
      </c>
      <c r="E60" s="88">
        <f t="shared" si="23"/>
        <v>37.523974541056702</v>
      </c>
      <c r="F60" s="88">
        <f t="shared" si="23"/>
        <v>38.531095177107289</v>
      </c>
      <c r="G60" s="88">
        <f t="shared" si="23"/>
        <v>39.52848973081862</v>
      </c>
      <c r="H60" s="88">
        <f t="shared" si="23"/>
        <v>30.718706152980786</v>
      </c>
      <c r="I60" s="88">
        <f t="shared" si="23"/>
        <v>2.3026147618236337</v>
      </c>
      <c r="J60" s="88">
        <f t="shared" si="23"/>
        <v>2.5777783479782954</v>
      </c>
      <c r="K60" s="88">
        <f t="shared" si="23"/>
        <v>2.5536373379791257</v>
      </c>
      <c r="L60" s="88">
        <f t="shared" si="23"/>
        <v>2.6811115731586881</v>
      </c>
      <c r="M60" s="88">
        <f t="shared" si="23"/>
        <v>2.5760990852081989</v>
      </c>
      <c r="N60" s="88">
        <f t="shared" si="23"/>
        <v>2.5312960086409078</v>
      </c>
      <c r="O60" s="88">
        <f t="shared" si="23"/>
        <v>2.4974764735407291</v>
      </c>
      <c r="P60" s="88">
        <f t="shared" si="23"/>
        <v>2.4888548807951167</v>
      </c>
      <c r="Q60" s="88">
        <f t="shared" si="23"/>
        <v>2.4746162600402215</v>
      </c>
      <c r="R60" s="88">
        <f t="shared" si="23"/>
        <v>2.3696053162609019</v>
      </c>
      <c r="S60" s="88">
        <f t="shared" si="23"/>
        <v>2.4524111603440133</v>
      </c>
      <c r="T60" s="88">
        <f t="shared" si="23"/>
        <v>2.5526509760787519</v>
      </c>
      <c r="U60" s="88">
        <f t="shared" si="23"/>
        <v>2.5673406158163914</v>
      </c>
      <c r="V60" s="88">
        <f t="shared" si="23"/>
        <v>2.5091962782101405</v>
      </c>
      <c r="W60" s="88">
        <f t="shared" si="23"/>
        <v>2.5372610229256054</v>
      </c>
    </row>
    <row r="61" spans="1:23">
      <c r="A61" s="169" t="s">
        <v>329</v>
      </c>
      <c r="B61" s="85"/>
      <c r="C61" s="88">
        <f>C73</f>
        <v>50.727197162512482</v>
      </c>
      <c r="D61" s="88">
        <f t="shared" ref="D61:W61" si="24">D73-C73</f>
        <v>206.61310564274345</v>
      </c>
      <c r="E61" s="88">
        <f t="shared" si="24"/>
        <v>212.6358557326547</v>
      </c>
      <c r="F61" s="88">
        <f t="shared" si="24"/>
        <v>218.34287267027452</v>
      </c>
      <c r="G61" s="88">
        <f t="shared" si="24"/>
        <v>223.99477514130547</v>
      </c>
      <c r="H61" s="88">
        <f t="shared" si="24"/>
        <v>174.07266820022471</v>
      </c>
      <c r="I61" s="88">
        <f t="shared" si="24"/>
        <v>13.048150317000363</v>
      </c>
      <c r="J61" s="88">
        <f t="shared" si="24"/>
        <v>14.607410638544025</v>
      </c>
      <c r="K61" s="88">
        <f t="shared" si="24"/>
        <v>14.470611581881485</v>
      </c>
      <c r="L61" s="88">
        <f t="shared" si="24"/>
        <v>15.192965581232556</v>
      </c>
      <c r="M61" s="88">
        <f t="shared" si="24"/>
        <v>14.597894816179405</v>
      </c>
      <c r="N61" s="88">
        <f t="shared" si="24"/>
        <v>14.344010715632294</v>
      </c>
      <c r="O61" s="88">
        <f t="shared" si="24"/>
        <v>14.152366683397304</v>
      </c>
      <c r="P61" s="88">
        <f t="shared" si="24"/>
        <v>14.10351099117247</v>
      </c>
      <c r="Q61" s="88">
        <f t="shared" si="24"/>
        <v>14.02282547356117</v>
      </c>
      <c r="R61" s="88">
        <f t="shared" si="24"/>
        <v>13.427763458811796</v>
      </c>
      <c r="S61" s="88">
        <f t="shared" si="24"/>
        <v>13.896996575282628</v>
      </c>
      <c r="T61" s="88">
        <f t="shared" si="24"/>
        <v>14.465022197779717</v>
      </c>
      <c r="U61" s="88">
        <f t="shared" si="24"/>
        <v>14.548263489626152</v>
      </c>
      <c r="V61" s="88">
        <f t="shared" si="24"/>
        <v>14.218778909857292</v>
      </c>
      <c r="W61" s="88">
        <f t="shared" si="24"/>
        <v>14.377812463245618</v>
      </c>
    </row>
    <row r="62" spans="1:23">
      <c r="A62" s="169" t="s">
        <v>330</v>
      </c>
      <c r="B62" s="85"/>
      <c r="C62" s="88">
        <f>C74</f>
        <v>63.408996453140595</v>
      </c>
      <c r="D62" s="88">
        <f t="shared" ref="D62:W62" si="25">D74-C74</f>
        <v>258.26638205342925</v>
      </c>
      <c r="E62" s="88">
        <f t="shared" si="25"/>
        <v>265.79481966581835</v>
      </c>
      <c r="F62" s="88">
        <f t="shared" si="25"/>
        <v>272.9285908378431</v>
      </c>
      <c r="G62" s="88">
        <f t="shared" si="25"/>
        <v>279.99346892663186</v>
      </c>
      <c r="H62" s="88">
        <f t="shared" si="25"/>
        <v>217.59083525028086</v>
      </c>
      <c r="I62" s="88">
        <f t="shared" si="25"/>
        <v>16.310187896250454</v>
      </c>
      <c r="J62" s="88">
        <f t="shared" si="25"/>
        <v>18.259263298180031</v>
      </c>
      <c r="K62" s="88">
        <f t="shared" si="25"/>
        <v>18.088264477351913</v>
      </c>
      <c r="L62" s="88">
        <f t="shared" si="25"/>
        <v>18.991206976540525</v>
      </c>
      <c r="M62" s="88">
        <f t="shared" si="25"/>
        <v>18.247368520224427</v>
      </c>
      <c r="N62" s="88">
        <f t="shared" si="25"/>
        <v>17.93001339454031</v>
      </c>
      <c r="O62" s="88">
        <f t="shared" si="25"/>
        <v>17.69045835424663</v>
      </c>
      <c r="P62" s="88">
        <f t="shared" si="25"/>
        <v>17.629388738965417</v>
      </c>
      <c r="Q62" s="88">
        <f t="shared" si="25"/>
        <v>17.52853184195169</v>
      </c>
      <c r="R62" s="88">
        <f t="shared" si="25"/>
        <v>16.784704323514916</v>
      </c>
      <c r="S62" s="88">
        <f t="shared" si="25"/>
        <v>17.371245719103172</v>
      </c>
      <c r="T62" s="88">
        <f t="shared" si="25"/>
        <v>18.081277747224476</v>
      </c>
      <c r="U62" s="88">
        <f t="shared" si="25"/>
        <v>18.185329362032689</v>
      </c>
      <c r="V62" s="88">
        <f t="shared" si="25"/>
        <v>17.773473637321786</v>
      </c>
      <c r="W62" s="88">
        <f t="shared" si="25"/>
        <v>17.972265579056966</v>
      </c>
    </row>
    <row r="63" spans="1:23">
      <c r="A63" s="169" t="s">
        <v>332</v>
      </c>
      <c r="B63" s="85"/>
      <c r="C63" s="88">
        <f>C75</f>
        <v>50.727197162512482</v>
      </c>
      <c r="D63" s="88">
        <f t="shared" ref="D63:W63" si="26">D75-C75</f>
        <v>206.61310564274345</v>
      </c>
      <c r="E63" s="88">
        <f t="shared" si="26"/>
        <v>212.6358557326547</v>
      </c>
      <c r="F63" s="88">
        <f t="shared" si="26"/>
        <v>218.34287267027452</v>
      </c>
      <c r="G63" s="88">
        <f t="shared" si="26"/>
        <v>223.99477514130547</v>
      </c>
      <c r="H63" s="88">
        <f t="shared" si="26"/>
        <v>174.07266820022471</v>
      </c>
      <c r="I63" s="88">
        <f t="shared" si="26"/>
        <v>13.048150317000363</v>
      </c>
      <c r="J63" s="88">
        <f t="shared" si="26"/>
        <v>14.607410638544025</v>
      </c>
      <c r="K63" s="88">
        <f t="shared" si="26"/>
        <v>14.470611581881485</v>
      </c>
      <c r="L63" s="88">
        <f t="shared" si="26"/>
        <v>15.192965581232556</v>
      </c>
      <c r="M63" s="88">
        <f t="shared" si="26"/>
        <v>14.597894816179405</v>
      </c>
      <c r="N63" s="88">
        <f t="shared" si="26"/>
        <v>14.344010715632294</v>
      </c>
      <c r="O63" s="88">
        <f t="shared" si="26"/>
        <v>14.152366683397304</v>
      </c>
      <c r="P63" s="88">
        <f t="shared" si="26"/>
        <v>14.10351099117247</v>
      </c>
      <c r="Q63" s="88">
        <f t="shared" si="26"/>
        <v>14.02282547356117</v>
      </c>
      <c r="R63" s="88">
        <f t="shared" si="26"/>
        <v>13.427763458811796</v>
      </c>
      <c r="S63" s="88">
        <f t="shared" si="26"/>
        <v>13.896996575282628</v>
      </c>
      <c r="T63" s="88">
        <f t="shared" si="26"/>
        <v>14.465022197779717</v>
      </c>
      <c r="U63" s="88">
        <f t="shared" si="26"/>
        <v>14.548263489626152</v>
      </c>
      <c r="V63" s="88">
        <f t="shared" si="26"/>
        <v>14.218778909857292</v>
      </c>
      <c r="W63" s="88">
        <f t="shared" si="26"/>
        <v>14.377812463245618</v>
      </c>
    </row>
    <row r="64" spans="1:23">
      <c r="A64" s="89"/>
      <c r="B64" s="90"/>
      <c r="C64" s="91"/>
      <c r="D64" s="92"/>
      <c r="E64" s="92"/>
      <c r="F64" s="92"/>
      <c r="G64" s="92"/>
      <c r="H64" s="92"/>
      <c r="I64" s="92"/>
      <c r="J64" s="92"/>
      <c r="K64" s="92"/>
      <c r="L64" s="92"/>
      <c r="M64" s="92"/>
      <c r="N64" s="92"/>
      <c r="O64" s="92"/>
      <c r="P64" s="92"/>
      <c r="Q64" s="92"/>
      <c r="R64" s="92"/>
      <c r="S64" s="92"/>
      <c r="T64" s="92"/>
      <c r="U64" s="92"/>
      <c r="V64" s="92"/>
      <c r="W64" s="92"/>
    </row>
    <row r="65" spans="1:23">
      <c r="A65" s="93" t="s">
        <v>216</v>
      </c>
      <c r="B65" s="94"/>
      <c r="C65" s="95">
        <f>SUM(C60:C63)</f>
        <v>173.81524910096189</v>
      </c>
      <c r="D65" s="95">
        <f t="shared" ref="D65:W65" si="27">SUM(D60:D63)</f>
        <v>707.95372962881197</v>
      </c>
      <c r="E65" s="95">
        <f t="shared" si="27"/>
        <v>728.59050567218446</v>
      </c>
      <c r="F65" s="95">
        <f t="shared" si="27"/>
        <v>748.14543135549934</v>
      </c>
      <c r="G65" s="95">
        <f t="shared" si="27"/>
        <v>767.51150894006139</v>
      </c>
      <c r="H65" s="95">
        <f t="shared" si="27"/>
        <v>596.45487780371104</v>
      </c>
      <c r="I65" s="95">
        <f t="shared" si="27"/>
        <v>44.709103292074815</v>
      </c>
      <c r="J65" s="95">
        <f t="shared" si="27"/>
        <v>50.051862923246375</v>
      </c>
      <c r="K65" s="95">
        <f t="shared" si="27"/>
        <v>49.583124979094009</v>
      </c>
      <c r="L65" s="95">
        <f t="shared" si="27"/>
        <v>52.058249712164326</v>
      </c>
      <c r="M65" s="95">
        <f t="shared" si="27"/>
        <v>50.019257237791436</v>
      </c>
      <c r="N65" s="95">
        <f t="shared" si="27"/>
        <v>49.149330834445806</v>
      </c>
      <c r="O65" s="95">
        <f t="shared" si="27"/>
        <v>48.492668194581967</v>
      </c>
      <c r="P65" s="95">
        <f t="shared" si="27"/>
        <v>48.325265602105475</v>
      </c>
      <c r="Q65" s="95">
        <f t="shared" si="27"/>
        <v>48.048799049114251</v>
      </c>
      <c r="R65" s="95">
        <f t="shared" si="27"/>
        <v>46.00983655739941</v>
      </c>
      <c r="S65" s="95">
        <f t="shared" si="27"/>
        <v>47.617650030012442</v>
      </c>
      <c r="T65" s="95">
        <f t="shared" si="27"/>
        <v>49.563973118862663</v>
      </c>
      <c r="U65" s="95">
        <f t="shared" si="27"/>
        <v>49.849196957101384</v>
      </c>
      <c r="V65" s="95">
        <f t="shared" si="27"/>
        <v>48.72022773524651</v>
      </c>
      <c r="W65" s="95">
        <f t="shared" si="27"/>
        <v>49.265151528473808</v>
      </c>
    </row>
    <row r="66" spans="1:23">
      <c r="A66" s="96"/>
      <c r="B66" s="96"/>
      <c r="C66" s="97"/>
      <c r="D66" s="97"/>
      <c r="E66" s="97"/>
      <c r="F66" s="97"/>
      <c r="G66" s="97"/>
      <c r="H66" s="97"/>
      <c r="I66" s="97"/>
      <c r="J66" s="96"/>
      <c r="K66" s="96"/>
      <c r="L66" s="96"/>
    </row>
    <row r="67" spans="1:23">
      <c r="A67" s="98" t="s">
        <v>217</v>
      </c>
      <c r="B67" s="98"/>
      <c r="C67" s="99"/>
      <c r="D67" s="99"/>
      <c r="E67" s="99"/>
      <c r="F67" s="99"/>
      <c r="G67" s="99"/>
      <c r="H67" s="99"/>
      <c r="I67" s="99"/>
      <c r="J67" s="100"/>
      <c r="K67" s="100"/>
      <c r="L67" s="100"/>
    </row>
    <row r="68" spans="1:23">
      <c r="A68" s="98"/>
      <c r="B68" s="98"/>
      <c r="C68" s="99"/>
      <c r="D68" s="99"/>
      <c r="E68" s="99"/>
      <c r="F68" s="99"/>
      <c r="G68" s="99"/>
      <c r="H68" s="99"/>
      <c r="I68" s="99"/>
      <c r="J68" s="100"/>
      <c r="K68" s="100"/>
      <c r="L68" s="100"/>
    </row>
    <row r="69" spans="1:23">
      <c r="A69" s="509" t="s">
        <v>214</v>
      </c>
      <c r="B69" s="511"/>
      <c r="C69" s="504" t="s">
        <v>218</v>
      </c>
      <c r="D69" s="504"/>
      <c r="E69" s="504"/>
      <c r="F69" s="504"/>
      <c r="G69" s="504"/>
      <c r="H69" s="504"/>
      <c r="I69" s="504"/>
      <c r="J69" s="504"/>
      <c r="K69" s="504"/>
      <c r="L69" s="504"/>
      <c r="M69" s="504"/>
      <c r="N69" s="504"/>
      <c r="O69" s="504"/>
      <c r="P69" s="504"/>
      <c r="Q69" s="504"/>
      <c r="R69" s="504"/>
      <c r="S69" s="504"/>
      <c r="T69" s="504"/>
      <c r="U69" s="504"/>
      <c r="V69" s="504"/>
      <c r="W69" s="504"/>
    </row>
    <row r="70" spans="1:23">
      <c r="A70" s="510"/>
      <c r="B70" s="512"/>
      <c r="C70" s="187">
        <v>2015</v>
      </c>
      <c r="D70" s="187">
        <v>2016</v>
      </c>
      <c r="E70" s="187">
        <v>2017</v>
      </c>
      <c r="F70" s="187">
        <v>2018</v>
      </c>
      <c r="G70" s="187">
        <v>2019</v>
      </c>
      <c r="H70" s="187">
        <v>2020</v>
      </c>
      <c r="I70" s="187">
        <v>2021</v>
      </c>
      <c r="J70" s="187">
        <v>2022</v>
      </c>
      <c r="K70" s="187">
        <v>2023</v>
      </c>
      <c r="L70" s="187">
        <v>2024</v>
      </c>
      <c r="M70" s="187">
        <v>2025</v>
      </c>
      <c r="N70" s="187">
        <v>2026</v>
      </c>
      <c r="O70" s="187">
        <v>2027</v>
      </c>
      <c r="P70" s="187">
        <v>2028</v>
      </c>
      <c r="Q70" s="187">
        <v>2029</v>
      </c>
      <c r="R70" s="187">
        <v>2030</v>
      </c>
      <c r="S70" s="187">
        <v>2031</v>
      </c>
      <c r="T70" s="187">
        <v>2032</v>
      </c>
      <c r="U70" s="187">
        <v>2033</v>
      </c>
      <c r="V70" s="187">
        <v>2034</v>
      </c>
      <c r="W70" s="187">
        <v>2035</v>
      </c>
    </row>
    <row r="71" spans="1:23">
      <c r="A71" s="84"/>
      <c r="B71" s="87"/>
      <c r="C71" s="92"/>
      <c r="D71" s="92"/>
      <c r="E71" s="92"/>
      <c r="F71" s="92"/>
      <c r="G71" s="92"/>
      <c r="H71" s="92"/>
      <c r="I71" s="92"/>
      <c r="J71" s="92"/>
      <c r="K71" s="92"/>
      <c r="L71" s="92"/>
      <c r="M71" s="92"/>
      <c r="N71" s="92"/>
      <c r="O71" s="92"/>
      <c r="P71" s="92"/>
      <c r="Q71" s="92"/>
      <c r="R71" s="92"/>
      <c r="S71" s="92"/>
      <c r="T71" s="92"/>
      <c r="U71" s="92"/>
      <c r="V71" s="92"/>
      <c r="W71" s="92"/>
    </row>
    <row r="72" spans="1:23">
      <c r="A72" s="103" t="str">
        <f>A60</f>
        <v>a. Irrigation Pumping - AutoDR</v>
      </c>
      <c r="B72" s="87"/>
      <c r="C72" s="92">
        <f>C7*$C$11*$C$12*C19*C17*(1-C18)</f>
        <v>8.9518583227963227</v>
      </c>
      <c r="D72" s="92">
        <f t="shared" ref="D72:W72" si="28">D7*$C$11*$C$12*D19*D17*(1-D18)</f>
        <v>45.412994612692216</v>
      </c>
      <c r="E72" s="92">
        <f t="shared" si="28"/>
        <v>82.936969153748919</v>
      </c>
      <c r="F72" s="92">
        <f t="shared" si="28"/>
        <v>121.46806433085621</v>
      </c>
      <c r="G72" s="92">
        <f t="shared" si="28"/>
        <v>160.99655406167483</v>
      </c>
      <c r="H72" s="92">
        <f t="shared" si="28"/>
        <v>191.71526021465561</v>
      </c>
      <c r="I72" s="92">
        <f t="shared" si="28"/>
        <v>194.01787497647925</v>
      </c>
      <c r="J72" s="92">
        <f t="shared" si="28"/>
        <v>196.59565332445754</v>
      </c>
      <c r="K72" s="92">
        <f t="shared" si="28"/>
        <v>199.14929066243667</v>
      </c>
      <c r="L72" s="92">
        <f t="shared" si="28"/>
        <v>201.83040223559536</v>
      </c>
      <c r="M72" s="92">
        <f t="shared" si="28"/>
        <v>204.40650132080356</v>
      </c>
      <c r="N72" s="92">
        <f t="shared" si="28"/>
        <v>206.93779732944446</v>
      </c>
      <c r="O72" s="92">
        <f t="shared" si="28"/>
        <v>209.43527380298519</v>
      </c>
      <c r="P72" s="92">
        <f t="shared" si="28"/>
        <v>211.92412868378031</v>
      </c>
      <c r="Q72" s="92">
        <f t="shared" si="28"/>
        <v>214.39874494382053</v>
      </c>
      <c r="R72" s="92">
        <f t="shared" si="28"/>
        <v>216.76835026008143</v>
      </c>
      <c r="S72" s="92">
        <f t="shared" si="28"/>
        <v>219.22076142042545</v>
      </c>
      <c r="T72" s="92">
        <f t="shared" si="28"/>
        <v>221.7734123965042</v>
      </c>
      <c r="U72" s="92">
        <f t="shared" si="28"/>
        <v>224.34075301232059</v>
      </c>
      <c r="V72" s="92">
        <f t="shared" si="28"/>
        <v>226.84994929053073</v>
      </c>
      <c r="W72" s="92">
        <f t="shared" si="28"/>
        <v>229.38721031345634</v>
      </c>
    </row>
    <row r="73" spans="1:23">
      <c r="A73" s="103" t="str">
        <f>+A61</f>
        <v>b. Curtailable/Interruptible - AutoDR</v>
      </c>
      <c r="B73" s="104"/>
      <c r="C73" s="92">
        <f t="shared" ref="C73:W73" si="29">C6*$C$22*$C$23*C30*C28*(1-C29)</f>
        <v>50.727197162512482</v>
      </c>
      <c r="D73" s="92">
        <f t="shared" si="29"/>
        <v>257.34030280525593</v>
      </c>
      <c r="E73" s="92">
        <f t="shared" si="29"/>
        <v>469.97615853791064</v>
      </c>
      <c r="F73" s="92">
        <f t="shared" si="29"/>
        <v>688.31903120818515</v>
      </c>
      <c r="G73" s="92">
        <f t="shared" si="29"/>
        <v>912.31380634949062</v>
      </c>
      <c r="H73" s="92">
        <f t="shared" si="29"/>
        <v>1086.3864745497153</v>
      </c>
      <c r="I73" s="92">
        <f t="shared" si="29"/>
        <v>1099.4346248667157</v>
      </c>
      <c r="J73" s="92">
        <f t="shared" si="29"/>
        <v>1114.0420355052597</v>
      </c>
      <c r="K73" s="92">
        <f t="shared" si="29"/>
        <v>1128.5126470871412</v>
      </c>
      <c r="L73" s="92">
        <f t="shared" si="29"/>
        <v>1143.7056126683738</v>
      </c>
      <c r="M73" s="92">
        <f t="shared" si="29"/>
        <v>1158.3035074845532</v>
      </c>
      <c r="N73" s="92">
        <f t="shared" si="29"/>
        <v>1172.6475182001855</v>
      </c>
      <c r="O73" s="92">
        <f t="shared" si="29"/>
        <v>1186.7998848835828</v>
      </c>
      <c r="P73" s="92">
        <f t="shared" si="29"/>
        <v>1200.9033958747552</v>
      </c>
      <c r="Q73" s="92">
        <f t="shared" si="29"/>
        <v>1214.9262213483164</v>
      </c>
      <c r="R73" s="92">
        <f t="shared" si="29"/>
        <v>1228.3539848071282</v>
      </c>
      <c r="S73" s="92">
        <f t="shared" si="29"/>
        <v>1242.2509813824108</v>
      </c>
      <c r="T73" s="92">
        <f t="shared" si="29"/>
        <v>1256.7160035801905</v>
      </c>
      <c r="U73" s="92">
        <f t="shared" si="29"/>
        <v>1271.2642670698167</v>
      </c>
      <c r="V73" s="92">
        <f t="shared" si="29"/>
        <v>1285.483045979674</v>
      </c>
      <c r="W73" s="92">
        <f t="shared" si="29"/>
        <v>1299.8608584429196</v>
      </c>
    </row>
    <row r="74" spans="1:23">
      <c r="A74" s="103" t="str">
        <f>+A62</f>
        <v>c. Load Aggregator - AutoDR</v>
      </c>
      <c r="B74" s="104"/>
      <c r="C74" s="92">
        <f t="shared" ref="C74:W74" si="30">C6*$C$33*$C$34*C41*C39*(1-C40)</f>
        <v>63.408996453140595</v>
      </c>
      <c r="D74" s="92">
        <f t="shared" si="30"/>
        <v>321.67537850656987</v>
      </c>
      <c r="E74" s="92">
        <f t="shared" si="30"/>
        <v>587.47019817238822</v>
      </c>
      <c r="F74" s="92">
        <f t="shared" si="30"/>
        <v>860.39878901023133</v>
      </c>
      <c r="G74" s="92">
        <f t="shared" si="30"/>
        <v>1140.3922579368632</v>
      </c>
      <c r="H74" s="92">
        <f t="shared" si="30"/>
        <v>1357.983093187144</v>
      </c>
      <c r="I74" s="92">
        <f t="shared" si="30"/>
        <v>1374.2932810833945</v>
      </c>
      <c r="J74" s="92">
        <f t="shared" si="30"/>
        <v>1392.5525443815745</v>
      </c>
      <c r="K74" s="92">
        <f t="shared" si="30"/>
        <v>1410.6408088589264</v>
      </c>
      <c r="L74" s="92">
        <f t="shared" si="30"/>
        <v>1429.632015835467</v>
      </c>
      <c r="M74" s="92">
        <f t="shared" si="30"/>
        <v>1447.8793843556914</v>
      </c>
      <c r="N74" s="92">
        <f t="shared" si="30"/>
        <v>1465.8093977502317</v>
      </c>
      <c r="O74" s="92">
        <f t="shared" si="30"/>
        <v>1483.4998561044783</v>
      </c>
      <c r="P74" s="92">
        <f t="shared" si="30"/>
        <v>1501.1292448434438</v>
      </c>
      <c r="Q74" s="92">
        <f t="shared" si="30"/>
        <v>1518.6577766853954</v>
      </c>
      <c r="R74" s="92">
        <f t="shared" si="30"/>
        <v>1535.4424810089104</v>
      </c>
      <c r="S74" s="92">
        <f t="shared" si="30"/>
        <v>1552.8137267280135</v>
      </c>
      <c r="T74" s="92">
        <f t="shared" si="30"/>
        <v>1570.895004475238</v>
      </c>
      <c r="U74" s="92">
        <f t="shared" si="30"/>
        <v>1589.0803338372707</v>
      </c>
      <c r="V74" s="92">
        <f t="shared" si="30"/>
        <v>1606.8538074745925</v>
      </c>
      <c r="W74" s="92">
        <f t="shared" si="30"/>
        <v>1624.8260730536495</v>
      </c>
    </row>
    <row r="75" spans="1:23">
      <c r="A75" s="103" t="str">
        <f>A63</f>
        <v>d. Refrigerated Warehouses - Controls</v>
      </c>
      <c r="B75" s="104"/>
      <c r="C75" s="92">
        <f t="shared" ref="C75:W75" si="31">C6*$C$44*$C$45*C52*C50*(1-C51)</f>
        <v>50.727197162512482</v>
      </c>
      <c r="D75" s="92">
        <f t="shared" si="31"/>
        <v>257.34030280525593</v>
      </c>
      <c r="E75" s="92">
        <f t="shared" si="31"/>
        <v>469.97615853791064</v>
      </c>
      <c r="F75" s="92">
        <f t="shared" si="31"/>
        <v>688.31903120818515</v>
      </c>
      <c r="G75" s="92">
        <f t="shared" si="31"/>
        <v>912.31380634949062</v>
      </c>
      <c r="H75" s="92">
        <f t="shared" si="31"/>
        <v>1086.3864745497153</v>
      </c>
      <c r="I75" s="92">
        <f t="shared" si="31"/>
        <v>1099.4346248667157</v>
      </c>
      <c r="J75" s="92">
        <f t="shared" si="31"/>
        <v>1114.0420355052597</v>
      </c>
      <c r="K75" s="92">
        <f t="shared" si="31"/>
        <v>1128.5126470871412</v>
      </c>
      <c r="L75" s="92">
        <f t="shared" si="31"/>
        <v>1143.7056126683738</v>
      </c>
      <c r="M75" s="92">
        <f t="shared" si="31"/>
        <v>1158.3035074845532</v>
      </c>
      <c r="N75" s="92">
        <f t="shared" si="31"/>
        <v>1172.6475182001855</v>
      </c>
      <c r="O75" s="92">
        <f t="shared" si="31"/>
        <v>1186.7998848835828</v>
      </c>
      <c r="P75" s="92">
        <f t="shared" si="31"/>
        <v>1200.9033958747552</v>
      </c>
      <c r="Q75" s="92">
        <f t="shared" si="31"/>
        <v>1214.9262213483164</v>
      </c>
      <c r="R75" s="92">
        <f t="shared" si="31"/>
        <v>1228.3539848071282</v>
      </c>
      <c r="S75" s="92">
        <f t="shared" si="31"/>
        <v>1242.2509813824108</v>
      </c>
      <c r="T75" s="92">
        <f t="shared" si="31"/>
        <v>1256.7160035801905</v>
      </c>
      <c r="U75" s="92">
        <f t="shared" si="31"/>
        <v>1271.2642670698167</v>
      </c>
      <c r="V75" s="92">
        <f t="shared" si="31"/>
        <v>1285.483045979674</v>
      </c>
      <c r="W75" s="92">
        <f t="shared" si="31"/>
        <v>1299.8608584429196</v>
      </c>
    </row>
    <row r="76" spans="1:23">
      <c r="A76" s="87"/>
      <c r="B76" s="87"/>
      <c r="C76" s="105"/>
      <c r="D76" s="105"/>
      <c r="E76" s="105"/>
      <c r="F76" s="105"/>
      <c r="G76" s="105"/>
      <c r="H76" s="105"/>
      <c r="I76" s="105"/>
      <c r="J76" s="105"/>
      <c r="K76" s="105"/>
      <c r="L76" s="105"/>
      <c r="M76" s="105"/>
      <c r="N76" s="105"/>
      <c r="O76" s="105"/>
      <c r="P76" s="105"/>
      <c r="Q76" s="105"/>
      <c r="R76" s="105"/>
      <c r="S76" s="105"/>
      <c r="T76" s="105"/>
      <c r="U76" s="105"/>
      <c r="V76" s="105"/>
      <c r="W76" s="105"/>
    </row>
    <row r="77" spans="1:23">
      <c r="A77" s="93" t="s">
        <v>219</v>
      </c>
      <c r="B77" s="93"/>
      <c r="C77" s="95">
        <f>SUM(C72:C75)</f>
        <v>173.81524910096189</v>
      </c>
      <c r="D77" s="95">
        <f t="shared" ref="D77:W77" si="32">SUM(D72:D75)</f>
        <v>881.76897872977406</v>
      </c>
      <c r="E77" s="95">
        <f t="shared" si="32"/>
        <v>1610.3594844019585</v>
      </c>
      <c r="F77" s="95">
        <f t="shared" si="32"/>
        <v>2358.5049157574576</v>
      </c>
      <c r="G77" s="95">
        <f t="shared" si="32"/>
        <v>3126.0164246975191</v>
      </c>
      <c r="H77" s="95">
        <f t="shared" si="32"/>
        <v>3722.4713025012302</v>
      </c>
      <c r="I77" s="95">
        <f t="shared" si="32"/>
        <v>3767.1804057933055</v>
      </c>
      <c r="J77" s="95">
        <f t="shared" si="32"/>
        <v>3817.2322687165515</v>
      </c>
      <c r="K77" s="95">
        <f t="shared" si="32"/>
        <v>3866.8153936956451</v>
      </c>
      <c r="L77" s="95">
        <f t="shared" si="32"/>
        <v>3918.8736434078101</v>
      </c>
      <c r="M77" s="95">
        <f t="shared" si="32"/>
        <v>3968.892900645601</v>
      </c>
      <c r="N77" s="95">
        <f t="shared" si="32"/>
        <v>4018.0422314800471</v>
      </c>
      <c r="O77" s="95">
        <f t="shared" si="32"/>
        <v>4066.5348996746293</v>
      </c>
      <c r="P77" s="95">
        <f t="shared" si="32"/>
        <v>4114.8601652767347</v>
      </c>
      <c r="Q77" s="95">
        <f t="shared" si="32"/>
        <v>4162.9089643258485</v>
      </c>
      <c r="R77" s="95">
        <f t="shared" si="32"/>
        <v>4208.918800883248</v>
      </c>
      <c r="S77" s="95">
        <f t="shared" si="32"/>
        <v>4256.5364509132605</v>
      </c>
      <c r="T77" s="95">
        <f t="shared" si="32"/>
        <v>4306.1004240321236</v>
      </c>
      <c r="U77" s="95">
        <f t="shared" si="32"/>
        <v>4355.949620989225</v>
      </c>
      <c r="V77" s="95">
        <f t="shared" si="32"/>
        <v>4404.6698487244712</v>
      </c>
      <c r="W77" s="95">
        <f t="shared" si="32"/>
        <v>4453.9350002529445</v>
      </c>
    </row>
    <row r="79" spans="1:23">
      <c r="A79" s="77" t="s">
        <v>220</v>
      </c>
      <c r="B79" s="77"/>
      <c r="D79" s="223"/>
      <c r="E79" s="78"/>
      <c r="F79" s="78"/>
      <c r="G79" s="224"/>
      <c r="H79" s="78"/>
    </row>
    <row r="81" spans="1:23">
      <c r="A81" s="106"/>
      <c r="B81" s="502" t="s">
        <v>242</v>
      </c>
      <c r="C81" s="507" t="s">
        <v>221</v>
      </c>
      <c r="D81" s="508"/>
      <c r="E81" s="508"/>
      <c r="F81" s="508"/>
      <c r="G81" s="508"/>
      <c r="H81" s="508"/>
      <c r="I81" s="508"/>
      <c r="J81" s="508"/>
      <c r="K81" s="508"/>
      <c r="L81" s="508"/>
      <c r="M81" s="508"/>
      <c r="N81" s="508"/>
      <c r="O81" s="508"/>
      <c r="P81" s="508"/>
      <c r="Q81" s="508"/>
      <c r="R81" s="508"/>
      <c r="S81" s="508"/>
      <c r="T81" s="508"/>
      <c r="U81" s="508"/>
      <c r="V81" s="508"/>
      <c r="W81" s="508"/>
    </row>
    <row r="82" spans="1:23">
      <c r="A82" s="185" t="s">
        <v>214</v>
      </c>
      <c r="B82" s="506"/>
      <c r="C82" s="187">
        <v>2015</v>
      </c>
      <c r="D82" s="187">
        <v>2016</v>
      </c>
      <c r="E82" s="187">
        <v>2017</v>
      </c>
      <c r="F82" s="187">
        <v>2018</v>
      </c>
      <c r="G82" s="187">
        <v>2019</v>
      </c>
      <c r="H82" s="187">
        <v>2020</v>
      </c>
      <c r="I82" s="187">
        <v>2021</v>
      </c>
      <c r="J82" s="187">
        <v>2022</v>
      </c>
      <c r="K82" s="187">
        <v>2023</v>
      </c>
      <c r="L82" s="187">
        <v>2024</v>
      </c>
      <c r="M82" s="187">
        <v>2025</v>
      </c>
      <c r="N82" s="187">
        <v>2026</v>
      </c>
      <c r="O82" s="187">
        <v>2027</v>
      </c>
      <c r="P82" s="187">
        <v>2028</v>
      </c>
      <c r="Q82" s="187">
        <v>2029</v>
      </c>
      <c r="R82" s="187">
        <v>2030</v>
      </c>
      <c r="S82" s="187">
        <v>2031</v>
      </c>
      <c r="T82" s="187">
        <v>2032</v>
      </c>
      <c r="U82" s="187">
        <v>2033</v>
      </c>
      <c r="V82" s="187">
        <v>2034</v>
      </c>
      <c r="W82" s="187">
        <v>2035</v>
      </c>
    </row>
    <row r="83" spans="1:23">
      <c r="A83" s="118"/>
      <c r="B83" s="84"/>
      <c r="C83" s="84"/>
      <c r="D83" s="108"/>
      <c r="E83" s="84"/>
      <c r="F83" s="84"/>
      <c r="G83" s="84"/>
      <c r="H83" s="84"/>
      <c r="I83" s="84"/>
      <c r="J83" s="84"/>
      <c r="K83" s="84"/>
      <c r="L83" s="84"/>
      <c r="M83" s="84"/>
      <c r="N83" s="84"/>
      <c r="O83" s="84"/>
      <c r="P83" s="84"/>
      <c r="Q83" s="84"/>
      <c r="R83" s="84"/>
      <c r="S83" s="84"/>
      <c r="T83" s="84"/>
      <c r="U83" s="84"/>
      <c r="V83" s="84"/>
      <c r="W83" s="84"/>
    </row>
    <row r="84" spans="1:23">
      <c r="A84" s="103" t="str">
        <f>A60</f>
        <v>a. Irrigation Pumping - AutoDR</v>
      </c>
      <c r="B84" s="234">
        <f>KeyAssumptions!T11</f>
        <v>25</v>
      </c>
      <c r="C84" s="192">
        <f>$B84/1000*C72*$C$13</f>
        <v>0.21260663516641268</v>
      </c>
      <c r="D84" s="192">
        <f t="shared" ref="D84:W84" si="33">$B84/1000*D72*$C$13</f>
        <v>1.07855862205144</v>
      </c>
      <c r="E84" s="192">
        <f t="shared" si="33"/>
        <v>1.969753017401537</v>
      </c>
      <c r="F84" s="192">
        <f t="shared" si="33"/>
        <v>2.8848665278578349</v>
      </c>
      <c r="G84" s="192">
        <f t="shared" si="33"/>
        <v>3.823668158964777</v>
      </c>
      <c r="H84" s="192">
        <f t="shared" si="33"/>
        <v>4.5532374300980711</v>
      </c>
      <c r="I84" s="192">
        <f t="shared" si="33"/>
        <v>4.6079245306913821</v>
      </c>
      <c r="J84" s="192">
        <f t="shared" si="33"/>
        <v>4.6691467664558663</v>
      </c>
      <c r="K84" s="192">
        <f t="shared" si="33"/>
        <v>4.7297956532328715</v>
      </c>
      <c r="L84" s="192">
        <f t="shared" si="33"/>
        <v>4.7934720530953898</v>
      </c>
      <c r="M84" s="192">
        <f t="shared" si="33"/>
        <v>4.8546544063690842</v>
      </c>
      <c r="N84" s="192">
        <f t="shared" si="33"/>
        <v>4.9147726865743069</v>
      </c>
      <c r="O84" s="192">
        <f t="shared" si="33"/>
        <v>4.974087752820898</v>
      </c>
      <c r="P84" s="192">
        <f t="shared" si="33"/>
        <v>5.0331980562397822</v>
      </c>
      <c r="Q84" s="192">
        <f t="shared" si="33"/>
        <v>5.0919701924157375</v>
      </c>
      <c r="R84" s="192">
        <f t="shared" si="33"/>
        <v>5.1482483186769343</v>
      </c>
      <c r="S84" s="192">
        <f t="shared" si="33"/>
        <v>5.2064930837351042</v>
      </c>
      <c r="T84" s="192">
        <f t="shared" si="33"/>
        <v>5.2671185444169746</v>
      </c>
      <c r="U84" s="192">
        <f t="shared" si="33"/>
        <v>5.3280928840426141</v>
      </c>
      <c r="V84" s="192">
        <f t="shared" si="33"/>
        <v>5.3876862956501057</v>
      </c>
      <c r="W84" s="192">
        <f t="shared" si="33"/>
        <v>5.4479462449445881</v>
      </c>
    </row>
    <row r="85" spans="1:23">
      <c r="A85" s="103" t="str">
        <f>+A61</f>
        <v>b. Curtailable/Interruptible - AutoDR</v>
      </c>
      <c r="B85" s="234">
        <f>KeyAssumptions!T12</f>
        <v>500</v>
      </c>
      <c r="C85" s="192">
        <f>$B85/1000*C73*$C$24</f>
        <v>24.095418652193427</v>
      </c>
      <c r="D85" s="192">
        <f t="shared" ref="D85:W85" si="34">$B85/1000*D73*$C$24</f>
        <v>122.23664383249655</v>
      </c>
      <c r="E85" s="192">
        <f t="shared" si="34"/>
        <v>223.23867530550754</v>
      </c>
      <c r="F85" s="192">
        <f t="shared" si="34"/>
        <v>326.95153982388791</v>
      </c>
      <c r="G85" s="192">
        <f t="shared" si="34"/>
        <v>433.34905801600803</v>
      </c>
      <c r="H85" s="192">
        <f t="shared" si="34"/>
        <v>516.03357541111473</v>
      </c>
      <c r="I85" s="192">
        <f t="shared" si="34"/>
        <v>522.23144681168992</v>
      </c>
      <c r="J85" s="192">
        <f t="shared" si="34"/>
        <v>529.16996686499829</v>
      </c>
      <c r="K85" s="192">
        <f t="shared" si="34"/>
        <v>536.04350736639208</v>
      </c>
      <c r="L85" s="192">
        <f t="shared" si="34"/>
        <v>543.26016601747756</v>
      </c>
      <c r="M85" s="192">
        <f t="shared" si="34"/>
        <v>550.19416605516278</v>
      </c>
      <c r="N85" s="192">
        <f t="shared" si="34"/>
        <v>557.00757114508804</v>
      </c>
      <c r="O85" s="192">
        <f t="shared" si="34"/>
        <v>563.72994531970176</v>
      </c>
      <c r="P85" s="192">
        <f t="shared" si="34"/>
        <v>570.4291130405087</v>
      </c>
      <c r="Q85" s="192">
        <f t="shared" si="34"/>
        <v>577.08995514045023</v>
      </c>
      <c r="R85" s="192">
        <f t="shared" si="34"/>
        <v>583.46814278338582</v>
      </c>
      <c r="S85" s="192">
        <f t="shared" si="34"/>
        <v>590.0692161566451</v>
      </c>
      <c r="T85" s="192">
        <f t="shared" si="34"/>
        <v>596.9401017005905</v>
      </c>
      <c r="U85" s="192">
        <f t="shared" si="34"/>
        <v>603.85052685816288</v>
      </c>
      <c r="V85" s="192">
        <f t="shared" si="34"/>
        <v>610.60444684034508</v>
      </c>
      <c r="W85" s="192">
        <f t="shared" si="34"/>
        <v>617.43390776038677</v>
      </c>
    </row>
    <row r="86" spans="1:23">
      <c r="A86" s="103" t="str">
        <f>A62</f>
        <v>c. Load Aggregator - AutoDR</v>
      </c>
      <c r="B86" s="234">
        <f>KeyAssumptions!T13</f>
        <v>100</v>
      </c>
      <c r="C86" s="192">
        <f>$B86/1000*C74*$C$35</f>
        <v>6.0238546630483567</v>
      </c>
      <c r="D86" s="192">
        <f t="shared" ref="D86:W86" si="35">$B86/1000*D74*$C$35</f>
        <v>30.559160958124139</v>
      </c>
      <c r="E86" s="192">
        <f t="shared" si="35"/>
        <v>55.809668826376878</v>
      </c>
      <c r="F86" s="192">
        <f t="shared" si="35"/>
        <v>81.737884955971978</v>
      </c>
      <c r="G86" s="192">
        <f t="shared" si="35"/>
        <v>108.33726450400201</v>
      </c>
      <c r="H86" s="192">
        <f t="shared" si="35"/>
        <v>129.00839385277868</v>
      </c>
      <c r="I86" s="192">
        <f t="shared" si="35"/>
        <v>130.55786170292248</v>
      </c>
      <c r="J86" s="192">
        <f t="shared" si="35"/>
        <v>132.29249171624957</v>
      </c>
      <c r="K86" s="192">
        <f t="shared" si="35"/>
        <v>134.01087684159802</v>
      </c>
      <c r="L86" s="192">
        <f t="shared" si="35"/>
        <v>135.81504150436936</v>
      </c>
      <c r="M86" s="192">
        <f t="shared" si="35"/>
        <v>137.5485415137907</v>
      </c>
      <c r="N86" s="192">
        <f t="shared" si="35"/>
        <v>139.25189278627201</v>
      </c>
      <c r="O86" s="192">
        <f t="shared" si="35"/>
        <v>140.93248632992544</v>
      </c>
      <c r="P86" s="192">
        <f t="shared" si="35"/>
        <v>142.60727826012715</v>
      </c>
      <c r="Q86" s="192">
        <f t="shared" si="35"/>
        <v>144.27248878511256</v>
      </c>
      <c r="R86" s="192">
        <f t="shared" si="35"/>
        <v>145.86703569584648</v>
      </c>
      <c r="S86" s="192">
        <f t="shared" si="35"/>
        <v>147.51730403916127</v>
      </c>
      <c r="T86" s="192">
        <f t="shared" si="35"/>
        <v>149.23502542514763</v>
      </c>
      <c r="U86" s="192">
        <f t="shared" si="35"/>
        <v>150.96263171454072</v>
      </c>
      <c r="V86" s="192">
        <f t="shared" si="35"/>
        <v>152.65111171008627</v>
      </c>
      <c r="W86" s="192">
        <f t="shared" si="35"/>
        <v>154.35847694009669</v>
      </c>
    </row>
    <row r="87" spans="1:23">
      <c r="A87" s="103" t="str">
        <f>A63</f>
        <v>d. Refrigerated Warehouses - Controls</v>
      </c>
      <c r="B87" s="234">
        <f>KeyAssumptions!$T$14</f>
        <v>250</v>
      </c>
      <c r="C87" s="192">
        <f>$B87/1000*C75*$C$46</f>
        <v>12.047709326096713</v>
      </c>
      <c r="D87" s="192">
        <f t="shared" ref="D87:W87" si="36">$B87/1000*D75*$C$46</f>
        <v>61.118321916248277</v>
      </c>
      <c r="E87" s="192">
        <f t="shared" si="36"/>
        <v>111.61933765275377</v>
      </c>
      <c r="F87" s="192">
        <f t="shared" si="36"/>
        <v>163.47576991194396</v>
      </c>
      <c r="G87" s="192">
        <f t="shared" si="36"/>
        <v>216.67452900800401</v>
      </c>
      <c r="H87" s="192">
        <f t="shared" si="36"/>
        <v>258.01678770555736</v>
      </c>
      <c r="I87" s="192">
        <f t="shared" si="36"/>
        <v>261.11572340584496</v>
      </c>
      <c r="J87" s="192">
        <f t="shared" si="36"/>
        <v>264.58498343249914</v>
      </c>
      <c r="K87" s="192">
        <f t="shared" si="36"/>
        <v>268.02175368319604</v>
      </c>
      <c r="L87" s="192">
        <f t="shared" si="36"/>
        <v>271.63008300873878</v>
      </c>
      <c r="M87" s="192">
        <f t="shared" si="36"/>
        <v>275.09708302758139</v>
      </c>
      <c r="N87" s="192">
        <f t="shared" si="36"/>
        <v>278.50378557254402</v>
      </c>
      <c r="O87" s="192">
        <f t="shared" si="36"/>
        <v>281.86497265985088</v>
      </c>
      <c r="P87" s="192">
        <f t="shared" si="36"/>
        <v>285.21455652025435</v>
      </c>
      <c r="Q87" s="192">
        <f t="shared" si="36"/>
        <v>288.54497757022511</v>
      </c>
      <c r="R87" s="192">
        <f t="shared" si="36"/>
        <v>291.73407139169291</v>
      </c>
      <c r="S87" s="192">
        <f t="shared" si="36"/>
        <v>295.03460807832255</v>
      </c>
      <c r="T87" s="192">
        <f t="shared" si="36"/>
        <v>298.47005085029525</v>
      </c>
      <c r="U87" s="192">
        <f t="shared" si="36"/>
        <v>301.92526342908144</v>
      </c>
      <c r="V87" s="192">
        <f t="shared" si="36"/>
        <v>305.30222342017254</v>
      </c>
      <c r="W87" s="192">
        <f t="shared" si="36"/>
        <v>308.71695388019339</v>
      </c>
    </row>
    <row r="88" spans="1:23">
      <c r="A88" s="103"/>
      <c r="B88" s="89"/>
      <c r="C88" s="109"/>
      <c r="D88" s="109"/>
      <c r="E88" s="109"/>
      <c r="F88" s="109"/>
      <c r="G88" s="109"/>
      <c r="H88" s="109"/>
      <c r="I88" s="109"/>
      <c r="J88" s="109"/>
      <c r="K88" s="109"/>
      <c r="L88" s="109"/>
      <c r="M88" s="109"/>
      <c r="N88" s="109"/>
      <c r="O88" s="109"/>
      <c r="P88" s="109"/>
      <c r="Q88" s="109"/>
      <c r="R88" s="109"/>
      <c r="S88" s="109"/>
      <c r="T88" s="109"/>
      <c r="U88" s="109"/>
      <c r="V88" s="109"/>
      <c r="W88" s="109"/>
    </row>
    <row r="89" spans="1:23">
      <c r="A89" s="110" t="s">
        <v>269</v>
      </c>
      <c r="B89" s="111"/>
      <c r="C89" s="229">
        <f>SUM(C84:C87)</f>
        <v>42.379589276504909</v>
      </c>
      <c r="D89" s="229">
        <f t="shared" ref="D89:W89" si="37">SUM(D84:D87)</f>
        <v>214.99268532892043</v>
      </c>
      <c r="E89" s="229">
        <f t="shared" si="37"/>
        <v>392.63743480203971</v>
      </c>
      <c r="F89" s="229">
        <f t="shared" si="37"/>
        <v>575.05006121966164</v>
      </c>
      <c r="G89" s="229">
        <f t="shared" si="37"/>
        <v>762.18451968697889</v>
      </c>
      <c r="H89" s="229">
        <f t="shared" si="37"/>
        <v>907.61199439954885</v>
      </c>
      <c r="I89" s="229">
        <f t="shared" si="37"/>
        <v>918.51295645114885</v>
      </c>
      <c r="J89" s="229">
        <f t="shared" si="37"/>
        <v>930.71658878020287</v>
      </c>
      <c r="K89" s="229">
        <f t="shared" si="37"/>
        <v>942.80593354441896</v>
      </c>
      <c r="L89" s="229">
        <f t="shared" si="37"/>
        <v>955.49876258368101</v>
      </c>
      <c r="M89" s="229">
        <f t="shared" si="37"/>
        <v>967.69444500290388</v>
      </c>
      <c r="N89" s="229">
        <f t="shared" si="37"/>
        <v>979.67802219047849</v>
      </c>
      <c r="O89" s="229">
        <f t="shared" si="37"/>
        <v>991.50149206229901</v>
      </c>
      <c r="P89" s="229">
        <f t="shared" si="37"/>
        <v>1003.28414587713</v>
      </c>
      <c r="Q89" s="229">
        <f t="shared" si="37"/>
        <v>1014.9993916882037</v>
      </c>
      <c r="R89" s="229">
        <f t="shared" si="37"/>
        <v>1026.2174981896021</v>
      </c>
      <c r="S89" s="229">
        <f t="shared" si="37"/>
        <v>1037.8276213578642</v>
      </c>
      <c r="T89" s="229">
        <f t="shared" si="37"/>
        <v>1049.9122965204506</v>
      </c>
      <c r="U89" s="229">
        <f t="shared" si="37"/>
        <v>1062.0665148858277</v>
      </c>
      <c r="V89" s="229">
        <f t="shared" si="37"/>
        <v>1073.945468266254</v>
      </c>
      <c r="W89" s="229">
        <f t="shared" si="37"/>
        <v>1085.9572848256214</v>
      </c>
    </row>
    <row r="90" spans="1:23">
      <c r="A90" s="113"/>
      <c r="B90" s="113"/>
      <c r="C90" s="114"/>
      <c r="D90" s="114"/>
      <c r="E90" s="115"/>
      <c r="F90" s="115"/>
      <c r="G90" s="115"/>
      <c r="H90" s="115"/>
      <c r="I90" s="115"/>
      <c r="J90" s="115"/>
      <c r="K90" s="115"/>
      <c r="L90" s="115"/>
      <c r="M90" s="115"/>
      <c r="N90" s="115"/>
      <c r="O90" s="115"/>
      <c r="P90" s="115"/>
      <c r="Q90" s="115"/>
      <c r="R90" s="115"/>
      <c r="S90" s="115"/>
      <c r="T90" s="115"/>
      <c r="U90" s="115"/>
      <c r="V90" s="115"/>
      <c r="W90" s="115"/>
    </row>
    <row r="91" spans="1:23">
      <c r="A91" s="77" t="s">
        <v>277</v>
      </c>
      <c r="B91" s="113"/>
      <c r="C91" s="100"/>
      <c r="D91" s="125"/>
      <c r="E91" s="124"/>
      <c r="F91" s="124"/>
      <c r="G91" s="124"/>
      <c r="H91" s="124"/>
      <c r="I91" s="124"/>
      <c r="J91" s="124"/>
      <c r="K91" s="124"/>
      <c r="L91" s="124"/>
      <c r="M91" s="124"/>
      <c r="N91" s="124"/>
      <c r="O91" s="124"/>
      <c r="P91" s="124"/>
      <c r="Q91" s="124"/>
      <c r="R91" s="124"/>
      <c r="S91" s="124"/>
      <c r="T91" s="124"/>
      <c r="U91" s="124"/>
      <c r="V91" s="124"/>
      <c r="W91" s="124"/>
    </row>
    <row r="92" spans="1:23">
      <c r="A92" s="116"/>
      <c r="B92" s="113"/>
      <c r="C92" s="100"/>
      <c r="D92" s="124"/>
      <c r="E92" s="124"/>
      <c r="F92" s="124"/>
      <c r="G92" s="124"/>
      <c r="H92" s="124"/>
      <c r="I92" s="124"/>
      <c r="J92" s="124"/>
      <c r="K92" s="124"/>
      <c r="L92" s="124"/>
      <c r="M92" s="124"/>
      <c r="N92" s="124"/>
      <c r="O92" s="124"/>
      <c r="P92" s="124"/>
      <c r="Q92" s="124"/>
      <c r="R92" s="124"/>
      <c r="S92" s="124"/>
      <c r="T92" s="124"/>
      <c r="U92" s="124"/>
      <c r="V92" s="124"/>
      <c r="W92" s="124"/>
    </row>
    <row r="93" spans="1:23" ht="12.75" customHeight="1">
      <c r="A93" s="500" t="s">
        <v>214</v>
      </c>
      <c r="B93" s="502" t="s">
        <v>308</v>
      </c>
      <c r="C93" s="504" t="s">
        <v>222</v>
      </c>
      <c r="D93" s="504"/>
      <c r="E93" s="504"/>
      <c r="F93" s="504"/>
      <c r="G93" s="504"/>
      <c r="H93" s="504"/>
      <c r="I93" s="504"/>
      <c r="J93" s="504"/>
      <c r="K93" s="504"/>
      <c r="L93" s="504"/>
      <c r="M93" s="504"/>
      <c r="N93" s="504"/>
      <c r="O93" s="504"/>
      <c r="P93" s="504"/>
      <c r="Q93" s="504"/>
      <c r="R93" s="504"/>
      <c r="S93" s="504"/>
      <c r="T93" s="504"/>
      <c r="U93" s="504"/>
      <c r="V93" s="504"/>
      <c r="W93" s="504"/>
    </row>
    <row r="94" spans="1:23">
      <c r="A94" s="501"/>
      <c r="B94" s="503"/>
      <c r="C94" s="187">
        <v>2015</v>
      </c>
      <c r="D94" s="187">
        <v>2016</v>
      </c>
      <c r="E94" s="187">
        <v>2017</v>
      </c>
      <c r="F94" s="187">
        <v>2018</v>
      </c>
      <c r="G94" s="187">
        <v>2019</v>
      </c>
      <c r="H94" s="187">
        <v>2020</v>
      </c>
      <c r="I94" s="187">
        <v>2021</v>
      </c>
      <c r="J94" s="187">
        <v>2022</v>
      </c>
      <c r="K94" s="187">
        <v>2023</v>
      </c>
      <c r="L94" s="187">
        <v>2024</v>
      </c>
      <c r="M94" s="187">
        <v>2025</v>
      </c>
      <c r="N94" s="187">
        <v>2026</v>
      </c>
      <c r="O94" s="187">
        <v>2027</v>
      </c>
      <c r="P94" s="187">
        <v>2028</v>
      </c>
      <c r="Q94" s="187">
        <v>2029</v>
      </c>
      <c r="R94" s="187">
        <v>2030</v>
      </c>
      <c r="S94" s="187">
        <v>2031</v>
      </c>
      <c r="T94" s="187">
        <v>2032</v>
      </c>
      <c r="U94" s="187">
        <v>2033</v>
      </c>
      <c r="V94" s="187">
        <v>2034</v>
      </c>
      <c r="W94" s="187">
        <v>2035</v>
      </c>
    </row>
    <row r="95" spans="1:23">
      <c r="A95" s="126"/>
      <c r="B95" s="127"/>
      <c r="C95" s="78"/>
      <c r="D95" s="84"/>
      <c r="E95" s="84"/>
      <c r="F95" s="84"/>
      <c r="G95" s="84"/>
      <c r="H95" s="84"/>
      <c r="I95" s="84"/>
      <c r="J95" s="84"/>
      <c r="K95" s="84"/>
      <c r="L95" s="84"/>
      <c r="M95" s="84"/>
      <c r="N95" s="84"/>
      <c r="O95" s="84"/>
      <c r="P95" s="84"/>
      <c r="Q95" s="84"/>
      <c r="R95" s="84"/>
      <c r="S95" s="84"/>
      <c r="T95" s="84"/>
      <c r="U95" s="84"/>
      <c r="V95" s="84"/>
      <c r="W95" s="84"/>
    </row>
    <row r="96" spans="1:23">
      <c r="A96" s="169" t="str">
        <f>A60</f>
        <v>a. Irrigation Pumping - AutoDR</v>
      </c>
      <c r="B96" s="235">
        <f>SUM(KeyAssumptions!$P$11:$R$11)</f>
        <v>5862.5</v>
      </c>
      <c r="C96" s="119">
        <f>MAX(0,($B$96*C60))</f>
        <v>52480.269417393443</v>
      </c>
      <c r="D96" s="119">
        <f t="shared" ref="D96:W96" si="38">MAX(0,($B$96*D60))</f>
        <v>213753.41149951465</v>
      </c>
      <c r="E96" s="119">
        <f t="shared" si="38"/>
        <v>219984.30074694491</v>
      </c>
      <c r="F96" s="119">
        <f t="shared" si="38"/>
        <v>225888.54547579147</v>
      </c>
      <c r="G96" s="119">
        <f t="shared" si="38"/>
        <v>231735.77104692417</v>
      </c>
      <c r="H96" s="119">
        <f t="shared" si="38"/>
        <v>180088.41482184987</v>
      </c>
      <c r="I96" s="119">
        <f t="shared" si="38"/>
        <v>13499.079041191053</v>
      </c>
      <c r="J96" s="119">
        <f t="shared" si="38"/>
        <v>15112.225565022756</v>
      </c>
      <c r="K96" s="119">
        <f t="shared" si="38"/>
        <v>14970.698893902625</v>
      </c>
      <c r="L96" s="119">
        <f t="shared" si="38"/>
        <v>15718.016597642809</v>
      </c>
      <c r="M96" s="119">
        <f t="shared" si="38"/>
        <v>15102.380887033065</v>
      </c>
      <c r="N96" s="119">
        <f t="shared" si="38"/>
        <v>14839.722850657321</v>
      </c>
      <c r="O96" s="119">
        <f t="shared" si="38"/>
        <v>14641.455826132524</v>
      </c>
      <c r="P96" s="119">
        <f t="shared" si="38"/>
        <v>14590.911738661373</v>
      </c>
      <c r="Q96" s="119">
        <f t="shared" si="38"/>
        <v>14507.437824485798</v>
      </c>
      <c r="R96" s="119">
        <f t="shared" si="38"/>
        <v>13891.811166579537</v>
      </c>
      <c r="S96" s="119">
        <f t="shared" si="38"/>
        <v>14377.260427516778</v>
      </c>
      <c r="T96" s="119">
        <f t="shared" si="38"/>
        <v>14964.916347261684</v>
      </c>
      <c r="U96" s="119">
        <f t="shared" si="38"/>
        <v>15051.034360223595</v>
      </c>
      <c r="V96" s="119">
        <f t="shared" si="38"/>
        <v>14710.163181006948</v>
      </c>
      <c r="W96" s="119">
        <f t="shared" si="38"/>
        <v>14874.692746901361</v>
      </c>
    </row>
    <row r="97" spans="1:23">
      <c r="A97" s="87" t="str">
        <f>+A61</f>
        <v>b. Curtailable/Interruptible - AutoDR</v>
      </c>
      <c r="B97" s="235">
        <f>SUM(KeyAssumptions!$P$12:$R$12)</f>
        <v>3750</v>
      </c>
      <c r="C97" s="119">
        <f t="shared" ref="C97:W97" si="39">MAX(0,($B$97*C61))</f>
        <v>190226.9893594218</v>
      </c>
      <c r="D97" s="119">
        <f t="shared" si="39"/>
        <v>774799.1461602879</v>
      </c>
      <c r="E97" s="119">
        <f t="shared" si="39"/>
        <v>797384.45899745519</v>
      </c>
      <c r="F97" s="119">
        <f t="shared" si="39"/>
        <v>818785.7725135294</v>
      </c>
      <c r="G97" s="119">
        <f t="shared" si="39"/>
        <v>839980.40677989554</v>
      </c>
      <c r="H97" s="119">
        <f t="shared" si="39"/>
        <v>652772.50575084263</v>
      </c>
      <c r="I97" s="119">
        <f t="shared" si="39"/>
        <v>48930.563688751361</v>
      </c>
      <c r="J97" s="119">
        <f t="shared" si="39"/>
        <v>54777.789894540096</v>
      </c>
      <c r="K97" s="119">
        <f t="shared" si="39"/>
        <v>54264.793432055572</v>
      </c>
      <c r="L97" s="119">
        <f t="shared" si="39"/>
        <v>56973.620929622084</v>
      </c>
      <c r="M97" s="119">
        <f t="shared" si="39"/>
        <v>54742.105560672768</v>
      </c>
      <c r="N97" s="119">
        <f t="shared" si="39"/>
        <v>53790.040183621102</v>
      </c>
      <c r="O97" s="119">
        <f t="shared" si="39"/>
        <v>53071.375062739891</v>
      </c>
      <c r="P97" s="119">
        <f t="shared" si="39"/>
        <v>52888.166216896767</v>
      </c>
      <c r="Q97" s="119">
        <f t="shared" si="39"/>
        <v>52585.595525854384</v>
      </c>
      <c r="R97" s="119">
        <f t="shared" si="39"/>
        <v>50354.112970544236</v>
      </c>
      <c r="S97" s="119">
        <f t="shared" si="39"/>
        <v>52113.737157309857</v>
      </c>
      <c r="T97" s="119">
        <f t="shared" si="39"/>
        <v>54243.833241673943</v>
      </c>
      <c r="U97" s="119">
        <f t="shared" si="39"/>
        <v>54555.98808609807</v>
      </c>
      <c r="V97" s="119">
        <f t="shared" si="39"/>
        <v>53320.420911964844</v>
      </c>
      <c r="W97" s="119">
        <f t="shared" si="39"/>
        <v>53916.796737171069</v>
      </c>
    </row>
    <row r="98" spans="1:23">
      <c r="A98" s="87" t="str">
        <f>+A62</f>
        <v>c. Load Aggregator - AutoDR</v>
      </c>
      <c r="B98" s="235">
        <f>SUM(KeyAssumptions!P13:$R$13)</f>
        <v>3750</v>
      </c>
      <c r="C98" s="119">
        <f t="shared" ref="C98:W98" si="40">MAX(0,($B$98*C62))</f>
        <v>237783.73669927724</v>
      </c>
      <c r="D98" s="119">
        <f t="shared" si="40"/>
        <v>968498.93270035973</v>
      </c>
      <c r="E98" s="119">
        <f t="shared" si="40"/>
        <v>996730.57374681882</v>
      </c>
      <c r="F98" s="119">
        <f t="shared" si="40"/>
        <v>1023482.2156419116</v>
      </c>
      <c r="G98" s="119">
        <f t="shared" si="40"/>
        <v>1049975.5084748694</v>
      </c>
      <c r="H98" s="119">
        <f t="shared" si="40"/>
        <v>815965.63218855322</v>
      </c>
      <c r="I98" s="119">
        <f t="shared" si="40"/>
        <v>61163.204610939203</v>
      </c>
      <c r="J98" s="119">
        <f t="shared" si="40"/>
        <v>68472.23736817512</v>
      </c>
      <c r="K98" s="119">
        <f t="shared" si="40"/>
        <v>67830.991790069675</v>
      </c>
      <c r="L98" s="119">
        <f t="shared" si="40"/>
        <v>71217.026162026974</v>
      </c>
      <c r="M98" s="119">
        <f t="shared" si="40"/>
        <v>68427.631950841605</v>
      </c>
      <c r="N98" s="119">
        <f t="shared" si="40"/>
        <v>67237.550229526169</v>
      </c>
      <c r="O98" s="119">
        <f t="shared" si="40"/>
        <v>66339.218828424855</v>
      </c>
      <c r="P98" s="119">
        <f t="shared" si="40"/>
        <v>66110.207771120316</v>
      </c>
      <c r="Q98" s="119">
        <f t="shared" si="40"/>
        <v>65731.994407318838</v>
      </c>
      <c r="R98" s="119">
        <f t="shared" si="40"/>
        <v>62942.641213180934</v>
      </c>
      <c r="S98" s="119">
        <f t="shared" si="40"/>
        <v>65142.171446636894</v>
      </c>
      <c r="T98" s="119">
        <f t="shared" si="40"/>
        <v>67804.791552091789</v>
      </c>
      <c r="U98" s="119">
        <f t="shared" si="40"/>
        <v>68194.98510762259</v>
      </c>
      <c r="V98" s="119">
        <f t="shared" si="40"/>
        <v>66650.526139956695</v>
      </c>
      <c r="W98" s="119">
        <f t="shared" si="40"/>
        <v>67395.995921463618</v>
      </c>
    </row>
    <row r="99" spans="1:23">
      <c r="A99" s="87" t="str">
        <f>A63</f>
        <v>d. Refrigerated Warehouses - Controls</v>
      </c>
      <c r="B99" s="235">
        <f>SUM(KeyAssumptions!P14:$R$14)</f>
        <v>7500</v>
      </c>
      <c r="C99" s="119">
        <f>MAX(0,($B$99*C63))</f>
        <v>380453.9787188436</v>
      </c>
      <c r="D99" s="119">
        <f t="shared" ref="D99:W99" si="41">MAX(0,($B$99*D63))</f>
        <v>1549598.2923205758</v>
      </c>
      <c r="E99" s="119">
        <f t="shared" si="41"/>
        <v>1594768.9179949104</v>
      </c>
      <c r="F99" s="119">
        <f t="shared" si="41"/>
        <v>1637571.5450270588</v>
      </c>
      <c r="G99" s="119">
        <f t="shared" si="41"/>
        <v>1679960.8135597911</v>
      </c>
      <c r="H99" s="119">
        <f t="shared" si="41"/>
        <v>1305545.0115016853</v>
      </c>
      <c r="I99" s="119">
        <f t="shared" si="41"/>
        <v>97861.127377502722</v>
      </c>
      <c r="J99" s="119">
        <f t="shared" si="41"/>
        <v>109555.57978908019</v>
      </c>
      <c r="K99" s="119">
        <f t="shared" si="41"/>
        <v>108529.58686411114</v>
      </c>
      <c r="L99" s="119">
        <f t="shared" si="41"/>
        <v>113947.24185924417</v>
      </c>
      <c r="M99" s="119">
        <f t="shared" si="41"/>
        <v>109484.21112134554</v>
      </c>
      <c r="N99" s="119">
        <f t="shared" si="41"/>
        <v>107580.0803672422</v>
      </c>
      <c r="O99" s="119">
        <f t="shared" si="41"/>
        <v>106142.75012547978</v>
      </c>
      <c r="P99" s="119">
        <f t="shared" si="41"/>
        <v>105776.33243379353</v>
      </c>
      <c r="Q99" s="119">
        <f t="shared" si="41"/>
        <v>105171.19105170877</v>
      </c>
      <c r="R99" s="119">
        <f t="shared" si="41"/>
        <v>100708.22594108847</v>
      </c>
      <c r="S99" s="119">
        <f t="shared" si="41"/>
        <v>104227.47431461971</v>
      </c>
      <c r="T99" s="119">
        <f t="shared" si="41"/>
        <v>108487.66648334789</v>
      </c>
      <c r="U99" s="119">
        <f t="shared" si="41"/>
        <v>109111.97617219614</v>
      </c>
      <c r="V99" s="119">
        <f t="shared" si="41"/>
        <v>106640.84182392969</v>
      </c>
      <c r="W99" s="119">
        <f t="shared" si="41"/>
        <v>107833.59347434214</v>
      </c>
    </row>
    <row r="100" spans="1:23">
      <c r="A100" s="87"/>
      <c r="B100" s="113"/>
      <c r="C100" s="120"/>
      <c r="D100" s="120"/>
      <c r="E100" s="120"/>
      <c r="F100" s="120"/>
      <c r="G100" s="120"/>
      <c r="H100" s="120"/>
      <c r="I100" s="120"/>
      <c r="J100" s="120"/>
      <c r="K100" s="120"/>
      <c r="L100" s="120"/>
      <c r="M100" s="120"/>
      <c r="N100" s="120"/>
      <c r="O100" s="120"/>
      <c r="P100" s="120"/>
      <c r="Q100" s="120"/>
      <c r="R100" s="120"/>
      <c r="S100" s="120"/>
      <c r="T100" s="120"/>
      <c r="U100" s="120"/>
      <c r="V100" s="120"/>
      <c r="W100" s="120"/>
    </row>
    <row r="101" spans="1:23">
      <c r="A101" s="129" t="s">
        <v>289</v>
      </c>
      <c r="B101" s="110"/>
      <c r="C101" s="122">
        <f>SUM(C96:C99)</f>
        <v>860944.97419493611</v>
      </c>
      <c r="D101" s="122">
        <f t="shared" ref="D101:W101" si="42">SUM(D96:D99)</f>
        <v>3506649.7826807378</v>
      </c>
      <c r="E101" s="122">
        <f t="shared" si="42"/>
        <v>3608868.2514861291</v>
      </c>
      <c r="F101" s="122">
        <f t="shared" si="42"/>
        <v>3705728.0786582911</v>
      </c>
      <c r="G101" s="122">
        <f t="shared" si="42"/>
        <v>3801652.4998614802</v>
      </c>
      <c r="H101" s="122">
        <f t="shared" si="42"/>
        <v>2954371.5642629312</v>
      </c>
      <c r="I101" s="122">
        <f t="shared" si="42"/>
        <v>221453.97471838433</v>
      </c>
      <c r="J101" s="122">
        <f t="shared" si="42"/>
        <v>247917.83261681817</v>
      </c>
      <c r="K101" s="122">
        <f t="shared" si="42"/>
        <v>245596.07098013902</v>
      </c>
      <c r="L101" s="122">
        <f t="shared" si="42"/>
        <v>257855.90554853604</v>
      </c>
      <c r="M101" s="122">
        <f t="shared" si="42"/>
        <v>247756.32951989298</v>
      </c>
      <c r="N101" s="122">
        <f t="shared" si="42"/>
        <v>243447.39363104681</v>
      </c>
      <c r="O101" s="122">
        <f t="shared" si="42"/>
        <v>240194.79984277702</v>
      </c>
      <c r="P101" s="122">
        <f t="shared" si="42"/>
        <v>239365.61816047196</v>
      </c>
      <c r="Q101" s="122">
        <f t="shared" si="42"/>
        <v>237996.2188093678</v>
      </c>
      <c r="R101" s="122">
        <f t="shared" si="42"/>
        <v>227896.79129139317</v>
      </c>
      <c r="S101" s="122">
        <f t="shared" si="42"/>
        <v>235860.64334608323</v>
      </c>
      <c r="T101" s="122">
        <f t="shared" si="42"/>
        <v>245501.2076243753</v>
      </c>
      <c r="U101" s="122">
        <f t="shared" si="42"/>
        <v>246913.9837261404</v>
      </c>
      <c r="V101" s="122">
        <f t="shared" si="42"/>
        <v>241321.95205685816</v>
      </c>
      <c r="W101" s="122">
        <f t="shared" si="42"/>
        <v>244021.07887987819</v>
      </c>
    </row>
    <row r="102" spans="1:23">
      <c r="A102" s="113"/>
      <c r="B102" s="113"/>
      <c r="C102" s="124"/>
      <c r="D102" s="124"/>
      <c r="E102" s="124"/>
      <c r="F102" s="124"/>
      <c r="G102" s="124"/>
      <c r="H102" s="124"/>
      <c r="I102" s="124"/>
      <c r="J102" s="124"/>
      <c r="K102" s="124"/>
      <c r="L102" s="124"/>
      <c r="M102" s="124"/>
      <c r="N102" s="124"/>
      <c r="O102" s="124"/>
      <c r="P102" s="124"/>
      <c r="Q102" s="124"/>
      <c r="R102" s="124"/>
      <c r="S102" s="124"/>
      <c r="T102" s="124"/>
      <c r="U102" s="124"/>
      <c r="V102" s="124"/>
      <c r="W102" s="124"/>
    </row>
    <row r="103" spans="1:23">
      <c r="A103" s="98" t="s">
        <v>278</v>
      </c>
      <c r="B103" s="98"/>
      <c r="C103" s="114"/>
      <c r="D103" s="130"/>
      <c r="E103" s="131"/>
      <c r="F103" s="132"/>
      <c r="G103" s="123"/>
      <c r="H103" s="133"/>
      <c r="I103" s="123"/>
      <c r="J103" s="78"/>
      <c r="L103" s="78"/>
    </row>
    <row r="104" spans="1:23">
      <c r="A104" s="113"/>
      <c r="B104" s="113"/>
      <c r="C104" s="114"/>
      <c r="D104" s="130"/>
      <c r="E104" s="131"/>
      <c r="F104" s="132"/>
      <c r="G104" s="123"/>
      <c r="H104" s="133"/>
      <c r="I104" s="123"/>
      <c r="J104" s="78"/>
      <c r="L104" s="78"/>
    </row>
    <row r="105" spans="1:23">
      <c r="A105" s="518" t="s">
        <v>214</v>
      </c>
      <c r="B105" s="497" t="s">
        <v>356</v>
      </c>
      <c r="C105" s="505" t="s">
        <v>223</v>
      </c>
      <c r="D105" s="505"/>
      <c r="E105" s="505"/>
      <c r="F105" s="505"/>
      <c r="G105" s="505"/>
      <c r="H105" s="505"/>
      <c r="I105" s="505"/>
      <c r="J105" s="505"/>
      <c r="K105" s="505"/>
      <c r="L105" s="505"/>
      <c r="M105" s="505"/>
      <c r="N105" s="505"/>
      <c r="O105" s="505"/>
      <c r="P105" s="505"/>
      <c r="Q105" s="505"/>
      <c r="R105" s="505"/>
      <c r="S105" s="505"/>
      <c r="T105" s="505"/>
      <c r="U105" s="505"/>
      <c r="V105" s="505"/>
      <c r="W105" s="505"/>
    </row>
    <row r="106" spans="1:23">
      <c r="A106" s="519"/>
      <c r="B106" s="497"/>
      <c r="C106" s="187">
        <v>2015</v>
      </c>
      <c r="D106" s="187">
        <v>2016</v>
      </c>
      <c r="E106" s="187">
        <v>2017</v>
      </c>
      <c r="F106" s="187">
        <v>2018</v>
      </c>
      <c r="G106" s="187">
        <v>2019</v>
      </c>
      <c r="H106" s="187">
        <v>2020</v>
      </c>
      <c r="I106" s="187">
        <v>2021</v>
      </c>
      <c r="J106" s="187">
        <v>2022</v>
      </c>
      <c r="K106" s="187">
        <v>2023</v>
      </c>
      <c r="L106" s="187">
        <v>2024</v>
      </c>
      <c r="M106" s="187">
        <v>2025</v>
      </c>
      <c r="N106" s="187">
        <v>2026</v>
      </c>
      <c r="O106" s="187">
        <v>2027</v>
      </c>
      <c r="P106" s="187">
        <v>2028</v>
      </c>
      <c r="Q106" s="187">
        <v>2029</v>
      </c>
      <c r="R106" s="187">
        <v>2030</v>
      </c>
      <c r="S106" s="187">
        <v>2031</v>
      </c>
      <c r="T106" s="187">
        <v>2032</v>
      </c>
      <c r="U106" s="187">
        <v>2033</v>
      </c>
      <c r="V106" s="187">
        <v>2034</v>
      </c>
      <c r="W106" s="187">
        <v>2035</v>
      </c>
    </row>
    <row r="107" spans="1:23">
      <c r="A107" s="134"/>
      <c r="B107" s="247"/>
      <c r="C107" s="135"/>
      <c r="D107" s="136"/>
      <c r="E107" s="136"/>
      <c r="F107" s="136"/>
      <c r="G107" s="136"/>
      <c r="H107" s="136"/>
      <c r="I107" s="136"/>
      <c r="J107" s="136"/>
      <c r="K107" s="136"/>
      <c r="L107" s="136"/>
      <c r="M107" s="136"/>
      <c r="N107" s="136"/>
      <c r="O107" s="136"/>
      <c r="P107" s="136"/>
      <c r="Q107" s="136"/>
      <c r="R107" s="136"/>
      <c r="S107" s="136"/>
      <c r="T107" s="136"/>
      <c r="U107" s="136"/>
      <c r="V107" s="136"/>
      <c r="W107" s="136"/>
    </row>
    <row r="108" spans="1:23">
      <c r="A108" s="253" t="str">
        <f>A60</f>
        <v>a. Irrigation Pumping - AutoDR</v>
      </c>
      <c r="B108" s="248">
        <f>KeyAssumptions!S11</f>
        <v>20</v>
      </c>
      <c r="C108" s="140">
        <f>$B108*C84*1000</f>
        <v>4252.1327033282541</v>
      </c>
      <c r="D108" s="140">
        <f t="shared" ref="D108:W111" si="43">$B108*D84*1000</f>
        <v>21571.172441028801</v>
      </c>
      <c r="E108" s="140">
        <f t="shared" si="43"/>
        <v>39395.06034803074</v>
      </c>
      <c r="F108" s="140">
        <f t="shared" si="43"/>
        <v>57697.330557156696</v>
      </c>
      <c r="G108" s="140">
        <f t="shared" si="43"/>
        <v>76473.363179295542</v>
      </c>
      <c r="H108" s="140">
        <f t="shared" si="43"/>
        <v>91064.74860196143</v>
      </c>
      <c r="I108" s="140">
        <f t="shared" si="43"/>
        <v>92158.490613827642</v>
      </c>
      <c r="J108" s="140">
        <f t="shared" si="43"/>
        <v>93382.935329117332</v>
      </c>
      <c r="K108" s="140">
        <f t="shared" si="43"/>
        <v>94595.913064657419</v>
      </c>
      <c r="L108" s="140">
        <f t="shared" si="43"/>
        <v>95869.441061907797</v>
      </c>
      <c r="M108" s="140">
        <f t="shared" si="43"/>
        <v>97093.088127381692</v>
      </c>
      <c r="N108" s="140">
        <f t="shared" si="43"/>
        <v>98295.453731486137</v>
      </c>
      <c r="O108" s="140">
        <f t="shared" si="43"/>
        <v>99481.755056417969</v>
      </c>
      <c r="P108" s="140">
        <f t="shared" si="43"/>
        <v>100663.96112479565</v>
      </c>
      <c r="Q108" s="140">
        <f t="shared" si="43"/>
        <v>101839.40384831475</v>
      </c>
      <c r="R108" s="140">
        <f t="shared" si="43"/>
        <v>102964.96637353869</v>
      </c>
      <c r="S108" s="140">
        <f t="shared" si="43"/>
        <v>104129.86167470209</v>
      </c>
      <c r="T108" s="140">
        <f t="shared" si="43"/>
        <v>105342.37088833949</v>
      </c>
      <c r="U108" s="140">
        <f t="shared" si="43"/>
        <v>106561.85768085228</v>
      </c>
      <c r="V108" s="140">
        <f t="shared" si="43"/>
        <v>107753.72591300211</v>
      </c>
      <c r="W108" s="140">
        <f t="shared" si="43"/>
        <v>108958.92489889177</v>
      </c>
    </row>
    <row r="109" spans="1:23">
      <c r="A109" s="138" t="str">
        <f>A61</f>
        <v>b. Curtailable/Interruptible - AutoDR</v>
      </c>
      <c r="B109" s="248">
        <f>KeyAssumptions!S12</f>
        <v>20</v>
      </c>
      <c r="C109" s="140">
        <f t="shared" ref="C109:R111" si="44">$B109*C85*1000</f>
        <v>481908.37304386857</v>
      </c>
      <c r="D109" s="140">
        <f t="shared" si="44"/>
        <v>2444732.8766499315</v>
      </c>
      <c r="E109" s="140">
        <f t="shared" si="44"/>
        <v>4464773.5061101513</v>
      </c>
      <c r="F109" s="140">
        <f t="shared" si="44"/>
        <v>6539030.7964777583</v>
      </c>
      <c r="G109" s="140">
        <f t="shared" si="44"/>
        <v>8666981.160320159</v>
      </c>
      <c r="H109" s="140">
        <f t="shared" si="44"/>
        <v>10320671.508222295</v>
      </c>
      <c r="I109" s="140">
        <f t="shared" si="44"/>
        <v>10444628.9362338</v>
      </c>
      <c r="J109" s="140">
        <f t="shared" si="44"/>
        <v>10583399.337299965</v>
      </c>
      <c r="K109" s="140">
        <f t="shared" si="44"/>
        <v>10720870.147327842</v>
      </c>
      <c r="L109" s="140">
        <f t="shared" si="44"/>
        <v>10865203.320349552</v>
      </c>
      <c r="M109" s="140">
        <f t="shared" si="44"/>
        <v>11003883.321103256</v>
      </c>
      <c r="N109" s="140">
        <f t="shared" si="44"/>
        <v>11140151.422901761</v>
      </c>
      <c r="O109" s="140">
        <f t="shared" si="44"/>
        <v>11274598.906394036</v>
      </c>
      <c r="P109" s="140">
        <f t="shared" si="44"/>
        <v>11408582.260810174</v>
      </c>
      <c r="Q109" s="140">
        <f t="shared" si="44"/>
        <v>11541799.102809004</v>
      </c>
      <c r="R109" s="140">
        <f t="shared" si="44"/>
        <v>11669362.855667716</v>
      </c>
      <c r="S109" s="140">
        <f t="shared" si="43"/>
        <v>11801384.323132901</v>
      </c>
      <c r="T109" s="140">
        <f t="shared" si="43"/>
        <v>11938802.034011809</v>
      </c>
      <c r="U109" s="140">
        <f t="shared" si="43"/>
        <v>12077010.537163258</v>
      </c>
      <c r="V109" s="140">
        <f t="shared" si="43"/>
        <v>12212088.936806902</v>
      </c>
      <c r="W109" s="140">
        <f t="shared" si="43"/>
        <v>12348678.155207735</v>
      </c>
    </row>
    <row r="110" spans="1:23">
      <c r="A110" s="138" t="str">
        <f>A62</f>
        <v>c. Load Aggregator - AutoDR</v>
      </c>
      <c r="B110" s="249">
        <f>KeyAssumptions!S13</f>
        <v>50</v>
      </c>
      <c r="C110" s="140">
        <f t="shared" si="44"/>
        <v>301192.73315241782</v>
      </c>
      <c r="D110" s="140">
        <f t="shared" si="43"/>
        <v>1527958.0479062069</v>
      </c>
      <c r="E110" s="140">
        <f t="shared" si="43"/>
        <v>2790483.4413188435</v>
      </c>
      <c r="F110" s="140">
        <f t="shared" si="43"/>
        <v>4086894.2477985988</v>
      </c>
      <c r="G110" s="140">
        <f t="shared" si="43"/>
        <v>5416863.2252001008</v>
      </c>
      <c r="H110" s="140">
        <f t="shared" si="43"/>
        <v>6450419.6926389337</v>
      </c>
      <c r="I110" s="140">
        <f t="shared" si="43"/>
        <v>6527893.0851461235</v>
      </c>
      <c r="J110" s="140">
        <f t="shared" si="43"/>
        <v>6614624.5858124783</v>
      </c>
      <c r="K110" s="140">
        <f t="shared" si="43"/>
        <v>6700543.8420799011</v>
      </c>
      <c r="L110" s="140">
        <f t="shared" si="43"/>
        <v>6790752.075218468</v>
      </c>
      <c r="M110" s="140">
        <f t="shared" si="43"/>
        <v>6877427.0756895347</v>
      </c>
      <c r="N110" s="140">
        <f t="shared" si="43"/>
        <v>6962594.6393136</v>
      </c>
      <c r="O110" s="140">
        <f t="shared" si="43"/>
        <v>7046624.3164962716</v>
      </c>
      <c r="P110" s="140">
        <f t="shared" si="43"/>
        <v>7130363.9130063578</v>
      </c>
      <c r="Q110" s="140">
        <f t="shared" si="43"/>
        <v>7213624.4392556278</v>
      </c>
      <c r="R110" s="140">
        <f t="shared" si="43"/>
        <v>7293351.7847923236</v>
      </c>
      <c r="S110" s="140">
        <f t="shared" si="43"/>
        <v>7375865.201958064</v>
      </c>
      <c r="T110" s="140">
        <f t="shared" si="43"/>
        <v>7461751.2712573819</v>
      </c>
      <c r="U110" s="140">
        <f t="shared" si="43"/>
        <v>7548131.585727036</v>
      </c>
      <c r="V110" s="140">
        <f t="shared" si="43"/>
        <v>7632555.585504313</v>
      </c>
      <c r="W110" s="140">
        <f t="shared" si="43"/>
        <v>7717923.8470048346</v>
      </c>
    </row>
    <row r="111" spans="1:23">
      <c r="A111" s="138" t="str">
        <f>A63</f>
        <v>d. Refrigerated Warehouses - Controls</v>
      </c>
      <c r="B111" s="249">
        <f>KeyAssumptions!S14</f>
        <v>20</v>
      </c>
      <c r="C111" s="140">
        <f t="shared" si="44"/>
        <v>240954.18652193429</v>
      </c>
      <c r="D111" s="140">
        <f t="shared" si="43"/>
        <v>1222366.4383249658</v>
      </c>
      <c r="E111" s="140">
        <f t="shared" si="43"/>
        <v>2232386.7530550756</v>
      </c>
      <c r="F111" s="140">
        <f t="shared" si="43"/>
        <v>3269515.3982388792</v>
      </c>
      <c r="G111" s="140">
        <f t="shared" si="43"/>
        <v>4333490.5801600795</v>
      </c>
      <c r="H111" s="140">
        <f t="shared" si="43"/>
        <v>5160335.7541111475</v>
      </c>
      <c r="I111" s="140">
        <f t="shared" si="43"/>
        <v>5222314.4681169</v>
      </c>
      <c r="J111" s="140">
        <f t="shared" si="43"/>
        <v>5291699.6686499827</v>
      </c>
      <c r="K111" s="140">
        <f t="shared" si="43"/>
        <v>5360435.0736639211</v>
      </c>
      <c r="L111" s="140">
        <f t="shared" si="43"/>
        <v>5432601.6601747759</v>
      </c>
      <c r="M111" s="140">
        <f t="shared" si="43"/>
        <v>5501941.6605516281</v>
      </c>
      <c r="N111" s="140">
        <f t="shared" si="43"/>
        <v>5570075.7114508804</v>
      </c>
      <c r="O111" s="140">
        <f t="shared" si="43"/>
        <v>5637299.4531970182</v>
      </c>
      <c r="P111" s="140">
        <f t="shared" si="43"/>
        <v>5704291.130405087</v>
      </c>
      <c r="Q111" s="140">
        <f t="shared" si="43"/>
        <v>5770899.5514045022</v>
      </c>
      <c r="R111" s="140">
        <f t="shared" si="43"/>
        <v>5834681.4278338579</v>
      </c>
      <c r="S111" s="140">
        <f t="shared" si="43"/>
        <v>5900692.1615664503</v>
      </c>
      <c r="T111" s="140">
        <f t="shared" si="43"/>
        <v>5969401.0170059046</v>
      </c>
      <c r="U111" s="140">
        <f t="shared" si="43"/>
        <v>6038505.2685816288</v>
      </c>
      <c r="V111" s="140">
        <f t="shared" si="43"/>
        <v>6106044.4684034511</v>
      </c>
      <c r="W111" s="140">
        <f t="shared" si="43"/>
        <v>6174339.0776038673</v>
      </c>
    </row>
    <row r="112" spans="1:23">
      <c r="A112" s="144"/>
      <c r="B112" s="250"/>
      <c r="C112" s="137"/>
      <c r="D112" s="137"/>
      <c r="E112" s="137"/>
      <c r="F112" s="137"/>
      <c r="G112" s="137"/>
      <c r="H112" s="137"/>
      <c r="I112" s="137"/>
      <c r="J112" s="137"/>
      <c r="K112" s="137"/>
      <c r="L112" s="137"/>
      <c r="M112" s="137"/>
      <c r="N112" s="137"/>
      <c r="O112" s="137"/>
      <c r="P112" s="137"/>
      <c r="Q112" s="137"/>
      <c r="R112" s="137"/>
      <c r="S112" s="137"/>
      <c r="T112" s="137"/>
      <c r="U112" s="137"/>
      <c r="V112" s="137"/>
      <c r="W112" s="137"/>
    </row>
    <row r="113" spans="1:23">
      <c r="A113" s="146" t="s">
        <v>224</v>
      </c>
      <c r="B113" s="147"/>
      <c r="C113" s="148">
        <f>SUM(C108:C111)</f>
        <v>1028307.425421549</v>
      </c>
      <c r="D113" s="148">
        <f t="shared" ref="D113:W113" si="45">SUM(D108:D111)</f>
        <v>5216628.5353221335</v>
      </c>
      <c r="E113" s="148">
        <f t="shared" si="45"/>
        <v>9527038.7608321011</v>
      </c>
      <c r="F113" s="148">
        <f t="shared" si="45"/>
        <v>13953137.773072392</v>
      </c>
      <c r="G113" s="148">
        <f t="shared" si="45"/>
        <v>18493808.328859635</v>
      </c>
      <c r="H113" s="148">
        <f t="shared" si="45"/>
        <v>22022491.703574337</v>
      </c>
      <c r="I113" s="148">
        <f t="shared" si="45"/>
        <v>22286994.980110653</v>
      </c>
      <c r="J113" s="148">
        <f t="shared" si="45"/>
        <v>22583106.527091544</v>
      </c>
      <c r="K113" s="148">
        <f t="shared" si="45"/>
        <v>22876444.976136319</v>
      </c>
      <c r="L113" s="148">
        <f t="shared" si="45"/>
        <v>23184426.496804703</v>
      </c>
      <c r="M113" s="148">
        <f t="shared" si="45"/>
        <v>23480345.145471804</v>
      </c>
      <c r="N113" s="148">
        <f t="shared" si="45"/>
        <v>23771117.227397725</v>
      </c>
      <c r="O113" s="148">
        <f t="shared" si="45"/>
        <v>24058004.431143746</v>
      </c>
      <c r="P113" s="148">
        <f t="shared" si="45"/>
        <v>24343901.265346415</v>
      </c>
      <c r="Q113" s="148">
        <f t="shared" si="45"/>
        <v>24628162.497317448</v>
      </c>
      <c r="R113" s="148">
        <f t="shared" si="45"/>
        <v>24900361.034667436</v>
      </c>
      <c r="S113" s="148">
        <f t="shared" si="45"/>
        <v>25182071.548332117</v>
      </c>
      <c r="T113" s="148">
        <f t="shared" si="45"/>
        <v>25475296.693163436</v>
      </c>
      <c r="U113" s="148">
        <f t="shared" si="45"/>
        <v>25770209.249152772</v>
      </c>
      <c r="V113" s="148">
        <f t="shared" si="45"/>
        <v>26058442.716627669</v>
      </c>
      <c r="W113" s="148">
        <f t="shared" si="45"/>
        <v>26349900.004715331</v>
      </c>
    </row>
    <row r="114" spans="1:23">
      <c r="A114" s="123"/>
      <c r="B114" s="123"/>
      <c r="C114" s="149"/>
      <c r="D114" s="149"/>
      <c r="E114" s="149"/>
      <c r="F114" s="149"/>
      <c r="G114" s="149"/>
      <c r="H114" s="149"/>
      <c r="I114" s="149"/>
      <c r="J114" s="149"/>
      <c r="K114" s="149"/>
      <c r="L114" s="149"/>
      <c r="M114" s="149"/>
      <c r="N114" s="149"/>
      <c r="O114" s="149"/>
      <c r="P114" s="149"/>
      <c r="Q114" s="149"/>
      <c r="R114" s="149"/>
      <c r="S114" s="149"/>
      <c r="T114" s="149"/>
      <c r="U114" s="149"/>
      <c r="V114" s="149"/>
      <c r="W114" s="149"/>
    </row>
    <row r="115" spans="1:23">
      <c r="A115" s="98" t="s">
        <v>312</v>
      </c>
      <c r="B115" s="98"/>
      <c r="C115" s="114"/>
      <c r="D115" s="130"/>
      <c r="E115" s="131"/>
      <c r="F115" s="193"/>
      <c r="G115" s="123"/>
      <c r="H115" s="133"/>
      <c r="I115" s="123"/>
      <c r="J115" s="78"/>
      <c r="L115" s="78"/>
    </row>
    <row r="116" spans="1:23">
      <c r="A116" s="113"/>
      <c r="B116" s="113"/>
      <c r="C116" s="114"/>
      <c r="D116" s="130"/>
      <c r="E116" s="131"/>
      <c r="F116" s="132"/>
      <c r="G116" s="123"/>
      <c r="H116" s="133"/>
      <c r="I116" s="123"/>
      <c r="J116" s="78"/>
      <c r="L116" s="78"/>
    </row>
    <row r="117" spans="1:23">
      <c r="A117" s="513" t="s">
        <v>214</v>
      </c>
      <c r="B117" s="514"/>
      <c r="C117" s="209">
        <v>2015</v>
      </c>
      <c r="D117" s="209">
        <v>2016</v>
      </c>
      <c r="E117" s="209">
        <v>2017</v>
      </c>
      <c r="F117" s="209">
        <v>2018</v>
      </c>
      <c r="G117" s="209">
        <v>2019</v>
      </c>
      <c r="H117" s="209">
        <v>2020</v>
      </c>
      <c r="I117" s="209">
        <v>2021</v>
      </c>
      <c r="J117" s="209">
        <v>2022</v>
      </c>
      <c r="K117" s="209">
        <v>2023</v>
      </c>
      <c r="L117" s="209">
        <v>2024</v>
      </c>
      <c r="M117" s="209">
        <v>2025</v>
      </c>
      <c r="N117" s="209">
        <v>2026</v>
      </c>
      <c r="O117" s="209">
        <v>2027</v>
      </c>
      <c r="P117" s="209">
        <v>2028</v>
      </c>
      <c r="Q117" s="209">
        <v>2029</v>
      </c>
      <c r="R117" s="209">
        <v>2030</v>
      </c>
      <c r="S117" s="209">
        <v>2031</v>
      </c>
      <c r="T117" s="209">
        <v>2032</v>
      </c>
      <c r="U117" s="209">
        <v>2033</v>
      </c>
      <c r="V117" s="209">
        <v>2034</v>
      </c>
      <c r="W117" s="209">
        <v>2035</v>
      </c>
    </row>
    <row r="118" spans="1:23">
      <c r="A118" s="146" t="str">
        <f>A101</f>
        <v xml:space="preserve">TOTAL ENABLEMENT COST </v>
      </c>
      <c r="B118" s="150"/>
      <c r="C118" s="151">
        <f>C101</f>
        <v>860944.97419493611</v>
      </c>
      <c r="D118" s="151">
        <f t="shared" ref="D118:W118" si="46">D101</f>
        <v>3506649.7826807378</v>
      </c>
      <c r="E118" s="151">
        <f t="shared" si="46"/>
        <v>3608868.2514861291</v>
      </c>
      <c r="F118" s="151">
        <f t="shared" si="46"/>
        <v>3705728.0786582911</v>
      </c>
      <c r="G118" s="151">
        <f t="shared" si="46"/>
        <v>3801652.4998614802</v>
      </c>
      <c r="H118" s="151">
        <f t="shared" si="46"/>
        <v>2954371.5642629312</v>
      </c>
      <c r="I118" s="151">
        <f t="shared" si="46"/>
        <v>221453.97471838433</v>
      </c>
      <c r="J118" s="151">
        <f t="shared" si="46"/>
        <v>247917.83261681817</v>
      </c>
      <c r="K118" s="151">
        <f t="shared" si="46"/>
        <v>245596.07098013902</v>
      </c>
      <c r="L118" s="151">
        <f t="shared" si="46"/>
        <v>257855.90554853604</v>
      </c>
      <c r="M118" s="151">
        <f t="shared" si="46"/>
        <v>247756.32951989298</v>
      </c>
      <c r="N118" s="151">
        <f t="shared" si="46"/>
        <v>243447.39363104681</v>
      </c>
      <c r="O118" s="151">
        <f t="shared" si="46"/>
        <v>240194.79984277702</v>
      </c>
      <c r="P118" s="151">
        <f t="shared" si="46"/>
        <v>239365.61816047196</v>
      </c>
      <c r="Q118" s="151">
        <f t="shared" si="46"/>
        <v>237996.2188093678</v>
      </c>
      <c r="R118" s="151">
        <f t="shared" si="46"/>
        <v>227896.79129139317</v>
      </c>
      <c r="S118" s="151">
        <f t="shared" si="46"/>
        <v>235860.64334608323</v>
      </c>
      <c r="T118" s="151">
        <f t="shared" si="46"/>
        <v>245501.2076243753</v>
      </c>
      <c r="U118" s="151">
        <f t="shared" si="46"/>
        <v>246913.9837261404</v>
      </c>
      <c r="V118" s="151">
        <f t="shared" si="46"/>
        <v>241321.95205685816</v>
      </c>
      <c r="W118" s="151">
        <f t="shared" si="46"/>
        <v>244021.07887987819</v>
      </c>
    </row>
    <row r="119" spans="1:23">
      <c r="A119" s="146" t="str">
        <f>A113</f>
        <v>TOTAL IMPLEMENTATION COST</v>
      </c>
      <c r="B119" s="150"/>
      <c r="C119" s="151">
        <f>C113</f>
        <v>1028307.425421549</v>
      </c>
      <c r="D119" s="151">
        <f t="shared" ref="D119:W119" si="47">D113</f>
        <v>5216628.5353221335</v>
      </c>
      <c r="E119" s="151">
        <f t="shared" si="47"/>
        <v>9527038.7608321011</v>
      </c>
      <c r="F119" s="151">
        <f t="shared" si="47"/>
        <v>13953137.773072392</v>
      </c>
      <c r="G119" s="151">
        <f t="shared" si="47"/>
        <v>18493808.328859635</v>
      </c>
      <c r="H119" s="151">
        <f t="shared" si="47"/>
        <v>22022491.703574337</v>
      </c>
      <c r="I119" s="151">
        <f t="shared" si="47"/>
        <v>22286994.980110653</v>
      </c>
      <c r="J119" s="151">
        <f t="shared" si="47"/>
        <v>22583106.527091544</v>
      </c>
      <c r="K119" s="151">
        <f t="shared" si="47"/>
        <v>22876444.976136319</v>
      </c>
      <c r="L119" s="151">
        <f t="shared" si="47"/>
        <v>23184426.496804703</v>
      </c>
      <c r="M119" s="151">
        <f t="shared" si="47"/>
        <v>23480345.145471804</v>
      </c>
      <c r="N119" s="151">
        <f t="shared" si="47"/>
        <v>23771117.227397725</v>
      </c>
      <c r="O119" s="151">
        <f t="shared" si="47"/>
        <v>24058004.431143746</v>
      </c>
      <c r="P119" s="151">
        <f t="shared" si="47"/>
        <v>24343901.265346415</v>
      </c>
      <c r="Q119" s="151">
        <f t="shared" si="47"/>
        <v>24628162.497317448</v>
      </c>
      <c r="R119" s="151">
        <f t="shared" si="47"/>
        <v>24900361.034667436</v>
      </c>
      <c r="S119" s="151">
        <f t="shared" si="47"/>
        <v>25182071.548332117</v>
      </c>
      <c r="T119" s="151">
        <f t="shared" si="47"/>
        <v>25475296.693163436</v>
      </c>
      <c r="U119" s="151">
        <f t="shared" si="47"/>
        <v>25770209.249152772</v>
      </c>
      <c r="V119" s="151">
        <f t="shared" si="47"/>
        <v>26058442.716627669</v>
      </c>
      <c r="W119" s="151">
        <f t="shared" si="47"/>
        <v>26349900.004715331</v>
      </c>
    </row>
    <row r="120" spans="1:23">
      <c r="A120" s="152" t="s">
        <v>226</v>
      </c>
      <c r="B120" s="150"/>
      <c r="C120" s="153">
        <f t="shared" ref="C120:W120" si="48">SUM(C118:C119)</f>
        <v>1889252.399616485</v>
      </c>
      <c r="D120" s="153">
        <f t="shared" si="48"/>
        <v>8723278.3180028722</v>
      </c>
      <c r="E120" s="153">
        <f t="shared" si="48"/>
        <v>13135907.012318231</v>
      </c>
      <c r="F120" s="153">
        <f t="shared" si="48"/>
        <v>17658865.851730682</v>
      </c>
      <c r="G120" s="153">
        <f t="shared" si="48"/>
        <v>22295460.828721114</v>
      </c>
      <c r="H120" s="153">
        <f t="shared" si="48"/>
        <v>24976863.267837267</v>
      </c>
      <c r="I120" s="153">
        <f t="shared" si="48"/>
        <v>22508448.954829037</v>
      </c>
      <c r="J120" s="153">
        <f t="shared" si="48"/>
        <v>22831024.359708361</v>
      </c>
      <c r="K120" s="153">
        <f t="shared" si="48"/>
        <v>23122041.047116458</v>
      </c>
      <c r="L120" s="153">
        <f t="shared" si="48"/>
        <v>23442282.402353238</v>
      </c>
      <c r="M120" s="153">
        <f t="shared" si="48"/>
        <v>23728101.474991698</v>
      </c>
      <c r="N120" s="153">
        <f t="shared" si="48"/>
        <v>24014564.621028773</v>
      </c>
      <c r="O120" s="153">
        <f t="shared" si="48"/>
        <v>24298199.230986524</v>
      </c>
      <c r="P120" s="153">
        <f t="shared" si="48"/>
        <v>24583266.883506887</v>
      </c>
      <c r="Q120" s="153">
        <f t="shared" si="48"/>
        <v>24866158.716126814</v>
      </c>
      <c r="R120" s="153">
        <f t="shared" si="48"/>
        <v>25128257.825958829</v>
      </c>
      <c r="S120" s="153">
        <f t="shared" si="48"/>
        <v>25417932.1916782</v>
      </c>
      <c r="T120" s="153">
        <f t="shared" si="48"/>
        <v>25720797.900787812</v>
      </c>
      <c r="U120" s="153">
        <f t="shared" si="48"/>
        <v>26017123.232878912</v>
      </c>
      <c r="V120" s="153">
        <f t="shared" si="48"/>
        <v>26299764.668684527</v>
      </c>
      <c r="W120" s="153">
        <f t="shared" si="48"/>
        <v>26593921.083595209</v>
      </c>
    </row>
  </sheetData>
  <mergeCells count="15">
    <mergeCell ref="C105:W105"/>
    <mergeCell ref="A117:B117"/>
    <mergeCell ref="B81:B82"/>
    <mergeCell ref="C81:W81"/>
    <mergeCell ref="B93:B94"/>
    <mergeCell ref="A93:A94"/>
    <mergeCell ref="C93:W93"/>
    <mergeCell ref="B105:B106"/>
    <mergeCell ref="A105:A106"/>
    <mergeCell ref="A1:W1"/>
    <mergeCell ref="C4:W4"/>
    <mergeCell ref="C57:W57"/>
    <mergeCell ref="A69:A70"/>
    <mergeCell ref="B69:B70"/>
    <mergeCell ref="C69:W69"/>
  </mergeCells>
  <pageMargins left="0.75" right="0.75" top="1" bottom="1" header="0.5" footer="0.5"/>
  <pageSetup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W68"/>
  <sheetViews>
    <sheetView topLeftCell="A13" workbookViewId="0">
      <selection activeCell="C63" sqref="C63"/>
    </sheetView>
  </sheetViews>
  <sheetFormatPr defaultRowHeight="13.2"/>
  <cols>
    <col min="1" max="1" width="33.88671875" style="76" customWidth="1"/>
    <col min="2" max="2" width="30.5546875" style="76" customWidth="1"/>
    <col min="3" max="4" width="15" style="76" customWidth="1"/>
    <col min="5" max="5" width="17" style="76" bestFit="1" customWidth="1"/>
    <col min="6" max="7" width="12.88671875" style="76" customWidth="1"/>
    <col min="8" max="8" width="13.6640625" style="76" customWidth="1"/>
    <col min="9" max="23" width="12.88671875" style="76" customWidth="1"/>
    <col min="24" max="255" width="9.109375" style="76"/>
    <col min="256" max="256" width="33.88671875" style="76" customWidth="1"/>
    <col min="257" max="257" width="19.33203125" style="76" customWidth="1"/>
    <col min="258" max="279" width="12.88671875" style="76" customWidth="1"/>
    <col min="280" max="511" width="9.109375" style="76"/>
    <col min="512" max="512" width="33.88671875" style="76" customWidth="1"/>
    <col min="513" max="513" width="19.33203125" style="76" customWidth="1"/>
    <col min="514" max="535" width="12.88671875" style="76" customWidth="1"/>
    <col min="536" max="767" width="9.109375" style="76"/>
    <col min="768" max="768" width="33.88671875" style="76" customWidth="1"/>
    <col min="769" max="769" width="19.33203125" style="76" customWidth="1"/>
    <col min="770" max="791" width="12.88671875" style="76" customWidth="1"/>
    <col min="792" max="1023" width="9.109375" style="76"/>
    <col min="1024" max="1024" width="33.88671875" style="76" customWidth="1"/>
    <col min="1025" max="1025" width="19.33203125" style="76" customWidth="1"/>
    <col min="1026" max="1047" width="12.88671875" style="76" customWidth="1"/>
    <col min="1048" max="1279" width="9.109375" style="76"/>
    <col min="1280" max="1280" width="33.88671875" style="76" customWidth="1"/>
    <col min="1281" max="1281" width="19.33203125" style="76" customWidth="1"/>
    <col min="1282" max="1303" width="12.88671875" style="76" customWidth="1"/>
    <col min="1304" max="1535" width="9.109375" style="76"/>
    <col min="1536" max="1536" width="33.88671875" style="76" customWidth="1"/>
    <col min="1537" max="1537" width="19.33203125" style="76" customWidth="1"/>
    <col min="1538" max="1559" width="12.88671875" style="76" customWidth="1"/>
    <col min="1560" max="1791" width="9.109375" style="76"/>
    <col min="1792" max="1792" width="33.88671875" style="76" customWidth="1"/>
    <col min="1793" max="1793" width="19.33203125" style="76" customWidth="1"/>
    <col min="1794" max="1815" width="12.88671875" style="76" customWidth="1"/>
    <col min="1816" max="2047" width="9.109375" style="76"/>
    <col min="2048" max="2048" width="33.88671875" style="76" customWidth="1"/>
    <col min="2049" max="2049" width="19.33203125" style="76" customWidth="1"/>
    <col min="2050" max="2071" width="12.88671875" style="76" customWidth="1"/>
    <col min="2072" max="2303" width="9.109375" style="76"/>
    <col min="2304" max="2304" width="33.88671875" style="76" customWidth="1"/>
    <col min="2305" max="2305" width="19.33203125" style="76" customWidth="1"/>
    <col min="2306" max="2327" width="12.88671875" style="76" customWidth="1"/>
    <col min="2328" max="2559" width="9.109375" style="76"/>
    <col min="2560" max="2560" width="33.88671875" style="76" customWidth="1"/>
    <col min="2561" max="2561" width="19.33203125" style="76" customWidth="1"/>
    <col min="2562" max="2583" width="12.88671875" style="76" customWidth="1"/>
    <col min="2584" max="2815" width="9.109375" style="76"/>
    <col min="2816" max="2816" width="33.88671875" style="76" customWidth="1"/>
    <col min="2817" max="2817" width="19.33203125" style="76" customWidth="1"/>
    <col min="2818" max="2839" width="12.88671875" style="76" customWidth="1"/>
    <col min="2840" max="3071" width="9.109375" style="76"/>
    <col min="3072" max="3072" width="33.88671875" style="76" customWidth="1"/>
    <col min="3073" max="3073" width="19.33203125" style="76" customWidth="1"/>
    <col min="3074" max="3095" width="12.88671875" style="76" customWidth="1"/>
    <col min="3096" max="3327" width="9.109375" style="76"/>
    <col min="3328" max="3328" width="33.88671875" style="76" customWidth="1"/>
    <col min="3329" max="3329" width="19.33203125" style="76" customWidth="1"/>
    <col min="3330" max="3351" width="12.88671875" style="76" customWidth="1"/>
    <col min="3352" max="3583" width="9.109375" style="76"/>
    <col min="3584" max="3584" width="33.88671875" style="76" customWidth="1"/>
    <col min="3585" max="3585" width="19.33203125" style="76" customWidth="1"/>
    <col min="3586" max="3607" width="12.88671875" style="76" customWidth="1"/>
    <col min="3608" max="3839" width="9.109375" style="76"/>
    <col min="3840" max="3840" width="33.88671875" style="76" customWidth="1"/>
    <col min="3841" max="3841" width="19.33203125" style="76" customWidth="1"/>
    <col min="3842" max="3863" width="12.88671875" style="76" customWidth="1"/>
    <col min="3864" max="4095" width="9.109375" style="76"/>
    <col min="4096" max="4096" width="33.88671875" style="76" customWidth="1"/>
    <col min="4097" max="4097" width="19.33203125" style="76" customWidth="1"/>
    <col min="4098" max="4119" width="12.88671875" style="76" customWidth="1"/>
    <col min="4120" max="4351" width="9.109375" style="76"/>
    <col min="4352" max="4352" width="33.88671875" style="76" customWidth="1"/>
    <col min="4353" max="4353" width="19.33203125" style="76" customWidth="1"/>
    <col min="4354" max="4375" width="12.88671875" style="76" customWidth="1"/>
    <col min="4376" max="4607" width="9.109375" style="76"/>
    <col min="4608" max="4608" width="33.88671875" style="76" customWidth="1"/>
    <col min="4609" max="4609" width="19.33203125" style="76" customWidth="1"/>
    <col min="4610" max="4631" width="12.88671875" style="76" customWidth="1"/>
    <col min="4632" max="4863" width="9.109375" style="76"/>
    <col min="4864" max="4864" width="33.88671875" style="76" customWidth="1"/>
    <col min="4865" max="4865" width="19.33203125" style="76" customWidth="1"/>
    <col min="4866" max="4887" width="12.88671875" style="76" customWidth="1"/>
    <col min="4888" max="5119" width="9.109375" style="76"/>
    <col min="5120" max="5120" width="33.88671875" style="76" customWidth="1"/>
    <col min="5121" max="5121" width="19.33203125" style="76" customWidth="1"/>
    <col min="5122" max="5143" width="12.88671875" style="76" customWidth="1"/>
    <col min="5144" max="5375" width="9.109375" style="76"/>
    <col min="5376" max="5376" width="33.88671875" style="76" customWidth="1"/>
    <col min="5377" max="5377" width="19.33203125" style="76" customWidth="1"/>
    <col min="5378" max="5399" width="12.88671875" style="76" customWidth="1"/>
    <col min="5400" max="5631" width="9.109375" style="76"/>
    <col min="5632" max="5632" width="33.88671875" style="76" customWidth="1"/>
    <col min="5633" max="5633" width="19.33203125" style="76" customWidth="1"/>
    <col min="5634" max="5655" width="12.88671875" style="76" customWidth="1"/>
    <col min="5656" max="5887" width="9.109375" style="76"/>
    <col min="5888" max="5888" width="33.88671875" style="76" customWidth="1"/>
    <col min="5889" max="5889" width="19.33203125" style="76" customWidth="1"/>
    <col min="5890" max="5911" width="12.88671875" style="76" customWidth="1"/>
    <col min="5912" max="6143" width="9.109375" style="76"/>
    <col min="6144" max="6144" width="33.88671875" style="76" customWidth="1"/>
    <col min="6145" max="6145" width="19.33203125" style="76" customWidth="1"/>
    <col min="6146" max="6167" width="12.88671875" style="76" customWidth="1"/>
    <col min="6168" max="6399" width="9.109375" style="76"/>
    <col min="6400" max="6400" width="33.88671875" style="76" customWidth="1"/>
    <col min="6401" max="6401" width="19.33203125" style="76" customWidth="1"/>
    <col min="6402" max="6423" width="12.88671875" style="76" customWidth="1"/>
    <col min="6424" max="6655" width="9.109375" style="76"/>
    <col min="6656" max="6656" width="33.88671875" style="76" customWidth="1"/>
    <col min="6657" max="6657" width="19.33203125" style="76" customWidth="1"/>
    <col min="6658" max="6679" width="12.88671875" style="76" customWidth="1"/>
    <col min="6680" max="6911" width="9.109375" style="76"/>
    <col min="6912" max="6912" width="33.88671875" style="76" customWidth="1"/>
    <col min="6913" max="6913" width="19.33203125" style="76" customWidth="1"/>
    <col min="6914" max="6935" width="12.88671875" style="76" customWidth="1"/>
    <col min="6936" max="7167" width="9.109375" style="76"/>
    <col min="7168" max="7168" width="33.88671875" style="76" customWidth="1"/>
    <col min="7169" max="7169" width="19.33203125" style="76" customWidth="1"/>
    <col min="7170" max="7191" width="12.88671875" style="76" customWidth="1"/>
    <col min="7192" max="7423" width="9.109375" style="76"/>
    <col min="7424" max="7424" width="33.88671875" style="76" customWidth="1"/>
    <col min="7425" max="7425" width="19.33203125" style="76" customWidth="1"/>
    <col min="7426" max="7447" width="12.88671875" style="76" customWidth="1"/>
    <col min="7448" max="7679" width="9.109375" style="76"/>
    <col min="7680" max="7680" width="33.88671875" style="76" customWidth="1"/>
    <col min="7681" max="7681" width="19.33203125" style="76" customWidth="1"/>
    <col min="7682" max="7703" width="12.88671875" style="76" customWidth="1"/>
    <col min="7704" max="7935" width="9.109375" style="76"/>
    <col min="7936" max="7936" width="33.88671875" style="76" customWidth="1"/>
    <col min="7937" max="7937" width="19.33203125" style="76" customWidth="1"/>
    <col min="7938" max="7959" width="12.88671875" style="76" customWidth="1"/>
    <col min="7960" max="8191" width="9.109375" style="76"/>
    <col min="8192" max="8192" width="33.88671875" style="76" customWidth="1"/>
    <col min="8193" max="8193" width="19.33203125" style="76" customWidth="1"/>
    <col min="8194" max="8215" width="12.88671875" style="76" customWidth="1"/>
    <col min="8216" max="8447" width="9.109375" style="76"/>
    <col min="8448" max="8448" width="33.88671875" style="76" customWidth="1"/>
    <col min="8449" max="8449" width="19.33203125" style="76" customWidth="1"/>
    <col min="8450" max="8471" width="12.88671875" style="76" customWidth="1"/>
    <col min="8472" max="8703" width="9.109375" style="76"/>
    <col min="8704" max="8704" width="33.88671875" style="76" customWidth="1"/>
    <col min="8705" max="8705" width="19.33203125" style="76" customWidth="1"/>
    <col min="8706" max="8727" width="12.88671875" style="76" customWidth="1"/>
    <col min="8728" max="8959" width="9.109375" style="76"/>
    <col min="8960" max="8960" width="33.88671875" style="76" customWidth="1"/>
    <col min="8961" max="8961" width="19.33203125" style="76" customWidth="1"/>
    <col min="8962" max="8983" width="12.88671875" style="76" customWidth="1"/>
    <col min="8984" max="9215" width="9.109375" style="76"/>
    <col min="9216" max="9216" width="33.88671875" style="76" customWidth="1"/>
    <col min="9217" max="9217" width="19.33203125" style="76" customWidth="1"/>
    <col min="9218" max="9239" width="12.88671875" style="76" customWidth="1"/>
    <col min="9240" max="9471" width="9.109375" style="76"/>
    <col min="9472" max="9472" width="33.88671875" style="76" customWidth="1"/>
    <col min="9473" max="9473" width="19.33203125" style="76" customWidth="1"/>
    <col min="9474" max="9495" width="12.88671875" style="76" customWidth="1"/>
    <col min="9496" max="9727" width="9.109375" style="76"/>
    <col min="9728" max="9728" width="33.88671875" style="76" customWidth="1"/>
    <col min="9729" max="9729" width="19.33203125" style="76" customWidth="1"/>
    <col min="9730" max="9751" width="12.88671875" style="76" customWidth="1"/>
    <col min="9752" max="9983" width="9.109375" style="76"/>
    <col min="9984" max="9984" width="33.88671875" style="76" customWidth="1"/>
    <col min="9985" max="9985" width="19.33203125" style="76" customWidth="1"/>
    <col min="9986" max="10007" width="12.88671875" style="76" customWidth="1"/>
    <col min="10008" max="10239" width="9.109375" style="76"/>
    <col min="10240" max="10240" width="33.88671875" style="76" customWidth="1"/>
    <col min="10241" max="10241" width="19.33203125" style="76" customWidth="1"/>
    <col min="10242" max="10263" width="12.88671875" style="76" customWidth="1"/>
    <col min="10264" max="10495" width="9.109375" style="76"/>
    <col min="10496" max="10496" width="33.88671875" style="76" customWidth="1"/>
    <col min="10497" max="10497" width="19.33203125" style="76" customWidth="1"/>
    <col min="10498" max="10519" width="12.88671875" style="76" customWidth="1"/>
    <col min="10520" max="10751" width="9.109375" style="76"/>
    <col min="10752" max="10752" width="33.88671875" style="76" customWidth="1"/>
    <col min="10753" max="10753" width="19.33203125" style="76" customWidth="1"/>
    <col min="10754" max="10775" width="12.88671875" style="76" customWidth="1"/>
    <col min="10776" max="11007" width="9.109375" style="76"/>
    <col min="11008" max="11008" width="33.88671875" style="76" customWidth="1"/>
    <col min="11009" max="11009" width="19.33203125" style="76" customWidth="1"/>
    <col min="11010" max="11031" width="12.88671875" style="76" customWidth="1"/>
    <col min="11032" max="11263" width="9.109375" style="76"/>
    <col min="11264" max="11264" width="33.88671875" style="76" customWidth="1"/>
    <col min="11265" max="11265" width="19.33203125" style="76" customWidth="1"/>
    <col min="11266" max="11287" width="12.88671875" style="76" customWidth="1"/>
    <col min="11288" max="11519" width="9.109375" style="76"/>
    <col min="11520" max="11520" width="33.88671875" style="76" customWidth="1"/>
    <col min="11521" max="11521" width="19.33203125" style="76" customWidth="1"/>
    <col min="11522" max="11543" width="12.88671875" style="76" customWidth="1"/>
    <col min="11544" max="11775" width="9.109375" style="76"/>
    <col min="11776" max="11776" width="33.88671875" style="76" customWidth="1"/>
    <col min="11777" max="11777" width="19.33203125" style="76" customWidth="1"/>
    <col min="11778" max="11799" width="12.88671875" style="76" customWidth="1"/>
    <col min="11800" max="12031" width="9.109375" style="76"/>
    <col min="12032" max="12032" width="33.88671875" style="76" customWidth="1"/>
    <col min="12033" max="12033" width="19.33203125" style="76" customWidth="1"/>
    <col min="12034" max="12055" width="12.88671875" style="76" customWidth="1"/>
    <col min="12056" max="12287" width="9.109375" style="76"/>
    <col min="12288" max="12288" width="33.88671875" style="76" customWidth="1"/>
    <col min="12289" max="12289" width="19.33203125" style="76" customWidth="1"/>
    <col min="12290" max="12311" width="12.88671875" style="76" customWidth="1"/>
    <col min="12312" max="12543" width="9.109375" style="76"/>
    <col min="12544" max="12544" width="33.88671875" style="76" customWidth="1"/>
    <col min="12545" max="12545" width="19.33203125" style="76" customWidth="1"/>
    <col min="12546" max="12567" width="12.88671875" style="76" customWidth="1"/>
    <col min="12568" max="12799" width="9.109375" style="76"/>
    <col min="12800" max="12800" width="33.88671875" style="76" customWidth="1"/>
    <col min="12801" max="12801" width="19.33203125" style="76" customWidth="1"/>
    <col min="12802" max="12823" width="12.88671875" style="76" customWidth="1"/>
    <col min="12824" max="13055" width="9.109375" style="76"/>
    <col min="13056" max="13056" width="33.88671875" style="76" customWidth="1"/>
    <col min="13057" max="13057" width="19.33203125" style="76" customWidth="1"/>
    <col min="13058" max="13079" width="12.88671875" style="76" customWidth="1"/>
    <col min="13080" max="13311" width="9.109375" style="76"/>
    <col min="13312" max="13312" width="33.88671875" style="76" customWidth="1"/>
    <col min="13313" max="13313" width="19.33203125" style="76" customWidth="1"/>
    <col min="13314" max="13335" width="12.88671875" style="76" customWidth="1"/>
    <col min="13336" max="13567" width="9.109375" style="76"/>
    <col min="13568" max="13568" width="33.88671875" style="76" customWidth="1"/>
    <col min="13569" max="13569" width="19.33203125" style="76" customWidth="1"/>
    <col min="13570" max="13591" width="12.88671875" style="76" customWidth="1"/>
    <col min="13592" max="13823" width="9.109375" style="76"/>
    <col min="13824" max="13824" width="33.88671875" style="76" customWidth="1"/>
    <col min="13825" max="13825" width="19.33203125" style="76" customWidth="1"/>
    <col min="13826" max="13847" width="12.88671875" style="76" customWidth="1"/>
    <col min="13848" max="14079" width="9.109375" style="76"/>
    <col min="14080" max="14080" width="33.88671875" style="76" customWidth="1"/>
    <col min="14081" max="14081" width="19.33203125" style="76" customWidth="1"/>
    <col min="14082" max="14103" width="12.88671875" style="76" customWidth="1"/>
    <col min="14104" max="14335" width="9.109375" style="76"/>
    <col min="14336" max="14336" width="33.88671875" style="76" customWidth="1"/>
    <col min="14337" max="14337" width="19.33203125" style="76" customWidth="1"/>
    <col min="14338" max="14359" width="12.88671875" style="76" customWidth="1"/>
    <col min="14360" max="14591" width="9.109375" style="76"/>
    <col min="14592" max="14592" width="33.88671875" style="76" customWidth="1"/>
    <col min="14593" max="14593" width="19.33203125" style="76" customWidth="1"/>
    <col min="14594" max="14615" width="12.88671875" style="76" customWidth="1"/>
    <col min="14616" max="14847" width="9.109375" style="76"/>
    <col min="14848" max="14848" width="33.88671875" style="76" customWidth="1"/>
    <col min="14849" max="14849" width="19.33203125" style="76" customWidth="1"/>
    <col min="14850" max="14871" width="12.88671875" style="76" customWidth="1"/>
    <col min="14872" max="15103" width="9.109375" style="76"/>
    <col min="15104" max="15104" width="33.88671875" style="76" customWidth="1"/>
    <col min="15105" max="15105" width="19.33203125" style="76" customWidth="1"/>
    <col min="15106" max="15127" width="12.88671875" style="76" customWidth="1"/>
    <col min="15128" max="15359" width="9.109375" style="76"/>
    <col min="15360" max="15360" width="33.88671875" style="76" customWidth="1"/>
    <col min="15361" max="15361" width="19.33203125" style="76" customWidth="1"/>
    <col min="15362" max="15383" width="12.88671875" style="76" customWidth="1"/>
    <col min="15384" max="15615" width="9.109375" style="76"/>
    <col min="15616" max="15616" width="33.88671875" style="76" customWidth="1"/>
    <col min="15617" max="15617" width="19.33203125" style="76" customWidth="1"/>
    <col min="15618" max="15639" width="12.88671875" style="76" customWidth="1"/>
    <col min="15640" max="15871" width="9.109375" style="76"/>
    <col min="15872" max="15872" width="33.88671875" style="76" customWidth="1"/>
    <col min="15873" max="15873" width="19.33203125" style="76" customWidth="1"/>
    <col min="15874" max="15895" width="12.88671875" style="76" customWidth="1"/>
    <col min="15896" max="16127" width="9.109375" style="76"/>
    <col min="16128" max="16128" width="33.88671875" style="76" customWidth="1"/>
    <col min="16129" max="16129" width="19.33203125" style="76" customWidth="1"/>
    <col min="16130" max="16151" width="12.88671875" style="76" customWidth="1"/>
    <col min="16152" max="16384" width="9.109375" style="76"/>
  </cols>
  <sheetData>
    <row r="1" spans="1:23" ht="16.2" thickBot="1">
      <c r="A1" s="494" t="s">
        <v>368</v>
      </c>
      <c r="B1" s="495"/>
      <c r="C1" s="495"/>
      <c r="D1" s="495"/>
      <c r="E1" s="495"/>
      <c r="F1" s="495"/>
      <c r="G1" s="495"/>
      <c r="H1" s="495"/>
      <c r="I1" s="495"/>
      <c r="J1" s="495"/>
      <c r="K1" s="495"/>
      <c r="L1" s="495"/>
      <c r="M1" s="495"/>
      <c r="N1" s="495"/>
      <c r="O1" s="495"/>
      <c r="P1" s="495"/>
      <c r="Q1" s="495"/>
      <c r="R1" s="495"/>
      <c r="S1" s="495"/>
      <c r="T1" s="495"/>
      <c r="U1" s="495"/>
      <c r="V1" s="495"/>
      <c r="W1" s="496"/>
    </row>
    <row r="2" spans="1:23" ht="16.2" thickBot="1">
      <c r="A2" s="181" t="s">
        <v>235</v>
      </c>
      <c r="B2" s="182"/>
      <c r="C2" s="182"/>
      <c r="D2" s="182"/>
      <c r="E2" s="182"/>
      <c r="F2" s="182"/>
      <c r="G2" s="182"/>
      <c r="H2" s="182"/>
      <c r="I2" s="182"/>
      <c r="J2" s="182"/>
      <c r="K2" s="182"/>
      <c r="L2" s="182"/>
      <c r="M2" s="183"/>
      <c r="N2" s="183"/>
      <c r="O2" s="183"/>
      <c r="P2" s="183"/>
      <c r="Q2" s="183"/>
      <c r="R2" s="183"/>
      <c r="S2" s="183"/>
      <c r="T2" s="183"/>
      <c r="U2" s="183"/>
      <c r="V2" s="183"/>
      <c r="W2" s="184"/>
    </row>
    <row r="3" spans="1:23" ht="15.6">
      <c r="A3" s="154" t="s">
        <v>246</v>
      </c>
      <c r="B3" s="155"/>
      <c r="C3" s="155"/>
      <c r="D3" s="156"/>
      <c r="E3" s="156"/>
      <c r="F3" s="156"/>
      <c r="G3" s="156"/>
      <c r="H3" s="156"/>
      <c r="I3" s="156"/>
      <c r="J3" s="156"/>
      <c r="K3" s="156"/>
      <c r="L3" s="156"/>
      <c r="M3" s="157"/>
      <c r="N3" s="157"/>
      <c r="O3" s="157"/>
      <c r="P3" s="157"/>
      <c r="Q3" s="157"/>
      <c r="R3" s="157"/>
      <c r="S3" s="157"/>
      <c r="T3" s="157"/>
      <c r="U3" s="157"/>
      <c r="V3" s="157"/>
      <c r="W3" s="158"/>
    </row>
    <row r="4" spans="1:23" ht="15.6">
      <c r="A4" s="188"/>
      <c r="B4" s="161" t="s">
        <v>241</v>
      </c>
      <c r="C4" s="176">
        <f>KeyAssumptions!AE5</f>
        <v>1</v>
      </c>
      <c r="D4" s="166"/>
      <c r="E4" s="166"/>
      <c r="F4" s="166"/>
      <c r="G4" s="166"/>
      <c r="H4" s="166"/>
      <c r="I4" s="166"/>
      <c r="J4" s="166"/>
      <c r="K4" s="166"/>
      <c r="L4" s="166"/>
      <c r="M4" s="167"/>
      <c r="N4" s="167"/>
      <c r="O4" s="167"/>
      <c r="P4" s="167"/>
      <c r="Q4" s="167"/>
      <c r="R4" s="167"/>
      <c r="S4" s="167"/>
      <c r="T4" s="167"/>
      <c r="U4" s="167"/>
      <c r="V4" s="167"/>
      <c r="W4" s="168"/>
    </row>
    <row r="5" spans="1:23" ht="15.6">
      <c r="A5" s="188"/>
      <c r="B5" s="161" t="s">
        <v>207</v>
      </c>
      <c r="C5" s="177">
        <f>KeyAssumptions!AF5</f>
        <v>0.25</v>
      </c>
      <c r="D5" s="166"/>
      <c r="E5" s="166"/>
      <c r="F5" s="166"/>
      <c r="G5" s="166"/>
      <c r="H5" s="166"/>
      <c r="I5" s="166"/>
      <c r="J5" s="166"/>
      <c r="K5" s="166"/>
      <c r="L5" s="166"/>
      <c r="M5" s="167"/>
      <c r="N5" s="167"/>
      <c r="O5" s="167"/>
      <c r="P5" s="167"/>
      <c r="Q5" s="167"/>
      <c r="R5" s="167"/>
      <c r="S5" s="167"/>
      <c r="T5" s="167"/>
      <c r="U5" s="167"/>
      <c r="V5" s="167"/>
      <c r="W5" s="168"/>
    </row>
    <row r="6" spans="1:23" ht="15.75" customHeight="1">
      <c r="A6" s="188"/>
      <c r="B6" s="191" t="s">
        <v>355</v>
      </c>
      <c r="C6" s="177">
        <v>0.95</v>
      </c>
      <c r="D6" s="166"/>
      <c r="E6" s="166"/>
      <c r="F6" s="166"/>
      <c r="G6" s="166"/>
      <c r="H6" s="166"/>
      <c r="I6" s="166"/>
      <c r="J6" s="166"/>
      <c r="K6" s="166"/>
      <c r="L6" s="166"/>
      <c r="M6" s="167"/>
      <c r="N6" s="167"/>
      <c r="O6" s="167"/>
      <c r="P6" s="167"/>
      <c r="Q6" s="167"/>
      <c r="R6" s="167"/>
      <c r="S6" s="167"/>
      <c r="T6" s="167"/>
      <c r="U6" s="167"/>
      <c r="V6" s="167"/>
      <c r="W6" s="168"/>
    </row>
    <row r="7" spans="1:23" ht="15.6">
      <c r="A7" s="188"/>
      <c r="B7" s="160"/>
      <c r="C7" s="160"/>
      <c r="D7" s="166"/>
      <c r="E7" s="166"/>
      <c r="F7" s="166"/>
      <c r="G7" s="166"/>
      <c r="H7" s="166"/>
      <c r="I7" s="166"/>
      <c r="J7" s="166"/>
      <c r="K7" s="166"/>
      <c r="L7" s="166"/>
      <c r="M7" s="167"/>
      <c r="N7" s="167"/>
      <c r="O7" s="167"/>
      <c r="P7" s="167"/>
      <c r="Q7" s="167"/>
      <c r="R7" s="167"/>
      <c r="S7" s="167"/>
      <c r="T7" s="167"/>
      <c r="U7" s="167"/>
      <c r="V7" s="167"/>
      <c r="W7" s="168"/>
    </row>
    <row r="8" spans="1:23">
      <c r="A8" s="159"/>
      <c r="B8" s="161" t="s">
        <v>1</v>
      </c>
      <c r="C8" s="162">
        <v>2015</v>
      </c>
      <c r="D8" s="162">
        <v>2016</v>
      </c>
      <c r="E8" s="162">
        <v>2017</v>
      </c>
      <c r="F8" s="162">
        <v>2018</v>
      </c>
      <c r="G8" s="162">
        <v>2019</v>
      </c>
      <c r="H8" s="162">
        <v>2020</v>
      </c>
      <c r="I8" s="162">
        <v>2021</v>
      </c>
      <c r="J8" s="162">
        <v>2022</v>
      </c>
      <c r="K8" s="162">
        <v>2023</v>
      </c>
      <c r="L8" s="162">
        <v>2024</v>
      </c>
      <c r="M8" s="162">
        <v>2025</v>
      </c>
      <c r="N8" s="162">
        <v>2026</v>
      </c>
      <c r="O8" s="162">
        <v>2027</v>
      </c>
      <c r="P8" s="162">
        <v>2028</v>
      </c>
      <c r="Q8" s="162">
        <v>2029</v>
      </c>
      <c r="R8" s="162">
        <v>2030</v>
      </c>
      <c r="S8" s="162">
        <v>2031</v>
      </c>
      <c r="T8" s="162">
        <v>2032</v>
      </c>
      <c r="U8" s="162">
        <v>2033</v>
      </c>
      <c r="V8" s="162">
        <v>2034</v>
      </c>
      <c r="W8" s="163">
        <v>2035</v>
      </c>
    </row>
    <row r="9" spans="1:23">
      <c r="A9" s="159"/>
      <c r="B9" s="161" t="s">
        <v>231</v>
      </c>
      <c r="C9" s="177">
        <v>0.05</v>
      </c>
      <c r="D9" s="177">
        <v>0.2</v>
      </c>
      <c r="E9" s="177">
        <v>0.2</v>
      </c>
      <c r="F9" s="177">
        <v>0.2</v>
      </c>
      <c r="G9" s="177">
        <v>0.2</v>
      </c>
      <c r="H9" s="177">
        <v>0.15</v>
      </c>
      <c r="I9" s="177">
        <v>0</v>
      </c>
      <c r="J9" s="177">
        <v>0</v>
      </c>
      <c r="K9" s="177">
        <v>0</v>
      </c>
      <c r="L9" s="177">
        <v>0</v>
      </c>
      <c r="M9" s="177">
        <v>0</v>
      </c>
      <c r="N9" s="177">
        <v>0</v>
      </c>
      <c r="O9" s="177">
        <v>0</v>
      </c>
      <c r="P9" s="177">
        <v>0</v>
      </c>
      <c r="Q9" s="177">
        <v>0</v>
      </c>
      <c r="R9" s="177">
        <v>0</v>
      </c>
      <c r="S9" s="177">
        <v>0</v>
      </c>
      <c r="T9" s="177">
        <v>0</v>
      </c>
      <c r="U9" s="177">
        <v>0</v>
      </c>
      <c r="V9" s="177">
        <v>0</v>
      </c>
      <c r="W9" s="225">
        <v>0</v>
      </c>
    </row>
    <row r="10" spans="1:23">
      <c r="A10" s="159"/>
      <c r="B10" s="161" t="s">
        <v>237</v>
      </c>
      <c r="C10" s="177">
        <f>C9</f>
        <v>0.05</v>
      </c>
      <c r="D10" s="177">
        <f>C10+D9</f>
        <v>0.25</v>
      </c>
      <c r="E10" s="177">
        <f t="shared" ref="E10:W10" si="0">D10+E9</f>
        <v>0.45</v>
      </c>
      <c r="F10" s="177">
        <f t="shared" si="0"/>
        <v>0.65</v>
      </c>
      <c r="G10" s="177">
        <f t="shared" si="0"/>
        <v>0.85000000000000009</v>
      </c>
      <c r="H10" s="177">
        <f t="shared" si="0"/>
        <v>1</v>
      </c>
      <c r="I10" s="177">
        <f t="shared" si="0"/>
        <v>1</v>
      </c>
      <c r="J10" s="177">
        <f t="shared" si="0"/>
        <v>1</v>
      </c>
      <c r="K10" s="177">
        <f t="shared" si="0"/>
        <v>1</v>
      </c>
      <c r="L10" s="177">
        <f t="shared" si="0"/>
        <v>1</v>
      </c>
      <c r="M10" s="177">
        <f t="shared" si="0"/>
        <v>1</v>
      </c>
      <c r="N10" s="177">
        <f t="shared" si="0"/>
        <v>1</v>
      </c>
      <c r="O10" s="177">
        <f t="shared" si="0"/>
        <v>1</v>
      </c>
      <c r="P10" s="177">
        <f t="shared" si="0"/>
        <v>1</v>
      </c>
      <c r="Q10" s="177">
        <f t="shared" si="0"/>
        <v>1</v>
      </c>
      <c r="R10" s="177">
        <f t="shared" si="0"/>
        <v>1</v>
      </c>
      <c r="S10" s="177">
        <f t="shared" si="0"/>
        <v>1</v>
      </c>
      <c r="T10" s="177">
        <f t="shared" si="0"/>
        <v>1</v>
      </c>
      <c r="U10" s="177">
        <f t="shared" si="0"/>
        <v>1</v>
      </c>
      <c r="V10" s="177">
        <f t="shared" si="0"/>
        <v>1</v>
      </c>
      <c r="W10" s="225">
        <f t="shared" si="0"/>
        <v>1</v>
      </c>
    </row>
    <row r="11" spans="1:23">
      <c r="A11" s="159"/>
      <c r="B11" s="161" t="s">
        <v>232</v>
      </c>
      <c r="C11" s="177">
        <v>0.01</v>
      </c>
      <c r="D11" s="177">
        <v>0.01</v>
      </c>
      <c r="E11" s="177">
        <v>0.01</v>
      </c>
      <c r="F11" s="177">
        <v>0.01</v>
      </c>
      <c r="G11" s="177">
        <v>0.01</v>
      </c>
      <c r="H11" s="177">
        <v>0.01</v>
      </c>
      <c r="I11" s="177">
        <v>0.01</v>
      </c>
      <c r="J11" s="177">
        <v>0.01</v>
      </c>
      <c r="K11" s="177">
        <v>0.01</v>
      </c>
      <c r="L11" s="177">
        <v>0.01</v>
      </c>
      <c r="M11" s="177">
        <v>0.01</v>
      </c>
      <c r="N11" s="177">
        <v>0.01</v>
      </c>
      <c r="O11" s="177">
        <v>0.01</v>
      </c>
      <c r="P11" s="177">
        <v>0.01</v>
      </c>
      <c r="Q11" s="177">
        <v>0.01</v>
      </c>
      <c r="R11" s="177">
        <v>0.01</v>
      </c>
      <c r="S11" s="177">
        <v>0.01</v>
      </c>
      <c r="T11" s="177">
        <v>0.01</v>
      </c>
      <c r="U11" s="177">
        <v>0.01</v>
      </c>
      <c r="V11" s="177">
        <v>0.01</v>
      </c>
      <c r="W11" s="225">
        <v>0.01</v>
      </c>
    </row>
    <row r="12" spans="1:23" ht="13.8" thickBot="1">
      <c r="A12" s="164"/>
      <c r="B12" s="165" t="s">
        <v>353</v>
      </c>
      <c r="C12" s="226">
        <v>1</v>
      </c>
      <c r="D12" s="226">
        <v>1</v>
      </c>
      <c r="E12" s="226">
        <v>1</v>
      </c>
      <c r="F12" s="226">
        <v>1</v>
      </c>
      <c r="G12" s="226">
        <v>1</v>
      </c>
      <c r="H12" s="226">
        <v>1</v>
      </c>
      <c r="I12" s="226">
        <v>1</v>
      </c>
      <c r="J12" s="226">
        <v>1</v>
      </c>
      <c r="K12" s="226">
        <v>1</v>
      </c>
      <c r="L12" s="226">
        <v>1</v>
      </c>
      <c r="M12" s="226">
        <v>1</v>
      </c>
      <c r="N12" s="226">
        <v>1</v>
      </c>
      <c r="O12" s="226">
        <v>1</v>
      </c>
      <c r="P12" s="226">
        <v>1</v>
      </c>
      <c r="Q12" s="226">
        <v>1</v>
      </c>
      <c r="R12" s="226">
        <v>1</v>
      </c>
      <c r="S12" s="226">
        <v>1</v>
      </c>
      <c r="T12" s="226">
        <v>1</v>
      </c>
      <c r="U12" s="226">
        <v>1</v>
      </c>
      <c r="V12" s="226">
        <v>1</v>
      </c>
      <c r="W12" s="226">
        <v>1</v>
      </c>
    </row>
    <row r="13" spans="1:23" ht="13.8" thickBot="1">
      <c r="A13" s="180"/>
      <c r="B13" s="180"/>
      <c r="C13" s="175"/>
      <c r="D13" s="175"/>
      <c r="E13" s="175"/>
      <c r="F13" s="175"/>
      <c r="G13" s="175"/>
      <c r="H13" s="175"/>
      <c r="I13" s="175"/>
      <c r="J13" s="175"/>
      <c r="K13" s="175"/>
      <c r="L13" s="175"/>
      <c r="M13" s="175"/>
      <c r="N13" s="175"/>
      <c r="O13" s="175"/>
      <c r="P13" s="175"/>
      <c r="Q13" s="175"/>
      <c r="R13" s="175"/>
      <c r="S13" s="175"/>
      <c r="T13" s="175"/>
      <c r="U13" s="175"/>
      <c r="V13" s="175"/>
      <c r="W13" s="175"/>
    </row>
    <row r="14" spans="1:23" ht="14.4" thickBot="1">
      <c r="A14" s="189" t="s">
        <v>240</v>
      </c>
      <c r="B14" s="190"/>
      <c r="C14" s="183"/>
      <c r="D14" s="183"/>
      <c r="E14" s="183"/>
      <c r="F14" s="183"/>
      <c r="G14" s="183"/>
      <c r="H14" s="183"/>
      <c r="I14" s="183"/>
      <c r="J14" s="183"/>
      <c r="K14" s="183"/>
      <c r="L14" s="183"/>
      <c r="M14" s="183"/>
      <c r="N14" s="183"/>
      <c r="O14" s="183"/>
      <c r="P14" s="183"/>
      <c r="Q14" s="183"/>
      <c r="R14" s="183"/>
      <c r="S14" s="183"/>
      <c r="T14" s="183"/>
      <c r="U14" s="183"/>
      <c r="V14" s="183"/>
      <c r="W14" s="184"/>
    </row>
    <row r="15" spans="1:23">
      <c r="A15" s="77" t="s">
        <v>212</v>
      </c>
      <c r="B15" s="77"/>
      <c r="F15" s="78"/>
      <c r="G15" s="78"/>
    </row>
    <row r="17" spans="1:23">
      <c r="A17" s="79"/>
      <c r="B17" s="210"/>
      <c r="C17" s="504" t="s">
        <v>213</v>
      </c>
      <c r="D17" s="504"/>
      <c r="E17" s="504"/>
      <c r="F17" s="504"/>
      <c r="G17" s="504"/>
      <c r="H17" s="504"/>
      <c r="I17" s="504"/>
      <c r="J17" s="504"/>
      <c r="K17" s="504"/>
      <c r="L17" s="504"/>
      <c r="M17" s="504"/>
      <c r="N17" s="504"/>
      <c r="O17" s="504"/>
      <c r="P17" s="504"/>
      <c r="Q17" s="504"/>
      <c r="R17" s="504"/>
      <c r="S17" s="504"/>
      <c r="T17" s="504"/>
      <c r="U17" s="504"/>
      <c r="V17" s="504"/>
      <c r="W17" s="504"/>
    </row>
    <row r="18" spans="1:23" ht="16.5" customHeight="1">
      <c r="A18" s="81" t="s">
        <v>214</v>
      </c>
      <c r="B18" s="82"/>
      <c r="C18" s="211">
        <v>2015</v>
      </c>
      <c r="D18" s="211">
        <v>2016</v>
      </c>
      <c r="E18" s="211">
        <v>2017</v>
      </c>
      <c r="F18" s="211">
        <v>2018</v>
      </c>
      <c r="G18" s="211">
        <v>2019</v>
      </c>
      <c r="H18" s="211">
        <v>2020</v>
      </c>
      <c r="I18" s="211">
        <v>2021</v>
      </c>
      <c r="J18" s="211">
        <v>2022</v>
      </c>
      <c r="K18" s="211">
        <v>2023</v>
      </c>
      <c r="L18" s="211">
        <v>2024</v>
      </c>
      <c r="M18" s="211">
        <v>2025</v>
      </c>
      <c r="N18" s="211">
        <v>2026</v>
      </c>
      <c r="O18" s="211">
        <v>2027</v>
      </c>
      <c r="P18" s="211">
        <v>2028</v>
      </c>
      <c r="Q18" s="211">
        <v>2029</v>
      </c>
      <c r="R18" s="211">
        <v>2030</v>
      </c>
      <c r="S18" s="211">
        <v>2031</v>
      </c>
      <c r="T18" s="211">
        <v>2032</v>
      </c>
      <c r="U18" s="211">
        <v>2033</v>
      </c>
      <c r="V18" s="211">
        <v>2034</v>
      </c>
      <c r="W18" s="211">
        <v>2035</v>
      </c>
    </row>
    <row r="19" spans="1:23">
      <c r="A19" s="84"/>
      <c r="B19" s="85"/>
      <c r="C19" s="84"/>
      <c r="D19" s="84"/>
      <c r="E19" s="84"/>
      <c r="F19" s="84"/>
      <c r="G19" s="84"/>
      <c r="H19" s="86"/>
      <c r="I19" s="84"/>
      <c r="J19" s="84"/>
      <c r="K19" s="84"/>
      <c r="L19" s="84"/>
      <c r="M19" s="84"/>
      <c r="N19" s="84"/>
      <c r="O19" s="84"/>
      <c r="P19" s="84"/>
      <c r="Q19" s="84"/>
      <c r="R19" s="84"/>
      <c r="S19" s="84"/>
      <c r="T19" s="84"/>
      <c r="U19" s="84"/>
      <c r="V19" s="84"/>
      <c r="W19" s="84"/>
    </row>
    <row r="20" spans="1:23">
      <c r="A20" s="169" t="s">
        <v>337</v>
      </c>
      <c r="B20" s="85"/>
      <c r="C20" s="88">
        <f>C29</f>
        <v>54.553824970734361</v>
      </c>
      <c r="D20" s="88">
        <f t="shared" ref="D20:W20" si="1">D29-C29</f>
        <v>1330.2994847515306</v>
      </c>
      <c r="E20" s="88">
        <f t="shared" si="1"/>
        <v>3169.5805731397495</v>
      </c>
      <c r="F20" s="88">
        <f t="shared" si="1"/>
        <v>5087.8260826748428</v>
      </c>
      <c r="G20" s="88">
        <f t="shared" si="1"/>
        <v>7084.2120990299991</v>
      </c>
      <c r="H20" s="88">
        <f t="shared" si="1"/>
        <v>6751.7727152581392</v>
      </c>
      <c r="I20" s="88">
        <f t="shared" si="1"/>
        <v>321.08811074999539</v>
      </c>
      <c r="J20" s="88">
        <f t="shared" si="1"/>
        <v>318.97918057500283</v>
      </c>
      <c r="K20" s="88">
        <f t="shared" si="1"/>
        <v>317.26829351249398</v>
      </c>
      <c r="L20" s="88">
        <f t="shared" si="1"/>
        <v>314.23408768125228</v>
      </c>
      <c r="M20" s="88">
        <f t="shared" si="1"/>
        <v>312.66984808125198</v>
      </c>
      <c r="N20" s="88">
        <f t="shared" si="1"/>
        <v>309.15380058749724</v>
      </c>
      <c r="O20" s="88">
        <f t="shared" si="1"/>
        <v>303.86052551250032</v>
      </c>
      <c r="P20" s="88">
        <f t="shared" si="1"/>
        <v>297.3032889749993</v>
      </c>
      <c r="Q20" s="88">
        <f t="shared" si="1"/>
        <v>292.27188436875804</v>
      </c>
      <c r="R20" s="88">
        <f t="shared" si="1"/>
        <v>289.65317968124145</v>
      </c>
      <c r="S20" s="88">
        <f t="shared" si="1"/>
        <v>292.84749640538212</v>
      </c>
      <c r="T20" s="88">
        <f t="shared" si="1"/>
        <v>296.07704029099841</v>
      </c>
      <c r="U20" s="88">
        <f t="shared" si="1"/>
        <v>299.3421998258309</v>
      </c>
      <c r="V20" s="88">
        <f t="shared" si="1"/>
        <v>302.64336778192228</v>
      </c>
      <c r="W20" s="88">
        <f t="shared" si="1"/>
        <v>305.98094126278738</v>
      </c>
    </row>
    <row r="21" spans="1:23">
      <c r="A21" s="89"/>
      <c r="B21" s="90"/>
      <c r="C21" s="91"/>
      <c r="D21" s="92"/>
      <c r="E21" s="92"/>
      <c r="F21" s="92"/>
      <c r="G21" s="92"/>
      <c r="H21" s="92"/>
      <c r="I21" s="92"/>
      <c r="J21" s="92"/>
      <c r="K21" s="92"/>
      <c r="L21" s="92"/>
      <c r="M21" s="92"/>
      <c r="N21" s="92"/>
      <c r="O21" s="92"/>
      <c r="P21" s="92"/>
      <c r="Q21" s="92"/>
      <c r="R21" s="92"/>
      <c r="S21" s="92"/>
      <c r="T21" s="92"/>
      <c r="U21" s="92"/>
      <c r="V21" s="92"/>
      <c r="W21" s="92"/>
    </row>
    <row r="22" spans="1:23">
      <c r="A22" s="93" t="s">
        <v>216</v>
      </c>
      <c r="B22" s="94"/>
      <c r="C22" s="95">
        <f t="shared" ref="C22:W22" si="2">SUM(C20:C20)</f>
        <v>54.553824970734361</v>
      </c>
      <c r="D22" s="95">
        <f t="shared" si="2"/>
        <v>1330.2994847515306</v>
      </c>
      <c r="E22" s="95">
        <f t="shared" si="2"/>
        <v>3169.5805731397495</v>
      </c>
      <c r="F22" s="95">
        <f t="shared" si="2"/>
        <v>5087.8260826748428</v>
      </c>
      <c r="G22" s="95">
        <f t="shared" si="2"/>
        <v>7084.2120990299991</v>
      </c>
      <c r="H22" s="95">
        <f t="shared" si="2"/>
        <v>6751.7727152581392</v>
      </c>
      <c r="I22" s="95">
        <f t="shared" si="2"/>
        <v>321.08811074999539</v>
      </c>
      <c r="J22" s="95">
        <f t="shared" si="2"/>
        <v>318.97918057500283</v>
      </c>
      <c r="K22" s="95">
        <f t="shared" si="2"/>
        <v>317.26829351249398</v>
      </c>
      <c r="L22" s="95">
        <f t="shared" si="2"/>
        <v>314.23408768125228</v>
      </c>
      <c r="M22" s="95">
        <f t="shared" si="2"/>
        <v>312.66984808125198</v>
      </c>
      <c r="N22" s="95">
        <f t="shared" si="2"/>
        <v>309.15380058749724</v>
      </c>
      <c r="O22" s="95">
        <f t="shared" si="2"/>
        <v>303.86052551250032</v>
      </c>
      <c r="P22" s="95">
        <f t="shared" si="2"/>
        <v>297.3032889749993</v>
      </c>
      <c r="Q22" s="95">
        <f t="shared" si="2"/>
        <v>292.27188436875804</v>
      </c>
      <c r="R22" s="95">
        <f t="shared" si="2"/>
        <v>289.65317968124145</v>
      </c>
      <c r="S22" s="95">
        <f t="shared" si="2"/>
        <v>292.84749640538212</v>
      </c>
      <c r="T22" s="95">
        <f t="shared" si="2"/>
        <v>296.07704029099841</v>
      </c>
      <c r="U22" s="95">
        <f t="shared" si="2"/>
        <v>299.3421998258309</v>
      </c>
      <c r="V22" s="95">
        <f t="shared" si="2"/>
        <v>302.64336778192228</v>
      </c>
      <c r="W22" s="95">
        <f t="shared" si="2"/>
        <v>305.98094126278738</v>
      </c>
    </row>
    <row r="23" spans="1:23">
      <c r="A23" s="96"/>
      <c r="B23" s="96"/>
      <c r="C23" s="97"/>
      <c r="D23" s="97"/>
      <c r="E23" s="97"/>
      <c r="F23" s="97"/>
      <c r="G23" s="97"/>
      <c r="H23" s="97"/>
      <c r="I23" s="97"/>
      <c r="J23" s="96"/>
      <c r="K23" s="96"/>
      <c r="L23" s="96"/>
    </row>
    <row r="24" spans="1:23">
      <c r="A24" s="98" t="s">
        <v>217</v>
      </c>
      <c r="B24" s="98"/>
      <c r="C24" s="99"/>
      <c r="D24" s="99"/>
      <c r="E24" s="99"/>
      <c r="F24" s="99"/>
      <c r="G24" s="99"/>
      <c r="H24" s="99"/>
      <c r="I24" s="99"/>
      <c r="J24" s="100"/>
      <c r="K24" s="100"/>
      <c r="L24" s="100"/>
    </row>
    <row r="25" spans="1:23">
      <c r="A25" s="98"/>
      <c r="B25" s="98"/>
      <c r="C25" s="99"/>
      <c r="D25" s="99"/>
      <c r="E25" s="99"/>
      <c r="F25" s="99"/>
      <c r="G25" s="99"/>
      <c r="H25" s="99"/>
      <c r="I25" s="99"/>
      <c r="J25" s="100"/>
      <c r="K25" s="100"/>
      <c r="L25" s="100"/>
    </row>
    <row r="26" spans="1:23">
      <c r="A26" s="509" t="s">
        <v>214</v>
      </c>
      <c r="B26" s="511"/>
      <c r="C26" s="504" t="s">
        <v>218</v>
      </c>
      <c r="D26" s="504"/>
      <c r="E26" s="504"/>
      <c r="F26" s="504"/>
      <c r="G26" s="504"/>
      <c r="H26" s="504"/>
      <c r="I26" s="504"/>
      <c r="J26" s="504"/>
      <c r="K26" s="504"/>
      <c r="L26" s="504"/>
      <c r="M26" s="504"/>
      <c r="N26" s="504"/>
      <c r="O26" s="504"/>
      <c r="P26" s="504"/>
      <c r="Q26" s="504"/>
      <c r="R26" s="504"/>
      <c r="S26" s="504"/>
      <c r="T26" s="504"/>
      <c r="U26" s="504"/>
      <c r="V26" s="504"/>
      <c r="W26" s="504"/>
    </row>
    <row r="27" spans="1:23">
      <c r="A27" s="510"/>
      <c r="B27" s="512"/>
      <c r="C27" s="211">
        <v>2015</v>
      </c>
      <c r="D27" s="211">
        <v>2016</v>
      </c>
      <c r="E27" s="211">
        <v>2017</v>
      </c>
      <c r="F27" s="211">
        <v>2018</v>
      </c>
      <c r="G27" s="211">
        <v>2019</v>
      </c>
      <c r="H27" s="211">
        <v>2020</v>
      </c>
      <c r="I27" s="211">
        <v>2021</v>
      </c>
      <c r="J27" s="211">
        <v>2022</v>
      </c>
      <c r="K27" s="211">
        <v>2023</v>
      </c>
      <c r="L27" s="211">
        <v>2024</v>
      </c>
      <c r="M27" s="211">
        <v>2025</v>
      </c>
      <c r="N27" s="211">
        <v>2026</v>
      </c>
      <c r="O27" s="211">
        <v>2027</v>
      </c>
      <c r="P27" s="211">
        <v>2028</v>
      </c>
      <c r="Q27" s="211">
        <v>2029</v>
      </c>
      <c r="R27" s="211">
        <v>2030</v>
      </c>
      <c r="S27" s="211">
        <v>2031</v>
      </c>
      <c r="T27" s="211">
        <v>2032</v>
      </c>
      <c r="U27" s="211">
        <v>2033</v>
      </c>
      <c r="V27" s="211">
        <v>2034</v>
      </c>
      <c r="W27" s="211">
        <v>2035</v>
      </c>
    </row>
    <row r="28" spans="1:23">
      <c r="A28" s="84"/>
      <c r="B28" s="87"/>
      <c r="C28" s="92"/>
      <c r="D28" s="92"/>
      <c r="E28" s="92"/>
      <c r="F28" s="92"/>
      <c r="G28" s="92"/>
      <c r="H28" s="92"/>
      <c r="I28" s="92"/>
      <c r="J28" s="92"/>
      <c r="K28" s="92"/>
      <c r="L28" s="92"/>
      <c r="M28" s="92"/>
      <c r="N28" s="92"/>
      <c r="O28" s="92"/>
      <c r="P28" s="92"/>
      <c r="Q28" s="92"/>
      <c r="R28" s="92"/>
      <c r="S28" s="92"/>
      <c r="T28" s="92"/>
      <c r="U28" s="92"/>
      <c r="V28" s="92"/>
      <c r="W28" s="92"/>
    </row>
    <row r="29" spans="1:23">
      <c r="A29" s="103" t="str">
        <f>+A20</f>
        <v>a. Water Heating - WH Controls</v>
      </c>
      <c r="B29" s="104"/>
      <c r="C29" s="92">
        <f>'Res-Capacity-Smart'!C73*$C$4*$C$5*C12*C10*(1-C11)</f>
        <v>54.553824970734361</v>
      </c>
      <c r="D29" s="92">
        <f>'Res-Capacity-Smart'!D73*$C$4*$C$5*D12*D10*(1-D11)</f>
        <v>1384.8533097222651</v>
      </c>
      <c r="E29" s="92">
        <f>'Res-Capacity-Smart'!E73*$C$4*$C$5*E12*E10*(1-E11)</f>
        <v>4554.4338828620148</v>
      </c>
      <c r="F29" s="92">
        <f>'Res-Capacity-Smart'!F73*$C$4*$C$5*F12*F10*(1-F11)</f>
        <v>9642.2599655368576</v>
      </c>
      <c r="G29" s="92">
        <f>'Res-Capacity-Smart'!G73*$C$4*$C$5*G12*G10*(1-G11)</f>
        <v>16726.472064566857</v>
      </c>
      <c r="H29" s="92">
        <f>'Res-Capacity-Smart'!H73*$C$4*$C$5*H12*H10*(1-H11)</f>
        <v>23478.244779824996</v>
      </c>
      <c r="I29" s="92">
        <f>'Res-Capacity-Smart'!I73*$C$4*$C$5*I12*I10*(1-I11)</f>
        <v>23799.332890574991</v>
      </c>
      <c r="J29" s="92">
        <f>'Res-Capacity-Smart'!J73*$C$4*$C$5*J12*J10*(1-J11)</f>
        <v>24118.312071149994</v>
      </c>
      <c r="K29" s="92">
        <f>'Res-Capacity-Smart'!K73*$C$4*$C$5*K12*K10*(1-K11)</f>
        <v>24435.580364662488</v>
      </c>
      <c r="L29" s="92">
        <f>'Res-Capacity-Smart'!L73*$C$4*$C$5*L12*L10*(1-L11)</f>
        <v>24749.81445234374</v>
      </c>
      <c r="M29" s="92">
        <f>'Res-Capacity-Smart'!M73*$C$4*$C$5*M12*M10*(1-M11)</f>
        <v>25062.484300424992</v>
      </c>
      <c r="N29" s="92">
        <f>'Res-Capacity-Smart'!N73*$C$4*$C$5*N12*N10*(1-N11)</f>
        <v>25371.63810101249</v>
      </c>
      <c r="O29" s="92">
        <f>'Res-Capacity-Smart'!O73*$C$4*$C$5*O12*O10*(1-O11)</f>
        <v>25675.49862652499</v>
      </c>
      <c r="P29" s="92">
        <f>'Res-Capacity-Smart'!P73*$C$4*$C$5*P12*P10*(1-P11)</f>
        <v>25972.801915499989</v>
      </c>
      <c r="Q29" s="92">
        <f>'Res-Capacity-Smart'!Q73*$C$4*$C$5*Q12*Q10*(1-Q11)</f>
        <v>26265.073799868747</v>
      </c>
      <c r="R29" s="92">
        <f>'Res-Capacity-Smart'!R73*$C$4*$C$5*R12*R10*(1-R11)</f>
        <v>26554.726979549989</v>
      </c>
      <c r="S29" s="92">
        <f>'Res-Capacity-Smart'!S73*$C$4*$C$5*S12*S10*(1-S11)</f>
        <v>26847.574475955371</v>
      </c>
      <c r="T29" s="92">
        <f>'Res-Capacity-Smart'!T73*$C$4*$C$5*T12*T10*(1-T11)</f>
        <v>27143.651516246369</v>
      </c>
      <c r="U29" s="92">
        <f>'Res-Capacity-Smart'!U73*$C$4*$C$5*U12*U10*(1-U11)</f>
        <v>27442.9937160722</v>
      </c>
      <c r="V29" s="92">
        <f>'Res-Capacity-Smart'!V73*$C$4*$C$5*V12*V10*(1-V11)</f>
        <v>27745.637083854122</v>
      </c>
      <c r="W29" s="92">
        <f>'Res-Capacity-Smart'!W73*$C$4*$C$5*W12*W10*(1-W11)</f>
        <v>28051.61802511691</v>
      </c>
    </row>
    <row r="30" spans="1:23">
      <c r="A30" s="87"/>
      <c r="B30" s="87"/>
      <c r="C30" s="105"/>
      <c r="D30" s="105"/>
      <c r="E30" s="105"/>
      <c r="F30" s="105"/>
      <c r="G30" s="105"/>
      <c r="H30" s="105"/>
      <c r="I30" s="105"/>
      <c r="J30" s="105"/>
      <c r="K30" s="105"/>
      <c r="L30" s="105"/>
      <c r="M30" s="105"/>
      <c r="N30" s="105"/>
      <c r="O30" s="105"/>
      <c r="P30" s="105"/>
      <c r="Q30" s="105"/>
      <c r="R30" s="105"/>
      <c r="S30" s="105"/>
      <c r="T30" s="105"/>
      <c r="U30" s="105"/>
      <c r="V30" s="105"/>
      <c r="W30" s="105"/>
    </row>
    <row r="31" spans="1:23">
      <c r="A31" s="93" t="s">
        <v>219</v>
      </c>
      <c r="B31" s="93"/>
      <c r="C31" s="95">
        <f t="shared" ref="C31:W31" si="3">SUM(C29:C29)</f>
        <v>54.553824970734361</v>
      </c>
      <c r="D31" s="95">
        <f t="shared" si="3"/>
        <v>1384.8533097222651</v>
      </c>
      <c r="E31" s="95">
        <f t="shared" si="3"/>
        <v>4554.4338828620148</v>
      </c>
      <c r="F31" s="95">
        <f t="shared" si="3"/>
        <v>9642.2599655368576</v>
      </c>
      <c r="G31" s="95">
        <f t="shared" si="3"/>
        <v>16726.472064566857</v>
      </c>
      <c r="H31" s="95">
        <f t="shared" si="3"/>
        <v>23478.244779824996</v>
      </c>
      <c r="I31" s="95">
        <f t="shared" si="3"/>
        <v>23799.332890574991</v>
      </c>
      <c r="J31" s="95">
        <f t="shared" si="3"/>
        <v>24118.312071149994</v>
      </c>
      <c r="K31" s="95">
        <f t="shared" si="3"/>
        <v>24435.580364662488</v>
      </c>
      <c r="L31" s="95">
        <f t="shared" si="3"/>
        <v>24749.81445234374</v>
      </c>
      <c r="M31" s="95">
        <f t="shared" si="3"/>
        <v>25062.484300424992</v>
      </c>
      <c r="N31" s="95">
        <f t="shared" si="3"/>
        <v>25371.63810101249</v>
      </c>
      <c r="O31" s="95">
        <f t="shared" si="3"/>
        <v>25675.49862652499</v>
      </c>
      <c r="P31" s="95">
        <f t="shared" si="3"/>
        <v>25972.801915499989</v>
      </c>
      <c r="Q31" s="95">
        <f t="shared" si="3"/>
        <v>26265.073799868747</v>
      </c>
      <c r="R31" s="95">
        <f t="shared" si="3"/>
        <v>26554.726979549989</v>
      </c>
      <c r="S31" s="95">
        <f t="shared" si="3"/>
        <v>26847.574475955371</v>
      </c>
      <c r="T31" s="95">
        <f t="shared" si="3"/>
        <v>27143.651516246369</v>
      </c>
      <c r="U31" s="95">
        <f t="shared" si="3"/>
        <v>27442.9937160722</v>
      </c>
      <c r="V31" s="95">
        <f t="shared" si="3"/>
        <v>27745.637083854122</v>
      </c>
      <c r="W31" s="95">
        <f t="shared" si="3"/>
        <v>28051.61802511691</v>
      </c>
    </row>
    <row r="33" spans="1:23">
      <c r="A33" s="77" t="s">
        <v>220</v>
      </c>
      <c r="B33" s="77"/>
      <c r="D33" s="223"/>
      <c r="E33" s="78"/>
      <c r="F33" s="78"/>
      <c r="G33" s="224"/>
    </row>
    <row r="34" spans="1:23">
      <c r="A34" s="77"/>
      <c r="B34" s="77"/>
      <c r="D34" s="223"/>
      <c r="E34" s="78"/>
      <c r="F34" s="78"/>
      <c r="G34" s="228"/>
    </row>
    <row r="35" spans="1:23">
      <c r="A35" s="106"/>
      <c r="B35" s="502" t="s">
        <v>242</v>
      </c>
      <c r="C35" s="507" t="s">
        <v>221</v>
      </c>
      <c r="D35" s="508"/>
      <c r="E35" s="508"/>
      <c r="F35" s="508"/>
      <c r="G35" s="508"/>
      <c r="H35" s="508"/>
      <c r="I35" s="508"/>
      <c r="J35" s="508"/>
      <c r="K35" s="508"/>
      <c r="L35" s="508"/>
      <c r="M35" s="508"/>
      <c r="N35" s="508"/>
      <c r="O35" s="508"/>
      <c r="P35" s="508"/>
      <c r="Q35" s="508"/>
      <c r="R35" s="508"/>
      <c r="S35" s="508"/>
      <c r="T35" s="508"/>
      <c r="U35" s="508"/>
      <c r="V35" s="508"/>
      <c r="W35" s="508"/>
    </row>
    <row r="36" spans="1:23">
      <c r="A36" s="212" t="s">
        <v>214</v>
      </c>
      <c r="B36" s="506"/>
      <c r="C36" s="211">
        <v>2015</v>
      </c>
      <c r="D36" s="211">
        <v>2016</v>
      </c>
      <c r="E36" s="211">
        <v>2017</v>
      </c>
      <c r="F36" s="211">
        <v>2018</v>
      </c>
      <c r="G36" s="211">
        <v>2019</v>
      </c>
      <c r="H36" s="211">
        <v>2020</v>
      </c>
      <c r="I36" s="211">
        <v>2021</v>
      </c>
      <c r="J36" s="211">
        <v>2022</v>
      </c>
      <c r="K36" s="211">
        <v>2023</v>
      </c>
      <c r="L36" s="211">
        <v>2024</v>
      </c>
      <c r="M36" s="211">
        <v>2025</v>
      </c>
      <c r="N36" s="211">
        <v>2026</v>
      </c>
      <c r="O36" s="211">
        <v>2027</v>
      </c>
      <c r="P36" s="211">
        <v>2028</v>
      </c>
      <c r="Q36" s="211">
        <v>2029</v>
      </c>
      <c r="R36" s="211">
        <v>2030</v>
      </c>
      <c r="S36" s="211">
        <v>2031</v>
      </c>
      <c r="T36" s="211">
        <v>2032</v>
      </c>
      <c r="U36" s="211">
        <v>2033</v>
      </c>
      <c r="V36" s="211">
        <v>2034</v>
      </c>
      <c r="W36" s="211">
        <v>2035</v>
      </c>
    </row>
    <row r="37" spans="1:23">
      <c r="A37" s="84"/>
      <c r="B37" s="108"/>
      <c r="C37" s="84"/>
      <c r="D37" s="108"/>
      <c r="E37" s="84"/>
      <c r="F37" s="84"/>
      <c r="G37" s="84"/>
      <c r="H37" s="84"/>
      <c r="I37" s="84"/>
      <c r="J37" s="84"/>
      <c r="K37" s="84"/>
      <c r="L37" s="84"/>
      <c r="M37" s="84"/>
      <c r="N37" s="84"/>
      <c r="O37" s="84"/>
      <c r="P37" s="84"/>
      <c r="Q37" s="84"/>
      <c r="R37" s="84"/>
      <c r="S37" s="84"/>
      <c r="T37" s="84"/>
      <c r="U37" s="84"/>
      <c r="V37" s="84"/>
      <c r="W37" s="84"/>
    </row>
    <row r="38" spans="1:23">
      <c r="A38" s="87" t="str">
        <f>+A20</f>
        <v>a. Water Heating - WH Controls</v>
      </c>
      <c r="B38" s="251">
        <f>KeyAssumptions!AD5</f>
        <v>0.57999999999999996</v>
      </c>
      <c r="C38" s="192">
        <f>$B38/1000*C29*$C$6</f>
        <v>3.0059157558874634E-2</v>
      </c>
      <c r="D38" s="192">
        <f t="shared" ref="D38:W38" si="4">$B38/1000*D29*$C$6</f>
        <v>0.76305417365696804</v>
      </c>
      <c r="E38" s="192">
        <f t="shared" si="4"/>
        <v>2.5094930694569699</v>
      </c>
      <c r="F38" s="192">
        <f t="shared" si="4"/>
        <v>5.3128852410108083</v>
      </c>
      <c r="G38" s="192">
        <f t="shared" si="4"/>
        <v>9.2162861075763374</v>
      </c>
      <c r="H38" s="192">
        <f t="shared" si="4"/>
        <v>12.936512873683572</v>
      </c>
      <c r="I38" s="192">
        <f t="shared" si="4"/>
        <v>13.113432422706818</v>
      </c>
      <c r="J38" s="192">
        <f t="shared" si="4"/>
        <v>13.289189951203648</v>
      </c>
      <c r="K38" s="192">
        <f t="shared" si="4"/>
        <v>13.464004780929031</v>
      </c>
      <c r="L38" s="192">
        <f t="shared" si="4"/>
        <v>13.637147763241401</v>
      </c>
      <c r="M38" s="192">
        <f t="shared" si="4"/>
        <v>13.80942884953417</v>
      </c>
      <c r="N38" s="192">
        <f t="shared" si="4"/>
        <v>13.979772593657881</v>
      </c>
      <c r="O38" s="192">
        <f t="shared" si="4"/>
        <v>14.147199743215269</v>
      </c>
      <c r="P38" s="192">
        <f t="shared" si="4"/>
        <v>14.311013855440494</v>
      </c>
      <c r="Q38" s="192">
        <f t="shared" si="4"/>
        <v>14.472055663727678</v>
      </c>
      <c r="R38" s="192">
        <f t="shared" si="4"/>
        <v>14.631654565732044</v>
      </c>
      <c r="S38" s="192">
        <f t="shared" si="4"/>
        <v>14.793013536251408</v>
      </c>
      <c r="T38" s="192">
        <f t="shared" si="4"/>
        <v>14.956151985451749</v>
      </c>
      <c r="U38" s="192">
        <f t="shared" si="4"/>
        <v>15.121089537555783</v>
      </c>
      <c r="V38" s="192">
        <f t="shared" si="4"/>
        <v>15.287846033203623</v>
      </c>
      <c r="W38" s="192">
        <f t="shared" si="4"/>
        <v>15.456441531839417</v>
      </c>
    </row>
    <row r="39" spans="1:23">
      <c r="A39" s="89"/>
      <c r="B39" s="252"/>
      <c r="C39" s="109"/>
      <c r="D39" s="109"/>
      <c r="E39" s="109"/>
      <c r="F39" s="109"/>
      <c r="G39" s="109"/>
      <c r="H39" s="109"/>
      <c r="I39" s="109"/>
      <c r="J39" s="109"/>
      <c r="K39" s="109"/>
      <c r="L39" s="109"/>
      <c r="M39" s="109"/>
      <c r="N39" s="109"/>
      <c r="O39" s="109"/>
      <c r="P39" s="109"/>
      <c r="Q39" s="109"/>
      <c r="R39" s="109"/>
      <c r="S39" s="109"/>
      <c r="T39" s="109"/>
      <c r="U39" s="109"/>
      <c r="V39" s="109"/>
      <c r="W39" s="109"/>
    </row>
    <row r="40" spans="1:23">
      <c r="A40" s="110" t="s">
        <v>269</v>
      </c>
      <c r="B40" s="111"/>
      <c r="C40" s="112">
        <f>SUM(C38)</f>
        <v>3.0059157558874634E-2</v>
      </c>
      <c r="D40" s="112">
        <f t="shared" ref="D40:W40" si="5">SUM(D38)</f>
        <v>0.76305417365696804</v>
      </c>
      <c r="E40" s="112">
        <f t="shared" si="5"/>
        <v>2.5094930694569699</v>
      </c>
      <c r="F40" s="112">
        <f t="shared" si="5"/>
        <v>5.3128852410108083</v>
      </c>
      <c r="G40" s="112">
        <f t="shared" si="5"/>
        <v>9.2162861075763374</v>
      </c>
      <c r="H40" s="112">
        <f t="shared" si="5"/>
        <v>12.936512873683572</v>
      </c>
      <c r="I40" s="112">
        <f t="shared" si="5"/>
        <v>13.113432422706818</v>
      </c>
      <c r="J40" s="112">
        <f t="shared" si="5"/>
        <v>13.289189951203648</v>
      </c>
      <c r="K40" s="112">
        <f t="shared" si="5"/>
        <v>13.464004780929031</v>
      </c>
      <c r="L40" s="112">
        <f t="shared" si="5"/>
        <v>13.637147763241401</v>
      </c>
      <c r="M40" s="112">
        <f t="shared" si="5"/>
        <v>13.80942884953417</v>
      </c>
      <c r="N40" s="112">
        <f t="shared" si="5"/>
        <v>13.979772593657881</v>
      </c>
      <c r="O40" s="112">
        <f t="shared" si="5"/>
        <v>14.147199743215269</v>
      </c>
      <c r="P40" s="112">
        <f t="shared" si="5"/>
        <v>14.311013855440494</v>
      </c>
      <c r="Q40" s="112">
        <f t="shared" si="5"/>
        <v>14.472055663727678</v>
      </c>
      <c r="R40" s="112">
        <f t="shared" si="5"/>
        <v>14.631654565732044</v>
      </c>
      <c r="S40" s="112">
        <f t="shared" si="5"/>
        <v>14.793013536251408</v>
      </c>
      <c r="T40" s="112">
        <f t="shared" si="5"/>
        <v>14.956151985451749</v>
      </c>
      <c r="U40" s="112">
        <f t="shared" si="5"/>
        <v>15.121089537555783</v>
      </c>
      <c r="V40" s="112">
        <f t="shared" si="5"/>
        <v>15.287846033203623</v>
      </c>
      <c r="W40" s="112">
        <f t="shared" si="5"/>
        <v>15.456441531839417</v>
      </c>
    </row>
    <row r="41" spans="1:23">
      <c r="A41" s="113"/>
      <c r="B41" s="113"/>
      <c r="C41" s="114"/>
      <c r="D41" s="114"/>
      <c r="E41" s="115"/>
      <c r="F41" s="115"/>
      <c r="G41" s="115"/>
      <c r="H41" s="115"/>
      <c r="I41" s="115"/>
      <c r="J41" s="115"/>
      <c r="K41" s="115"/>
      <c r="L41" s="115"/>
      <c r="M41" s="115"/>
      <c r="N41" s="115"/>
      <c r="O41" s="115"/>
      <c r="P41" s="115"/>
      <c r="Q41" s="115"/>
      <c r="R41" s="115"/>
      <c r="S41" s="115"/>
      <c r="T41" s="115"/>
      <c r="U41" s="115"/>
      <c r="V41" s="115"/>
      <c r="W41" s="115"/>
    </row>
    <row r="42" spans="1:23">
      <c r="A42" s="77" t="s">
        <v>277</v>
      </c>
      <c r="B42" s="113"/>
      <c r="C42" s="100"/>
      <c r="D42" s="125"/>
      <c r="E42" s="124"/>
      <c r="F42" s="124"/>
      <c r="G42" s="124"/>
      <c r="H42" s="124"/>
      <c r="I42" s="124"/>
      <c r="J42" s="124"/>
      <c r="K42" s="124"/>
      <c r="L42" s="124"/>
      <c r="M42" s="124"/>
      <c r="N42" s="124"/>
      <c r="O42" s="124"/>
      <c r="P42" s="124"/>
      <c r="Q42" s="124"/>
      <c r="R42" s="124"/>
      <c r="S42" s="124"/>
      <c r="T42" s="124"/>
      <c r="U42" s="124"/>
      <c r="V42" s="124"/>
      <c r="W42" s="124"/>
    </row>
    <row r="43" spans="1:23">
      <c r="A43" s="116"/>
      <c r="B43" s="113"/>
      <c r="C43" s="100"/>
      <c r="D43" s="124"/>
      <c r="E43" s="124"/>
      <c r="F43" s="124"/>
      <c r="G43" s="124"/>
      <c r="H43" s="124"/>
      <c r="I43" s="124"/>
      <c r="J43" s="124"/>
      <c r="K43" s="124"/>
      <c r="L43" s="124"/>
      <c r="M43" s="124"/>
      <c r="N43" s="124"/>
      <c r="O43" s="124"/>
      <c r="P43" s="124"/>
      <c r="Q43" s="124"/>
      <c r="R43" s="124"/>
      <c r="S43" s="124"/>
      <c r="T43" s="124"/>
      <c r="U43" s="124"/>
      <c r="V43" s="124"/>
      <c r="W43" s="124"/>
    </row>
    <row r="44" spans="1:23" ht="17.100000000000001" customHeight="1">
      <c r="A44" s="500" t="s">
        <v>214</v>
      </c>
      <c r="B44" s="502" t="s">
        <v>308</v>
      </c>
      <c r="C44" s="504" t="s">
        <v>222</v>
      </c>
      <c r="D44" s="504"/>
      <c r="E44" s="504"/>
      <c r="F44" s="504"/>
      <c r="G44" s="504"/>
      <c r="H44" s="504"/>
      <c r="I44" s="504"/>
      <c r="J44" s="504"/>
      <c r="K44" s="504"/>
      <c r="L44" s="504"/>
      <c r="M44" s="504"/>
      <c r="N44" s="504"/>
      <c r="O44" s="504"/>
      <c r="P44" s="504"/>
      <c r="Q44" s="504"/>
      <c r="R44" s="504"/>
      <c r="S44" s="504"/>
      <c r="T44" s="504"/>
      <c r="U44" s="504"/>
      <c r="V44" s="504"/>
      <c r="W44" s="504"/>
    </row>
    <row r="45" spans="1:23" ht="17.399999999999999" customHeight="1">
      <c r="A45" s="501"/>
      <c r="B45" s="503"/>
      <c r="C45" s="211">
        <v>2015</v>
      </c>
      <c r="D45" s="211">
        <v>2016</v>
      </c>
      <c r="E45" s="211">
        <v>2017</v>
      </c>
      <c r="F45" s="211">
        <v>2018</v>
      </c>
      <c r="G45" s="211">
        <v>2019</v>
      </c>
      <c r="H45" s="211">
        <v>2020</v>
      </c>
      <c r="I45" s="211">
        <v>2021</v>
      </c>
      <c r="J45" s="211">
        <v>2022</v>
      </c>
      <c r="K45" s="211">
        <v>2023</v>
      </c>
      <c r="L45" s="211">
        <v>2024</v>
      </c>
      <c r="M45" s="211">
        <v>2025</v>
      </c>
      <c r="N45" s="211">
        <v>2026</v>
      </c>
      <c r="O45" s="211">
        <v>2027</v>
      </c>
      <c r="P45" s="211">
        <v>2028</v>
      </c>
      <c r="Q45" s="211">
        <v>2029</v>
      </c>
      <c r="R45" s="211">
        <v>2030</v>
      </c>
      <c r="S45" s="211">
        <v>2031</v>
      </c>
      <c r="T45" s="211">
        <v>2032</v>
      </c>
      <c r="U45" s="211">
        <v>2033</v>
      </c>
      <c r="V45" s="211">
        <v>2034</v>
      </c>
      <c r="W45" s="211">
        <v>2035</v>
      </c>
    </row>
    <row r="46" spans="1:23" ht="17.399999999999999" customHeight="1">
      <c r="A46" s="126"/>
      <c r="B46" s="127"/>
      <c r="C46" s="78"/>
      <c r="D46" s="84"/>
      <c r="E46" s="84"/>
      <c r="F46" s="84"/>
      <c r="G46" s="84"/>
      <c r="H46" s="84"/>
      <c r="I46" s="84"/>
      <c r="J46" s="84"/>
      <c r="K46" s="84"/>
      <c r="L46" s="84"/>
      <c r="M46" s="84"/>
      <c r="N46" s="84"/>
      <c r="O46" s="84"/>
      <c r="P46" s="84"/>
      <c r="Q46" s="84"/>
      <c r="R46" s="84"/>
      <c r="S46" s="84"/>
      <c r="T46" s="84"/>
      <c r="U46" s="84"/>
      <c r="V46" s="84"/>
      <c r="W46" s="84"/>
    </row>
    <row r="47" spans="1:23">
      <c r="A47" s="87" t="str">
        <f>+A20</f>
        <v>a. Water Heating - WH Controls</v>
      </c>
      <c r="B47" s="139">
        <f>SUM(KeyAssumptions!$Z$5:$AB$5)</f>
        <v>298.64199999999994</v>
      </c>
      <c r="C47" s="119">
        <f t="shared" ref="C47:W47" si="6">MAX(0,($B$47*C20))</f>
        <v>16292.063396910047</v>
      </c>
      <c r="D47" s="119">
        <f t="shared" si="6"/>
        <v>397283.29872516653</v>
      </c>
      <c r="E47" s="119">
        <f t="shared" si="6"/>
        <v>946569.8815236009</v>
      </c>
      <c r="F47" s="119">
        <f t="shared" si="6"/>
        <v>1519438.5569821801</v>
      </c>
      <c r="G47" s="119">
        <f t="shared" si="6"/>
        <v>2115643.2696785168</v>
      </c>
      <c r="H47" s="119">
        <f t="shared" si="6"/>
        <v>2016362.9072301209</v>
      </c>
      <c r="I47" s="119">
        <f t="shared" si="6"/>
        <v>95890.3955706001</v>
      </c>
      <c r="J47" s="119">
        <f t="shared" si="6"/>
        <v>95260.580445279978</v>
      </c>
      <c r="K47" s="119">
        <f t="shared" si="6"/>
        <v>94749.637711158211</v>
      </c>
      <c r="L47" s="119">
        <f t="shared" si="6"/>
        <v>93843.496413304529</v>
      </c>
      <c r="M47" s="119">
        <f t="shared" si="6"/>
        <v>93376.34877068123</v>
      </c>
      <c r="N47" s="119">
        <f t="shared" si="6"/>
        <v>92326.30931505133</v>
      </c>
      <c r="O47" s="119">
        <f t="shared" si="6"/>
        <v>90745.515060104095</v>
      </c>
      <c r="P47" s="119">
        <f t="shared" si="6"/>
        <v>88787.248826071722</v>
      </c>
      <c r="Q47" s="119">
        <f t="shared" si="6"/>
        <v>87284.660091654616</v>
      </c>
      <c r="R47" s="119">
        <f t="shared" si="6"/>
        <v>86502.604886365298</v>
      </c>
      <c r="S47" s="119">
        <f t="shared" si="6"/>
        <v>87456.562021496109</v>
      </c>
      <c r="T47" s="119">
        <f t="shared" si="6"/>
        <v>88421.039466584334</v>
      </c>
      <c r="U47" s="119">
        <f t="shared" si="6"/>
        <v>89396.153240385771</v>
      </c>
      <c r="V47" s="119">
        <f t="shared" si="6"/>
        <v>90382.020641128809</v>
      </c>
      <c r="W47" s="119">
        <f t="shared" si="6"/>
        <v>91378.760260601324</v>
      </c>
    </row>
    <row r="48" spans="1:23">
      <c r="A48" s="87"/>
      <c r="B48" s="113"/>
      <c r="C48" s="120"/>
      <c r="D48" s="120"/>
      <c r="E48" s="120"/>
      <c r="F48" s="120"/>
      <c r="G48" s="120"/>
      <c r="H48" s="120"/>
      <c r="I48" s="120"/>
      <c r="J48" s="120"/>
      <c r="K48" s="120"/>
      <c r="L48" s="120"/>
      <c r="M48" s="120"/>
      <c r="N48" s="120"/>
      <c r="O48" s="120"/>
      <c r="P48" s="120"/>
      <c r="Q48" s="120"/>
      <c r="R48" s="120"/>
      <c r="S48" s="120"/>
      <c r="T48" s="120"/>
      <c r="U48" s="120"/>
      <c r="V48" s="120"/>
      <c r="W48" s="120"/>
    </row>
    <row r="49" spans="1:23">
      <c r="A49" s="129" t="s">
        <v>280</v>
      </c>
      <c r="B49" s="110"/>
      <c r="C49" s="122">
        <f t="shared" ref="C49:W49" si="7">SUM(C47:C47)</f>
        <v>16292.063396910047</v>
      </c>
      <c r="D49" s="122">
        <f t="shared" si="7"/>
        <v>397283.29872516653</v>
      </c>
      <c r="E49" s="122">
        <f t="shared" si="7"/>
        <v>946569.8815236009</v>
      </c>
      <c r="F49" s="122">
        <f t="shared" si="7"/>
        <v>1519438.5569821801</v>
      </c>
      <c r="G49" s="122">
        <f t="shared" si="7"/>
        <v>2115643.2696785168</v>
      </c>
      <c r="H49" s="122">
        <f t="shared" si="7"/>
        <v>2016362.9072301209</v>
      </c>
      <c r="I49" s="122">
        <f t="shared" si="7"/>
        <v>95890.3955706001</v>
      </c>
      <c r="J49" s="122">
        <f t="shared" si="7"/>
        <v>95260.580445279978</v>
      </c>
      <c r="K49" s="122">
        <f t="shared" si="7"/>
        <v>94749.637711158211</v>
      </c>
      <c r="L49" s="122">
        <f t="shared" si="7"/>
        <v>93843.496413304529</v>
      </c>
      <c r="M49" s="122">
        <f t="shared" si="7"/>
        <v>93376.34877068123</v>
      </c>
      <c r="N49" s="122">
        <f t="shared" si="7"/>
        <v>92326.30931505133</v>
      </c>
      <c r="O49" s="122">
        <f t="shared" si="7"/>
        <v>90745.515060104095</v>
      </c>
      <c r="P49" s="122">
        <f t="shared" si="7"/>
        <v>88787.248826071722</v>
      </c>
      <c r="Q49" s="122">
        <f t="shared" si="7"/>
        <v>87284.660091654616</v>
      </c>
      <c r="R49" s="122">
        <f t="shared" si="7"/>
        <v>86502.604886365298</v>
      </c>
      <c r="S49" s="122">
        <f t="shared" si="7"/>
        <v>87456.562021496109</v>
      </c>
      <c r="T49" s="122">
        <f t="shared" si="7"/>
        <v>88421.039466584334</v>
      </c>
      <c r="U49" s="122">
        <f t="shared" si="7"/>
        <v>89396.153240385771</v>
      </c>
      <c r="V49" s="122">
        <f t="shared" si="7"/>
        <v>90382.020641128809</v>
      </c>
      <c r="W49" s="122">
        <f t="shared" si="7"/>
        <v>91378.760260601324</v>
      </c>
    </row>
    <row r="50" spans="1:23">
      <c r="A50" s="113"/>
      <c r="B50" s="113"/>
      <c r="C50" s="124"/>
      <c r="D50" s="124"/>
      <c r="E50" s="124"/>
      <c r="F50" s="124"/>
      <c r="G50" s="124"/>
      <c r="H50" s="124"/>
      <c r="I50" s="124"/>
      <c r="J50" s="124"/>
      <c r="K50" s="124"/>
      <c r="L50" s="124"/>
      <c r="M50" s="124"/>
      <c r="N50" s="124"/>
      <c r="O50" s="124"/>
      <c r="P50" s="124"/>
      <c r="Q50" s="124"/>
      <c r="R50" s="124"/>
      <c r="S50" s="124"/>
      <c r="T50" s="124"/>
      <c r="U50" s="124"/>
      <c r="V50" s="124"/>
      <c r="W50" s="124"/>
    </row>
    <row r="51" spans="1:23">
      <c r="A51" s="98" t="s">
        <v>278</v>
      </c>
      <c r="B51" s="98"/>
      <c r="C51" s="114"/>
      <c r="D51" s="130"/>
      <c r="E51" s="131"/>
      <c r="F51" s="132"/>
      <c r="G51" s="123"/>
      <c r="H51" s="133"/>
      <c r="I51" s="123"/>
      <c r="J51" s="78"/>
      <c r="L51" s="78"/>
    </row>
    <row r="52" spans="1:23">
      <c r="A52" s="113"/>
      <c r="B52" s="113"/>
      <c r="C52" s="114"/>
      <c r="D52" s="130"/>
      <c r="E52" s="131"/>
      <c r="F52" s="132"/>
      <c r="G52" s="123"/>
      <c r="H52" s="133"/>
      <c r="I52" s="123"/>
      <c r="J52" s="78"/>
      <c r="L52" s="78"/>
    </row>
    <row r="53" spans="1:23">
      <c r="A53" s="518" t="s">
        <v>214</v>
      </c>
      <c r="B53" s="497" t="s">
        <v>356</v>
      </c>
      <c r="C53" s="505" t="s">
        <v>223</v>
      </c>
      <c r="D53" s="505"/>
      <c r="E53" s="505"/>
      <c r="F53" s="505"/>
      <c r="G53" s="505"/>
      <c r="H53" s="505"/>
      <c r="I53" s="505"/>
      <c r="J53" s="505"/>
      <c r="K53" s="505"/>
      <c r="L53" s="505"/>
      <c r="M53" s="505"/>
      <c r="N53" s="505"/>
      <c r="O53" s="505"/>
      <c r="P53" s="505"/>
      <c r="Q53" s="505"/>
      <c r="R53" s="505"/>
      <c r="S53" s="505"/>
      <c r="T53" s="505"/>
      <c r="U53" s="505"/>
      <c r="V53" s="505"/>
      <c r="W53" s="505"/>
    </row>
    <row r="54" spans="1:23">
      <c r="A54" s="519"/>
      <c r="B54" s="497"/>
      <c r="C54" s="211">
        <v>2015</v>
      </c>
      <c r="D54" s="211">
        <v>2016</v>
      </c>
      <c r="E54" s="211">
        <v>2017</v>
      </c>
      <c r="F54" s="211">
        <v>2018</v>
      </c>
      <c r="G54" s="211">
        <v>2019</v>
      </c>
      <c r="H54" s="211">
        <v>2020</v>
      </c>
      <c r="I54" s="211">
        <v>2021</v>
      </c>
      <c r="J54" s="211">
        <v>2022</v>
      </c>
      <c r="K54" s="211">
        <v>2023</v>
      </c>
      <c r="L54" s="211">
        <v>2024</v>
      </c>
      <c r="M54" s="211">
        <v>2025</v>
      </c>
      <c r="N54" s="211">
        <v>2026</v>
      </c>
      <c r="O54" s="211">
        <v>2027</v>
      </c>
      <c r="P54" s="211">
        <v>2028</v>
      </c>
      <c r="Q54" s="211">
        <v>2029</v>
      </c>
      <c r="R54" s="211">
        <v>2030</v>
      </c>
      <c r="S54" s="211">
        <v>2031</v>
      </c>
      <c r="T54" s="211">
        <v>2032</v>
      </c>
      <c r="U54" s="211">
        <v>2033</v>
      </c>
      <c r="V54" s="211">
        <v>2034</v>
      </c>
      <c r="W54" s="211">
        <v>2035</v>
      </c>
    </row>
    <row r="55" spans="1:23">
      <c r="A55" s="134"/>
      <c r="B55" s="135"/>
      <c r="C55" s="135"/>
      <c r="D55" s="136"/>
      <c r="E55" s="136"/>
      <c r="F55" s="136"/>
      <c r="G55" s="136"/>
      <c r="H55" s="136"/>
      <c r="I55" s="136"/>
      <c r="J55" s="136"/>
      <c r="K55" s="136"/>
      <c r="L55" s="136"/>
      <c r="M55" s="136"/>
      <c r="N55" s="136"/>
      <c r="O55" s="136"/>
      <c r="P55" s="136"/>
      <c r="Q55" s="136"/>
      <c r="R55" s="136"/>
      <c r="S55" s="136"/>
      <c r="T55" s="136"/>
      <c r="U55" s="136"/>
      <c r="V55" s="136"/>
      <c r="W55" s="136"/>
    </row>
    <row r="56" spans="1:23">
      <c r="A56" s="138" t="str">
        <f>A20</f>
        <v>a. Water Heating - WH Controls</v>
      </c>
      <c r="B56" s="139">
        <f>KeyAssumptions!$AC$5</f>
        <v>37.5</v>
      </c>
      <c r="C56" s="140">
        <f>$B$56*C38*1000</f>
        <v>1127.2184084577987</v>
      </c>
      <c r="D56" s="140">
        <f t="shared" ref="D56:W56" si="8">$B$56*D38*1000</f>
        <v>28614.531512136302</v>
      </c>
      <c r="E56" s="140">
        <f t="shared" si="8"/>
        <v>94105.990104636381</v>
      </c>
      <c r="F56" s="140">
        <f t="shared" si="8"/>
        <v>199233.19653790531</v>
      </c>
      <c r="G56" s="140">
        <f t="shared" si="8"/>
        <v>345610.72903411265</v>
      </c>
      <c r="H56" s="140">
        <f t="shared" si="8"/>
        <v>485119.23276313394</v>
      </c>
      <c r="I56" s="140">
        <f t="shared" si="8"/>
        <v>491753.71585150569</v>
      </c>
      <c r="J56" s="140">
        <f t="shared" si="8"/>
        <v>498344.62317013682</v>
      </c>
      <c r="K56" s="140">
        <f t="shared" si="8"/>
        <v>504900.17928483867</v>
      </c>
      <c r="L56" s="140">
        <f t="shared" si="8"/>
        <v>511393.04112155252</v>
      </c>
      <c r="M56" s="140">
        <f t="shared" si="8"/>
        <v>517853.58185753139</v>
      </c>
      <c r="N56" s="140">
        <f t="shared" si="8"/>
        <v>524241.47226217052</v>
      </c>
      <c r="O56" s="140">
        <f t="shared" si="8"/>
        <v>530519.99037057254</v>
      </c>
      <c r="P56" s="140">
        <f t="shared" si="8"/>
        <v>536663.01957901847</v>
      </c>
      <c r="Q56" s="140">
        <f t="shared" si="8"/>
        <v>542702.08738978789</v>
      </c>
      <c r="R56" s="140">
        <f t="shared" si="8"/>
        <v>548687.04621495155</v>
      </c>
      <c r="S56" s="140">
        <f t="shared" si="8"/>
        <v>554738.00760942779</v>
      </c>
      <c r="T56" s="140">
        <f t="shared" si="8"/>
        <v>560855.69945444062</v>
      </c>
      <c r="U56" s="140">
        <f t="shared" si="8"/>
        <v>567040.85765834176</v>
      </c>
      <c r="V56" s="140">
        <f t="shared" si="8"/>
        <v>573294.22624513588</v>
      </c>
      <c r="W56" s="140">
        <f t="shared" si="8"/>
        <v>579616.55744397803</v>
      </c>
    </row>
    <row r="57" spans="1:23">
      <c r="A57" s="144"/>
      <c r="B57" s="145"/>
      <c r="C57" s="137"/>
      <c r="D57" s="137"/>
      <c r="E57" s="137"/>
      <c r="F57" s="137"/>
      <c r="G57" s="137"/>
      <c r="H57" s="137"/>
      <c r="I57" s="137"/>
      <c r="J57" s="137"/>
      <c r="K57" s="137"/>
      <c r="L57" s="137"/>
      <c r="M57" s="137"/>
      <c r="N57" s="137"/>
      <c r="O57" s="137"/>
      <c r="P57" s="137"/>
      <c r="Q57" s="137"/>
      <c r="R57" s="137"/>
      <c r="S57" s="137"/>
      <c r="T57" s="137"/>
      <c r="U57" s="137"/>
      <c r="V57" s="137"/>
      <c r="W57" s="137"/>
    </row>
    <row r="58" spans="1:23">
      <c r="A58" s="146" t="s">
        <v>224</v>
      </c>
      <c r="B58" s="147"/>
      <c r="C58" s="148">
        <f t="shared" ref="C58:W58" si="9">SUM(C56:C56)</f>
        <v>1127.2184084577987</v>
      </c>
      <c r="D58" s="148">
        <f t="shared" si="9"/>
        <v>28614.531512136302</v>
      </c>
      <c r="E58" s="148">
        <f t="shared" si="9"/>
        <v>94105.990104636381</v>
      </c>
      <c r="F58" s="148">
        <f t="shared" si="9"/>
        <v>199233.19653790531</v>
      </c>
      <c r="G58" s="148">
        <f t="shared" si="9"/>
        <v>345610.72903411265</v>
      </c>
      <c r="H58" s="148">
        <f t="shared" si="9"/>
        <v>485119.23276313394</v>
      </c>
      <c r="I58" s="148">
        <f t="shared" si="9"/>
        <v>491753.71585150569</v>
      </c>
      <c r="J58" s="148">
        <f t="shared" si="9"/>
        <v>498344.62317013682</v>
      </c>
      <c r="K58" s="148">
        <f t="shared" si="9"/>
        <v>504900.17928483867</v>
      </c>
      <c r="L58" s="148">
        <f t="shared" si="9"/>
        <v>511393.04112155252</v>
      </c>
      <c r="M58" s="148">
        <f t="shared" si="9"/>
        <v>517853.58185753139</v>
      </c>
      <c r="N58" s="148">
        <f t="shared" si="9"/>
        <v>524241.47226217052</v>
      </c>
      <c r="O58" s="148">
        <f t="shared" si="9"/>
        <v>530519.99037057254</v>
      </c>
      <c r="P58" s="148">
        <f t="shared" si="9"/>
        <v>536663.01957901847</v>
      </c>
      <c r="Q58" s="148">
        <f t="shared" si="9"/>
        <v>542702.08738978789</v>
      </c>
      <c r="R58" s="148">
        <f t="shared" si="9"/>
        <v>548687.04621495155</v>
      </c>
      <c r="S58" s="148">
        <f t="shared" si="9"/>
        <v>554738.00760942779</v>
      </c>
      <c r="T58" s="148">
        <f t="shared" si="9"/>
        <v>560855.69945444062</v>
      </c>
      <c r="U58" s="148">
        <f t="shared" si="9"/>
        <v>567040.85765834176</v>
      </c>
      <c r="V58" s="148">
        <f t="shared" si="9"/>
        <v>573294.22624513588</v>
      </c>
      <c r="W58" s="148">
        <f t="shared" si="9"/>
        <v>579616.55744397803</v>
      </c>
    </row>
    <row r="59" spans="1:23">
      <c r="A59" s="123"/>
      <c r="B59" s="123"/>
      <c r="C59" s="149"/>
      <c r="D59" s="149"/>
      <c r="E59" s="149"/>
      <c r="F59" s="149"/>
      <c r="G59" s="149"/>
      <c r="H59" s="149"/>
      <c r="I59" s="149"/>
      <c r="J59" s="149"/>
      <c r="K59" s="149"/>
      <c r="L59" s="149"/>
      <c r="M59" s="149"/>
      <c r="N59" s="149"/>
      <c r="O59" s="149"/>
      <c r="P59" s="149"/>
      <c r="Q59" s="149"/>
      <c r="R59" s="149"/>
      <c r="S59" s="149"/>
      <c r="T59" s="149"/>
      <c r="U59" s="149"/>
      <c r="V59" s="149"/>
      <c r="W59" s="149"/>
    </row>
    <row r="60" spans="1:23">
      <c r="A60" s="98" t="s">
        <v>312</v>
      </c>
      <c r="B60" s="98"/>
      <c r="C60" s="114"/>
      <c r="D60" s="130"/>
      <c r="E60" s="131"/>
      <c r="F60" s="193"/>
      <c r="G60" s="123"/>
      <c r="H60" s="133"/>
      <c r="I60" s="123"/>
      <c r="J60" s="78"/>
      <c r="L60" s="78"/>
    </row>
    <row r="61" spans="1:23">
      <c r="A61" s="113"/>
      <c r="B61" s="113"/>
      <c r="C61" s="114"/>
      <c r="D61" s="130"/>
      <c r="E61" s="131"/>
      <c r="F61" s="132"/>
      <c r="G61" s="123"/>
      <c r="H61" s="133"/>
      <c r="I61" s="123"/>
      <c r="J61" s="78"/>
      <c r="L61" s="78"/>
    </row>
    <row r="62" spans="1:23">
      <c r="A62" s="513" t="s">
        <v>214</v>
      </c>
      <c r="B62" s="514"/>
      <c r="C62" s="209">
        <v>2015</v>
      </c>
      <c r="D62" s="209">
        <v>2015</v>
      </c>
      <c r="E62" s="209">
        <v>2015</v>
      </c>
      <c r="F62" s="209">
        <v>2015</v>
      </c>
      <c r="G62" s="209">
        <v>2015</v>
      </c>
      <c r="H62" s="209">
        <v>2015</v>
      </c>
      <c r="I62" s="209">
        <v>2015</v>
      </c>
      <c r="J62" s="209">
        <v>2015</v>
      </c>
      <c r="K62" s="209">
        <v>2015</v>
      </c>
      <c r="L62" s="209">
        <v>2015</v>
      </c>
      <c r="M62" s="209">
        <v>2015</v>
      </c>
      <c r="N62" s="209">
        <v>2015</v>
      </c>
      <c r="O62" s="209">
        <v>2015</v>
      </c>
      <c r="P62" s="209">
        <v>2015</v>
      </c>
      <c r="Q62" s="209">
        <v>2015</v>
      </c>
      <c r="R62" s="209">
        <v>2015</v>
      </c>
      <c r="S62" s="209">
        <v>2015</v>
      </c>
      <c r="T62" s="209">
        <v>2015</v>
      </c>
      <c r="U62" s="209">
        <v>2015</v>
      </c>
      <c r="V62" s="209">
        <v>2015</v>
      </c>
      <c r="W62" s="209">
        <v>2015</v>
      </c>
    </row>
    <row r="63" spans="1:23" ht="13.5" customHeight="1">
      <c r="A63" s="146" t="str">
        <f>A49</f>
        <v>TOTAL ENABLEMENT COST</v>
      </c>
      <c r="B63" s="150"/>
      <c r="C63" s="151">
        <f t="shared" ref="C63:W63" si="10">C49</f>
        <v>16292.063396910047</v>
      </c>
      <c r="D63" s="151">
        <f t="shared" si="10"/>
        <v>397283.29872516653</v>
      </c>
      <c r="E63" s="151">
        <f t="shared" si="10"/>
        <v>946569.8815236009</v>
      </c>
      <c r="F63" s="151">
        <f t="shared" si="10"/>
        <v>1519438.5569821801</v>
      </c>
      <c r="G63" s="151">
        <f t="shared" si="10"/>
        <v>2115643.2696785168</v>
      </c>
      <c r="H63" s="151">
        <f t="shared" si="10"/>
        <v>2016362.9072301209</v>
      </c>
      <c r="I63" s="151">
        <f t="shared" si="10"/>
        <v>95890.3955706001</v>
      </c>
      <c r="J63" s="151">
        <f t="shared" si="10"/>
        <v>95260.580445279978</v>
      </c>
      <c r="K63" s="151">
        <f t="shared" si="10"/>
        <v>94749.637711158211</v>
      </c>
      <c r="L63" s="151">
        <f t="shared" si="10"/>
        <v>93843.496413304529</v>
      </c>
      <c r="M63" s="151">
        <f t="shared" si="10"/>
        <v>93376.34877068123</v>
      </c>
      <c r="N63" s="151">
        <f t="shared" si="10"/>
        <v>92326.30931505133</v>
      </c>
      <c r="O63" s="151">
        <f t="shared" si="10"/>
        <v>90745.515060104095</v>
      </c>
      <c r="P63" s="151">
        <f t="shared" si="10"/>
        <v>88787.248826071722</v>
      </c>
      <c r="Q63" s="151">
        <f t="shared" si="10"/>
        <v>87284.660091654616</v>
      </c>
      <c r="R63" s="151">
        <f t="shared" si="10"/>
        <v>86502.604886365298</v>
      </c>
      <c r="S63" s="151">
        <f t="shared" si="10"/>
        <v>87456.562021496109</v>
      </c>
      <c r="T63" s="151">
        <f t="shared" si="10"/>
        <v>88421.039466584334</v>
      </c>
      <c r="U63" s="151">
        <f t="shared" si="10"/>
        <v>89396.153240385771</v>
      </c>
      <c r="V63" s="151">
        <f t="shared" si="10"/>
        <v>90382.020641128809</v>
      </c>
      <c r="W63" s="151">
        <f t="shared" si="10"/>
        <v>91378.760260601324</v>
      </c>
    </row>
    <row r="64" spans="1:23" ht="13.5" customHeight="1">
      <c r="A64" s="146" t="str">
        <f>A58</f>
        <v>TOTAL IMPLEMENTATION COST</v>
      </c>
      <c r="B64" s="150"/>
      <c r="C64" s="151">
        <f>C58</f>
        <v>1127.2184084577987</v>
      </c>
      <c r="D64" s="151">
        <f t="shared" ref="D64:W64" si="11">D58</f>
        <v>28614.531512136302</v>
      </c>
      <c r="E64" s="151">
        <f t="shared" si="11"/>
        <v>94105.990104636381</v>
      </c>
      <c r="F64" s="151">
        <f t="shared" si="11"/>
        <v>199233.19653790531</v>
      </c>
      <c r="G64" s="151">
        <f t="shared" si="11"/>
        <v>345610.72903411265</v>
      </c>
      <c r="H64" s="151">
        <f t="shared" si="11"/>
        <v>485119.23276313394</v>
      </c>
      <c r="I64" s="151">
        <f t="shared" si="11"/>
        <v>491753.71585150569</v>
      </c>
      <c r="J64" s="151">
        <f t="shared" si="11"/>
        <v>498344.62317013682</v>
      </c>
      <c r="K64" s="151">
        <f t="shared" si="11"/>
        <v>504900.17928483867</v>
      </c>
      <c r="L64" s="151">
        <f t="shared" si="11"/>
        <v>511393.04112155252</v>
      </c>
      <c r="M64" s="151">
        <f t="shared" si="11"/>
        <v>517853.58185753139</v>
      </c>
      <c r="N64" s="151">
        <f t="shared" si="11"/>
        <v>524241.47226217052</v>
      </c>
      <c r="O64" s="151">
        <f t="shared" si="11"/>
        <v>530519.99037057254</v>
      </c>
      <c r="P64" s="151">
        <f t="shared" si="11"/>
        <v>536663.01957901847</v>
      </c>
      <c r="Q64" s="151">
        <f t="shared" si="11"/>
        <v>542702.08738978789</v>
      </c>
      <c r="R64" s="151">
        <f t="shared" si="11"/>
        <v>548687.04621495155</v>
      </c>
      <c r="S64" s="151">
        <f t="shared" si="11"/>
        <v>554738.00760942779</v>
      </c>
      <c r="T64" s="151">
        <f t="shared" si="11"/>
        <v>560855.69945444062</v>
      </c>
      <c r="U64" s="151">
        <f t="shared" si="11"/>
        <v>567040.85765834176</v>
      </c>
      <c r="V64" s="151">
        <f t="shared" si="11"/>
        <v>573294.22624513588</v>
      </c>
      <c r="W64" s="151">
        <f t="shared" si="11"/>
        <v>579616.55744397803</v>
      </c>
    </row>
    <row r="65" spans="1:23">
      <c r="A65" s="152" t="s">
        <v>226</v>
      </c>
      <c r="B65" s="150"/>
      <c r="C65" s="153">
        <f>SUM(C63:C64)</f>
        <v>17419.281805367846</v>
      </c>
      <c r="D65" s="153">
        <f t="shared" ref="D65:W65" si="12">SUM(D63:D64)</f>
        <v>425897.83023730281</v>
      </c>
      <c r="E65" s="153">
        <f t="shared" si="12"/>
        <v>1040675.8716282373</v>
      </c>
      <c r="F65" s="153">
        <f t="shared" si="12"/>
        <v>1718671.7535200855</v>
      </c>
      <c r="G65" s="153">
        <f t="shared" si="12"/>
        <v>2461253.9987126295</v>
      </c>
      <c r="H65" s="153">
        <f t="shared" si="12"/>
        <v>2501482.139993255</v>
      </c>
      <c r="I65" s="153">
        <f t="shared" si="12"/>
        <v>587644.11142210581</v>
      </c>
      <c r="J65" s="153">
        <f t="shared" si="12"/>
        <v>593605.20361541677</v>
      </c>
      <c r="K65" s="153">
        <f t="shared" si="12"/>
        <v>599649.81699599687</v>
      </c>
      <c r="L65" s="153">
        <f t="shared" si="12"/>
        <v>605236.53753485705</v>
      </c>
      <c r="M65" s="153">
        <f t="shared" si="12"/>
        <v>611229.93062821263</v>
      </c>
      <c r="N65" s="153">
        <f t="shared" si="12"/>
        <v>616567.78157722182</v>
      </c>
      <c r="O65" s="153">
        <f t="shared" si="12"/>
        <v>621265.50543067663</v>
      </c>
      <c r="P65" s="153">
        <f t="shared" si="12"/>
        <v>625450.2684050902</v>
      </c>
      <c r="Q65" s="153">
        <f t="shared" si="12"/>
        <v>629986.74748144252</v>
      </c>
      <c r="R65" s="153">
        <f t="shared" si="12"/>
        <v>635189.65110131679</v>
      </c>
      <c r="S65" s="153">
        <f t="shared" si="12"/>
        <v>642194.56963092391</v>
      </c>
      <c r="T65" s="153">
        <f t="shared" si="12"/>
        <v>649276.73892102495</v>
      </c>
      <c r="U65" s="153">
        <f t="shared" si="12"/>
        <v>656437.01089872757</v>
      </c>
      <c r="V65" s="153">
        <f t="shared" si="12"/>
        <v>663676.24688626465</v>
      </c>
      <c r="W65" s="153">
        <f t="shared" si="12"/>
        <v>670995.31770457933</v>
      </c>
    </row>
    <row r="68" spans="1:23" s="70" customFormat="1" ht="14.4"/>
  </sheetData>
  <mergeCells count="14">
    <mergeCell ref="A1:W1"/>
    <mergeCell ref="C17:W17"/>
    <mergeCell ref="A26:A27"/>
    <mergeCell ref="B26:B27"/>
    <mergeCell ref="C26:W26"/>
    <mergeCell ref="A62:B62"/>
    <mergeCell ref="B35:B36"/>
    <mergeCell ref="C35:W35"/>
    <mergeCell ref="A44:A45"/>
    <mergeCell ref="B44:B45"/>
    <mergeCell ref="C44:W44"/>
    <mergeCell ref="A53:A54"/>
    <mergeCell ref="B53:B54"/>
    <mergeCell ref="C53:W53"/>
  </mergeCells>
  <pageMargins left="0.75" right="0.75" top="1" bottom="1" header="0.5" footer="0.5"/>
  <pageSetup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W84"/>
  <sheetViews>
    <sheetView topLeftCell="A58" workbookViewId="0">
      <selection activeCell="W84" sqref="W84"/>
    </sheetView>
  </sheetViews>
  <sheetFormatPr defaultRowHeight="13.2"/>
  <cols>
    <col min="1" max="1" width="33.88671875" style="76" customWidth="1"/>
    <col min="2" max="2" width="32.33203125" style="76" bestFit="1" customWidth="1"/>
    <col min="3" max="3" width="19.88671875" style="76" bestFit="1" customWidth="1"/>
    <col min="4" max="4" width="15" style="76" customWidth="1"/>
    <col min="5" max="5" width="17" style="76" bestFit="1" customWidth="1"/>
    <col min="6" max="7" width="12.88671875" style="76" customWidth="1"/>
    <col min="8" max="8" width="13.6640625" style="76" customWidth="1"/>
    <col min="9" max="23" width="12.88671875" style="76" customWidth="1"/>
    <col min="24" max="255" width="9.109375" style="76"/>
    <col min="256" max="256" width="33.88671875" style="76" customWidth="1"/>
    <col min="257" max="257" width="19.33203125" style="76" customWidth="1"/>
    <col min="258" max="279" width="12.88671875" style="76" customWidth="1"/>
    <col min="280" max="511" width="9.109375" style="76"/>
    <col min="512" max="512" width="33.88671875" style="76" customWidth="1"/>
    <col min="513" max="513" width="19.33203125" style="76" customWidth="1"/>
    <col min="514" max="535" width="12.88671875" style="76" customWidth="1"/>
    <col min="536" max="767" width="9.109375" style="76"/>
    <col min="768" max="768" width="33.88671875" style="76" customWidth="1"/>
    <col min="769" max="769" width="19.33203125" style="76" customWidth="1"/>
    <col min="770" max="791" width="12.88671875" style="76" customWidth="1"/>
    <col min="792" max="1023" width="9.109375" style="76"/>
    <col min="1024" max="1024" width="33.88671875" style="76" customWidth="1"/>
    <col min="1025" max="1025" width="19.33203125" style="76" customWidth="1"/>
    <col min="1026" max="1047" width="12.88671875" style="76" customWidth="1"/>
    <col min="1048" max="1279" width="9.109375" style="76"/>
    <col min="1280" max="1280" width="33.88671875" style="76" customWidth="1"/>
    <col min="1281" max="1281" width="19.33203125" style="76" customWidth="1"/>
    <col min="1282" max="1303" width="12.88671875" style="76" customWidth="1"/>
    <col min="1304" max="1535" width="9.109375" style="76"/>
    <col min="1536" max="1536" width="33.88671875" style="76" customWidth="1"/>
    <col min="1537" max="1537" width="19.33203125" style="76" customWidth="1"/>
    <col min="1538" max="1559" width="12.88671875" style="76" customWidth="1"/>
    <col min="1560" max="1791" width="9.109375" style="76"/>
    <col min="1792" max="1792" width="33.88671875" style="76" customWidth="1"/>
    <col min="1793" max="1793" width="19.33203125" style="76" customWidth="1"/>
    <col min="1794" max="1815" width="12.88671875" style="76" customWidth="1"/>
    <col min="1816" max="2047" width="9.109375" style="76"/>
    <col min="2048" max="2048" width="33.88671875" style="76" customWidth="1"/>
    <col min="2049" max="2049" width="19.33203125" style="76" customWidth="1"/>
    <col min="2050" max="2071" width="12.88671875" style="76" customWidth="1"/>
    <col min="2072" max="2303" width="9.109375" style="76"/>
    <col min="2304" max="2304" width="33.88671875" style="76" customWidth="1"/>
    <col min="2305" max="2305" width="19.33203125" style="76" customWidth="1"/>
    <col min="2306" max="2327" width="12.88671875" style="76" customWidth="1"/>
    <col min="2328" max="2559" width="9.109375" style="76"/>
    <col min="2560" max="2560" width="33.88671875" style="76" customWidth="1"/>
    <col min="2561" max="2561" width="19.33203125" style="76" customWidth="1"/>
    <col min="2562" max="2583" width="12.88671875" style="76" customWidth="1"/>
    <col min="2584" max="2815" width="9.109375" style="76"/>
    <col min="2816" max="2816" width="33.88671875" style="76" customWidth="1"/>
    <col min="2817" max="2817" width="19.33203125" style="76" customWidth="1"/>
    <col min="2818" max="2839" width="12.88671875" style="76" customWidth="1"/>
    <col min="2840" max="3071" width="9.109375" style="76"/>
    <col min="3072" max="3072" width="33.88671875" style="76" customWidth="1"/>
    <col min="3073" max="3073" width="19.33203125" style="76" customWidth="1"/>
    <col min="3074" max="3095" width="12.88671875" style="76" customWidth="1"/>
    <col min="3096" max="3327" width="9.109375" style="76"/>
    <col min="3328" max="3328" width="33.88671875" style="76" customWidth="1"/>
    <col min="3329" max="3329" width="19.33203125" style="76" customWidth="1"/>
    <col min="3330" max="3351" width="12.88671875" style="76" customWidth="1"/>
    <col min="3352" max="3583" width="9.109375" style="76"/>
    <col min="3584" max="3584" width="33.88671875" style="76" customWidth="1"/>
    <col min="3585" max="3585" width="19.33203125" style="76" customWidth="1"/>
    <col min="3586" max="3607" width="12.88671875" style="76" customWidth="1"/>
    <col min="3608" max="3839" width="9.109375" style="76"/>
    <col min="3840" max="3840" width="33.88671875" style="76" customWidth="1"/>
    <col min="3841" max="3841" width="19.33203125" style="76" customWidth="1"/>
    <col min="3842" max="3863" width="12.88671875" style="76" customWidth="1"/>
    <col min="3864" max="4095" width="9.109375" style="76"/>
    <col min="4096" max="4096" width="33.88671875" style="76" customWidth="1"/>
    <col min="4097" max="4097" width="19.33203125" style="76" customWidth="1"/>
    <col min="4098" max="4119" width="12.88671875" style="76" customWidth="1"/>
    <col min="4120" max="4351" width="9.109375" style="76"/>
    <col min="4352" max="4352" width="33.88671875" style="76" customWidth="1"/>
    <col min="4353" max="4353" width="19.33203125" style="76" customWidth="1"/>
    <col min="4354" max="4375" width="12.88671875" style="76" customWidth="1"/>
    <col min="4376" max="4607" width="9.109375" style="76"/>
    <col min="4608" max="4608" width="33.88671875" style="76" customWidth="1"/>
    <col min="4609" max="4609" width="19.33203125" style="76" customWidth="1"/>
    <col min="4610" max="4631" width="12.88671875" style="76" customWidth="1"/>
    <col min="4632" max="4863" width="9.109375" style="76"/>
    <col min="4864" max="4864" width="33.88671875" style="76" customWidth="1"/>
    <col min="4865" max="4865" width="19.33203125" style="76" customWidth="1"/>
    <col min="4866" max="4887" width="12.88671875" style="76" customWidth="1"/>
    <col min="4888" max="5119" width="9.109375" style="76"/>
    <col min="5120" max="5120" width="33.88671875" style="76" customWidth="1"/>
    <col min="5121" max="5121" width="19.33203125" style="76" customWidth="1"/>
    <col min="5122" max="5143" width="12.88671875" style="76" customWidth="1"/>
    <col min="5144" max="5375" width="9.109375" style="76"/>
    <col min="5376" max="5376" width="33.88671875" style="76" customWidth="1"/>
    <col min="5377" max="5377" width="19.33203125" style="76" customWidth="1"/>
    <col min="5378" max="5399" width="12.88671875" style="76" customWidth="1"/>
    <col min="5400" max="5631" width="9.109375" style="76"/>
    <col min="5632" max="5632" width="33.88671875" style="76" customWidth="1"/>
    <col min="5633" max="5633" width="19.33203125" style="76" customWidth="1"/>
    <col min="5634" max="5655" width="12.88671875" style="76" customWidth="1"/>
    <col min="5656" max="5887" width="9.109375" style="76"/>
    <col min="5888" max="5888" width="33.88671875" style="76" customWidth="1"/>
    <col min="5889" max="5889" width="19.33203125" style="76" customWidth="1"/>
    <col min="5890" max="5911" width="12.88671875" style="76" customWidth="1"/>
    <col min="5912" max="6143" width="9.109375" style="76"/>
    <col min="6144" max="6144" width="33.88671875" style="76" customWidth="1"/>
    <col min="6145" max="6145" width="19.33203125" style="76" customWidth="1"/>
    <col min="6146" max="6167" width="12.88671875" style="76" customWidth="1"/>
    <col min="6168" max="6399" width="9.109375" style="76"/>
    <col min="6400" max="6400" width="33.88671875" style="76" customWidth="1"/>
    <col min="6401" max="6401" width="19.33203125" style="76" customWidth="1"/>
    <col min="6402" max="6423" width="12.88671875" style="76" customWidth="1"/>
    <col min="6424" max="6655" width="9.109375" style="76"/>
    <col min="6656" max="6656" width="33.88671875" style="76" customWidth="1"/>
    <col min="6657" max="6657" width="19.33203125" style="76" customWidth="1"/>
    <col min="6658" max="6679" width="12.88671875" style="76" customWidth="1"/>
    <col min="6680" max="6911" width="9.109375" style="76"/>
    <col min="6912" max="6912" width="33.88671875" style="76" customWidth="1"/>
    <col min="6913" max="6913" width="19.33203125" style="76" customWidth="1"/>
    <col min="6914" max="6935" width="12.88671875" style="76" customWidth="1"/>
    <col min="6936" max="7167" width="9.109375" style="76"/>
    <col min="7168" max="7168" width="33.88671875" style="76" customWidth="1"/>
    <col min="7169" max="7169" width="19.33203125" style="76" customWidth="1"/>
    <col min="7170" max="7191" width="12.88671875" style="76" customWidth="1"/>
    <col min="7192" max="7423" width="9.109375" style="76"/>
    <col min="7424" max="7424" width="33.88671875" style="76" customWidth="1"/>
    <col min="7425" max="7425" width="19.33203125" style="76" customWidth="1"/>
    <col min="7426" max="7447" width="12.88671875" style="76" customWidth="1"/>
    <col min="7448" max="7679" width="9.109375" style="76"/>
    <col min="7680" max="7680" width="33.88671875" style="76" customWidth="1"/>
    <col min="7681" max="7681" width="19.33203125" style="76" customWidth="1"/>
    <col min="7682" max="7703" width="12.88671875" style="76" customWidth="1"/>
    <col min="7704" max="7935" width="9.109375" style="76"/>
    <col min="7936" max="7936" width="33.88671875" style="76" customWidth="1"/>
    <col min="7937" max="7937" width="19.33203125" style="76" customWidth="1"/>
    <col min="7938" max="7959" width="12.88671875" style="76" customWidth="1"/>
    <col min="7960" max="8191" width="9.109375" style="76"/>
    <col min="8192" max="8192" width="33.88671875" style="76" customWidth="1"/>
    <col min="8193" max="8193" width="19.33203125" style="76" customWidth="1"/>
    <col min="8194" max="8215" width="12.88671875" style="76" customWidth="1"/>
    <col min="8216" max="8447" width="9.109375" style="76"/>
    <col min="8448" max="8448" width="33.88671875" style="76" customWidth="1"/>
    <col min="8449" max="8449" width="19.33203125" style="76" customWidth="1"/>
    <col min="8450" max="8471" width="12.88671875" style="76" customWidth="1"/>
    <col min="8472" max="8703" width="9.109375" style="76"/>
    <col min="8704" max="8704" width="33.88671875" style="76" customWidth="1"/>
    <col min="8705" max="8705" width="19.33203125" style="76" customWidth="1"/>
    <col min="8706" max="8727" width="12.88671875" style="76" customWidth="1"/>
    <col min="8728" max="8959" width="9.109375" style="76"/>
    <col min="8960" max="8960" width="33.88671875" style="76" customWidth="1"/>
    <col min="8961" max="8961" width="19.33203125" style="76" customWidth="1"/>
    <col min="8962" max="8983" width="12.88671875" style="76" customWidth="1"/>
    <col min="8984" max="9215" width="9.109375" style="76"/>
    <col min="9216" max="9216" width="33.88671875" style="76" customWidth="1"/>
    <col min="9217" max="9217" width="19.33203125" style="76" customWidth="1"/>
    <col min="9218" max="9239" width="12.88671875" style="76" customWidth="1"/>
    <col min="9240" max="9471" width="9.109375" style="76"/>
    <col min="9472" max="9472" width="33.88671875" style="76" customWidth="1"/>
    <col min="9473" max="9473" width="19.33203125" style="76" customWidth="1"/>
    <col min="9474" max="9495" width="12.88671875" style="76" customWidth="1"/>
    <col min="9496" max="9727" width="9.109375" style="76"/>
    <col min="9728" max="9728" width="33.88671875" style="76" customWidth="1"/>
    <col min="9729" max="9729" width="19.33203125" style="76" customWidth="1"/>
    <col min="9730" max="9751" width="12.88671875" style="76" customWidth="1"/>
    <col min="9752" max="9983" width="9.109375" style="76"/>
    <col min="9984" max="9984" width="33.88671875" style="76" customWidth="1"/>
    <col min="9985" max="9985" width="19.33203125" style="76" customWidth="1"/>
    <col min="9986" max="10007" width="12.88671875" style="76" customWidth="1"/>
    <col min="10008" max="10239" width="9.109375" style="76"/>
    <col min="10240" max="10240" width="33.88671875" style="76" customWidth="1"/>
    <col min="10241" max="10241" width="19.33203125" style="76" customWidth="1"/>
    <col min="10242" max="10263" width="12.88671875" style="76" customWidth="1"/>
    <col min="10264" max="10495" width="9.109375" style="76"/>
    <col min="10496" max="10496" width="33.88671875" style="76" customWidth="1"/>
    <col min="10497" max="10497" width="19.33203125" style="76" customWidth="1"/>
    <col min="10498" max="10519" width="12.88671875" style="76" customWidth="1"/>
    <col min="10520" max="10751" width="9.109375" style="76"/>
    <col min="10752" max="10752" width="33.88671875" style="76" customWidth="1"/>
    <col min="10753" max="10753" width="19.33203125" style="76" customWidth="1"/>
    <col min="10754" max="10775" width="12.88671875" style="76" customWidth="1"/>
    <col min="10776" max="11007" width="9.109375" style="76"/>
    <col min="11008" max="11008" width="33.88671875" style="76" customWidth="1"/>
    <col min="11009" max="11009" width="19.33203125" style="76" customWidth="1"/>
    <col min="11010" max="11031" width="12.88671875" style="76" customWidth="1"/>
    <col min="11032" max="11263" width="9.109375" style="76"/>
    <col min="11264" max="11264" width="33.88671875" style="76" customWidth="1"/>
    <col min="11265" max="11265" width="19.33203125" style="76" customWidth="1"/>
    <col min="11266" max="11287" width="12.88671875" style="76" customWidth="1"/>
    <col min="11288" max="11519" width="9.109375" style="76"/>
    <col min="11520" max="11520" width="33.88671875" style="76" customWidth="1"/>
    <col min="11521" max="11521" width="19.33203125" style="76" customWidth="1"/>
    <col min="11522" max="11543" width="12.88671875" style="76" customWidth="1"/>
    <col min="11544" max="11775" width="9.109375" style="76"/>
    <col min="11776" max="11776" width="33.88671875" style="76" customWidth="1"/>
    <col min="11777" max="11777" width="19.33203125" style="76" customWidth="1"/>
    <col min="11778" max="11799" width="12.88671875" style="76" customWidth="1"/>
    <col min="11800" max="12031" width="9.109375" style="76"/>
    <col min="12032" max="12032" width="33.88671875" style="76" customWidth="1"/>
    <col min="12033" max="12033" width="19.33203125" style="76" customWidth="1"/>
    <col min="12034" max="12055" width="12.88671875" style="76" customWidth="1"/>
    <col min="12056" max="12287" width="9.109375" style="76"/>
    <col min="12288" max="12288" width="33.88671875" style="76" customWidth="1"/>
    <col min="12289" max="12289" width="19.33203125" style="76" customWidth="1"/>
    <col min="12290" max="12311" width="12.88671875" style="76" customWidth="1"/>
    <col min="12312" max="12543" width="9.109375" style="76"/>
    <col min="12544" max="12544" width="33.88671875" style="76" customWidth="1"/>
    <col min="12545" max="12545" width="19.33203125" style="76" customWidth="1"/>
    <col min="12546" max="12567" width="12.88671875" style="76" customWidth="1"/>
    <col min="12568" max="12799" width="9.109375" style="76"/>
    <col min="12800" max="12800" width="33.88671875" style="76" customWidth="1"/>
    <col min="12801" max="12801" width="19.33203125" style="76" customWidth="1"/>
    <col min="12802" max="12823" width="12.88671875" style="76" customWidth="1"/>
    <col min="12824" max="13055" width="9.109375" style="76"/>
    <col min="13056" max="13056" width="33.88671875" style="76" customWidth="1"/>
    <col min="13057" max="13057" width="19.33203125" style="76" customWidth="1"/>
    <col min="13058" max="13079" width="12.88671875" style="76" customWidth="1"/>
    <col min="13080" max="13311" width="9.109375" style="76"/>
    <col min="13312" max="13312" width="33.88671875" style="76" customWidth="1"/>
    <col min="13313" max="13313" width="19.33203125" style="76" customWidth="1"/>
    <col min="13314" max="13335" width="12.88671875" style="76" customWidth="1"/>
    <col min="13336" max="13567" width="9.109375" style="76"/>
    <col min="13568" max="13568" width="33.88671875" style="76" customWidth="1"/>
    <col min="13569" max="13569" width="19.33203125" style="76" customWidth="1"/>
    <col min="13570" max="13591" width="12.88671875" style="76" customWidth="1"/>
    <col min="13592" max="13823" width="9.109375" style="76"/>
    <col min="13824" max="13824" width="33.88671875" style="76" customWidth="1"/>
    <col min="13825" max="13825" width="19.33203125" style="76" customWidth="1"/>
    <col min="13826" max="13847" width="12.88671875" style="76" customWidth="1"/>
    <col min="13848" max="14079" width="9.109375" style="76"/>
    <col min="14080" max="14080" width="33.88671875" style="76" customWidth="1"/>
    <col min="14081" max="14081" width="19.33203125" style="76" customWidth="1"/>
    <col min="14082" max="14103" width="12.88671875" style="76" customWidth="1"/>
    <col min="14104" max="14335" width="9.109375" style="76"/>
    <col min="14336" max="14336" width="33.88671875" style="76" customWidth="1"/>
    <col min="14337" max="14337" width="19.33203125" style="76" customWidth="1"/>
    <col min="14338" max="14359" width="12.88671875" style="76" customWidth="1"/>
    <col min="14360" max="14591" width="9.109375" style="76"/>
    <col min="14592" max="14592" width="33.88671875" style="76" customWidth="1"/>
    <col min="14593" max="14593" width="19.33203125" style="76" customWidth="1"/>
    <col min="14594" max="14615" width="12.88671875" style="76" customWidth="1"/>
    <col min="14616" max="14847" width="9.109375" style="76"/>
    <col min="14848" max="14848" width="33.88671875" style="76" customWidth="1"/>
    <col min="14849" max="14849" width="19.33203125" style="76" customWidth="1"/>
    <col min="14850" max="14871" width="12.88671875" style="76" customWidth="1"/>
    <col min="14872" max="15103" width="9.109375" style="76"/>
    <col min="15104" max="15104" width="33.88671875" style="76" customWidth="1"/>
    <col min="15105" max="15105" width="19.33203125" style="76" customWidth="1"/>
    <col min="15106" max="15127" width="12.88671875" style="76" customWidth="1"/>
    <col min="15128" max="15359" width="9.109375" style="76"/>
    <col min="15360" max="15360" width="33.88671875" style="76" customWidth="1"/>
    <col min="15361" max="15361" width="19.33203125" style="76" customWidth="1"/>
    <col min="15362" max="15383" width="12.88671875" style="76" customWidth="1"/>
    <col min="15384" max="15615" width="9.109375" style="76"/>
    <col min="15616" max="15616" width="33.88671875" style="76" customWidth="1"/>
    <col min="15617" max="15617" width="19.33203125" style="76" customWidth="1"/>
    <col min="15618" max="15639" width="12.88671875" style="76" customWidth="1"/>
    <col min="15640" max="15871" width="9.109375" style="76"/>
    <col min="15872" max="15872" width="33.88671875" style="76" customWidth="1"/>
    <col min="15873" max="15873" width="19.33203125" style="76" customWidth="1"/>
    <col min="15874" max="15895" width="12.88671875" style="76" customWidth="1"/>
    <col min="15896" max="16127" width="9.109375" style="76"/>
    <col min="16128" max="16128" width="33.88671875" style="76" customWidth="1"/>
    <col min="16129" max="16129" width="19.33203125" style="76" customWidth="1"/>
    <col min="16130" max="16151" width="12.88671875" style="76" customWidth="1"/>
    <col min="16152" max="16384" width="9.109375" style="76"/>
  </cols>
  <sheetData>
    <row r="1" spans="1:23" ht="16.2" thickBot="1">
      <c r="A1" s="494" t="s">
        <v>367</v>
      </c>
      <c r="B1" s="495"/>
      <c r="C1" s="495"/>
      <c r="D1" s="495"/>
      <c r="E1" s="495"/>
      <c r="F1" s="495"/>
      <c r="G1" s="495"/>
      <c r="H1" s="495"/>
      <c r="I1" s="495"/>
      <c r="J1" s="495"/>
      <c r="K1" s="495"/>
      <c r="L1" s="495"/>
      <c r="M1" s="495"/>
      <c r="N1" s="495"/>
      <c r="O1" s="495"/>
      <c r="P1" s="495"/>
      <c r="Q1" s="495"/>
      <c r="R1" s="495"/>
      <c r="S1" s="495"/>
      <c r="T1" s="495"/>
      <c r="U1" s="495"/>
      <c r="V1" s="495"/>
      <c r="W1" s="496"/>
    </row>
    <row r="2" spans="1:23" ht="16.2" thickBot="1">
      <c r="A2" s="181" t="s">
        <v>235</v>
      </c>
      <c r="B2" s="182"/>
      <c r="C2" s="182"/>
      <c r="D2" s="182"/>
      <c r="E2" s="182"/>
      <c r="F2" s="182"/>
      <c r="G2" s="182"/>
      <c r="H2" s="182"/>
      <c r="I2" s="182"/>
      <c r="J2" s="182"/>
      <c r="K2" s="182"/>
      <c r="L2" s="182"/>
      <c r="M2" s="183"/>
      <c r="N2" s="183"/>
      <c r="O2" s="183"/>
      <c r="P2" s="183"/>
      <c r="Q2" s="183"/>
      <c r="R2" s="183"/>
      <c r="S2" s="183"/>
      <c r="T2" s="183"/>
      <c r="U2" s="183"/>
      <c r="V2" s="183"/>
      <c r="W2" s="184"/>
    </row>
    <row r="3" spans="1:23" ht="15.6">
      <c r="A3" s="154" t="s">
        <v>291</v>
      </c>
      <c r="B3" s="155"/>
      <c r="C3" s="155"/>
      <c r="D3" s="156"/>
      <c r="E3" s="156"/>
      <c r="F3" s="156"/>
      <c r="G3" s="156"/>
      <c r="H3" s="156"/>
      <c r="I3" s="156"/>
      <c r="J3" s="156"/>
      <c r="K3" s="156"/>
      <c r="L3" s="156"/>
      <c r="M3" s="157"/>
      <c r="N3" s="157"/>
      <c r="O3" s="157"/>
      <c r="P3" s="157"/>
      <c r="Q3" s="157"/>
      <c r="R3" s="157"/>
      <c r="S3" s="157"/>
      <c r="T3" s="157"/>
      <c r="U3" s="157"/>
      <c r="V3" s="157"/>
      <c r="W3" s="158"/>
    </row>
    <row r="4" spans="1:23" ht="15.6">
      <c r="A4" s="188"/>
      <c r="B4" s="161" t="s">
        <v>241</v>
      </c>
      <c r="C4" s="176">
        <f>KeyAssumptions!AE9</f>
        <v>1</v>
      </c>
      <c r="D4" s="166"/>
      <c r="E4" s="166"/>
      <c r="F4" s="166"/>
      <c r="G4" s="166"/>
      <c r="H4" s="166"/>
      <c r="I4" s="166"/>
      <c r="J4" s="166"/>
      <c r="K4" s="166"/>
      <c r="L4" s="166"/>
      <c r="M4" s="167"/>
      <c r="N4" s="167"/>
      <c r="O4" s="167"/>
      <c r="P4" s="167"/>
      <c r="Q4" s="167"/>
      <c r="R4" s="167"/>
      <c r="S4" s="167"/>
      <c r="T4" s="167"/>
      <c r="U4" s="167"/>
      <c r="V4" s="167"/>
      <c r="W4" s="168"/>
    </row>
    <row r="5" spans="1:23" ht="15.6">
      <c r="A5" s="188"/>
      <c r="B5" s="161" t="s">
        <v>207</v>
      </c>
      <c r="C5" s="177">
        <f>KeyAssumptions!AF9</f>
        <v>0.15</v>
      </c>
      <c r="D5" s="166"/>
      <c r="E5" s="166"/>
      <c r="F5" s="166"/>
      <c r="G5" s="166"/>
      <c r="H5" s="166"/>
      <c r="I5" s="166"/>
      <c r="J5" s="166"/>
      <c r="K5" s="166"/>
      <c r="L5" s="166"/>
      <c r="M5" s="167"/>
      <c r="N5" s="167"/>
      <c r="O5" s="167"/>
      <c r="P5" s="167"/>
      <c r="Q5" s="167"/>
      <c r="R5" s="167"/>
      <c r="S5" s="167"/>
      <c r="T5" s="167"/>
      <c r="U5" s="167"/>
      <c r="V5" s="167"/>
      <c r="W5" s="168"/>
    </row>
    <row r="6" spans="1:23" ht="15.75" customHeight="1">
      <c r="A6" s="188"/>
      <c r="B6" s="191" t="s">
        <v>355</v>
      </c>
      <c r="C6" s="177">
        <v>0.95</v>
      </c>
      <c r="D6" s="166"/>
      <c r="E6" s="166"/>
      <c r="F6" s="166"/>
      <c r="G6" s="166"/>
      <c r="H6" s="166"/>
      <c r="I6" s="166"/>
      <c r="J6" s="166"/>
      <c r="K6" s="166"/>
      <c r="L6" s="166"/>
      <c r="M6" s="167"/>
      <c r="N6" s="167"/>
      <c r="O6" s="167"/>
      <c r="P6" s="167"/>
      <c r="Q6" s="167"/>
      <c r="R6" s="167"/>
      <c r="S6" s="167"/>
      <c r="T6" s="167"/>
      <c r="U6" s="167"/>
      <c r="V6" s="167"/>
      <c r="W6" s="168"/>
    </row>
    <row r="7" spans="1:23" ht="15.6">
      <c r="A7" s="188"/>
      <c r="B7" s="160"/>
      <c r="C7" s="160"/>
      <c r="D7" s="166"/>
      <c r="E7" s="166"/>
      <c r="F7" s="166"/>
      <c r="G7" s="166"/>
      <c r="H7" s="166"/>
      <c r="I7" s="166"/>
      <c r="J7" s="166"/>
      <c r="K7" s="166"/>
      <c r="L7" s="166"/>
      <c r="M7" s="167"/>
      <c r="N7" s="167"/>
      <c r="O7" s="167"/>
      <c r="P7" s="167"/>
      <c r="Q7" s="167"/>
      <c r="R7" s="167"/>
      <c r="S7" s="167"/>
      <c r="T7" s="167"/>
      <c r="U7" s="167"/>
      <c r="V7" s="167"/>
      <c r="W7" s="168"/>
    </row>
    <row r="8" spans="1:23">
      <c r="A8" s="159"/>
      <c r="B8" s="161" t="s">
        <v>1</v>
      </c>
      <c r="C8" s="162">
        <v>2015</v>
      </c>
      <c r="D8" s="162">
        <v>2016</v>
      </c>
      <c r="E8" s="162">
        <v>2017</v>
      </c>
      <c r="F8" s="162">
        <v>2018</v>
      </c>
      <c r="G8" s="162">
        <v>2019</v>
      </c>
      <c r="H8" s="162">
        <v>2020</v>
      </c>
      <c r="I8" s="162">
        <v>2021</v>
      </c>
      <c r="J8" s="162">
        <v>2022</v>
      </c>
      <c r="K8" s="162">
        <v>2023</v>
      </c>
      <c r="L8" s="162">
        <v>2024</v>
      </c>
      <c r="M8" s="162">
        <v>2025</v>
      </c>
      <c r="N8" s="162">
        <v>2026</v>
      </c>
      <c r="O8" s="162">
        <v>2027</v>
      </c>
      <c r="P8" s="162">
        <v>2028</v>
      </c>
      <c r="Q8" s="162">
        <v>2029</v>
      </c>
      <c r="R8" s="162">
        <v>2030</v>
      </c>
      <c r="S8" s="162">
        <v>2031</v>
      </c>
      <c r="T8" s="162">
        <v>2032</v>
      </c>
      <c r="U8" s="162">
        <v>2033</v>
      </c>
      <c r="V8" s="162">
        <v>2034</v>
      </c>
      <c r="W8" s="163">
        <v>2035</v>
      </c>
    </row>
    <row r="9" spans="1:23">
      <c r="A9" s="159"/>
      <c r="B9" s="161" t="s">
        <v>231</v>
      </c>
      <c r="C9" s="177">
        <v>0.05</v>
      </c>
      <c r="D9" s="177">
        <v>0.2</v>
      </c>
      <c r="E9" s="177">
        <v>0.2</v>
      </c>
      <c r="F9" s="177">
        <v>0.2</v>
      </c>
      <c r="G9" s="177">
        <v>0.2</v>
      </c>
      <c r="H9" s="177">
        <v>0.15</v>
      </c>
      <c r="I9" s="177">
        <v>0</v>
      </c>
      <c r="J9" s="177">
        <v>0</v>
      </c>
      <c r="K9" s="177">
        <v>0</v>
      </c>
      <c r="L9" s="177">
        <v>0</v>
      </c>
      <c r="M9" s="177">
        <v>0</v>
      </c>
      <c r="N9" s="177">
        <v>0</v>
      </c>
      <c r="O9" s="177">
        <v>0</v>
      </c>
      <c r="P9" s="177">
        <v>0</v>
      </c>
      <c r="Q9" s="177">
        <v>0</v>
      </c>
      <c r="R9" s="177">
        <v>0</v>
      </c>
      <c r="S9" s="177">
        <v>0</v>
      </c>
      <c r="T9" s="177">
        <v>0</v>
      </c>
      <c r="U9" s="177">
        <v>0</v>
      </c>
      <c r="V9" s="177">
        <v>0</v>
      </c>
      <c r="W9" s="177">
        <v>0</v>
      </c>
    </row>
    <row r="10" spans="1:23">
      <c r="A10" s="159"/>
      <c r="B10" s="161" t="s">
        <v>237</v>
      </c>
      <c r="C10" s="177">
        <f>C9</f>
        <v>0.05</v>
      </c>
      <c r="D10" s="177">
        <f>C10+D9</f>
        <v>0.25</v>
      </c>
      <c r="E10" s="177">
        <f t="shared" ref="E10:W10" si="0">D10+E9</f>
        <v>0.45</v>
      </c>
      <c r="F10" s="177">
        <f t="shared" si="0"/>
        <v>0.65</v>
      </c>
      <c r="G10" s="177">
        <f t="shared" si="0"/>
        <v>0.85000000000000009</v>
      </c>
      <c r="H10" s="177">
        <f t="shared" si="0"/>
        <v>1</v>
      </c>
      <c r="I10" s="177">
        <f t="shared" si="0"/>
        <v>1</v>
      </c>
      <c r="J10" s="177">
        <f t="shared" si="0"/>
        <v>1</v>
      </c>
      <c r="K10" s="177">
        <f t="shared" si="0"/>
        <v>1</v>
      </c>
      <c r="L10" s="177">
        <f t="shared" si="0"/>
        <v>1</v>
      </c>
      <c r="M10" s="177">
        <f t="shared" si="0"/>
        <v>1</v>
      </c>
      <c r="N10" s="177">
        <f t="shared" si="0"/>
        <v>1</v>
      </c>
      <c r="O10" s="177">
        <f t="shared" si="0"/>
        <v>1</v>
      </c>
      <c r="P10" s="177">
        <f t="shared" si="0"/>
        <v>1</v>
      </c>
      <c r="Q10" s="177">
        <f t="shared" si="0"/>
        <v>1</v>
      </c>
      <c r="R10" s="177">
        <f t="shared" si="0"/>
        <v>1</v>
      </c>
      <c r="S10" s="177">
        <f t="shared" si="0"/>
        <v>1</v>
      </c>
      <c r="T10" s="177">
        <f t="shared" si="0"/>
        <v>1</v>
      </c>
      <c r="U10" s="177">
        <f t="shared" si="0"/>
        <v>1</v>
      </c>
      <c r="V10" s="177">
        <f t="shared" si="0"/>
        <v>1</v>
      </c>
      <c r="W10" s="177">
        <f t="shared" si="0"/>
        <v>1</v>
      </c>
    </row>
    <row r="11" spans="1:23">
      <c r="A11" s="159"/>
      <c r="B11" s="161" t="s">
        <v>232</v>
      </c>
      <c r="C11" s="177">
        <v>0.01</v>
      </c>
      <c r="D11" s="177">
        <v>0.01</v>
      </c>
      <c r="E11" s="177">
        <v>0.01</v>
      </c>
      <c r="F11" s="177">
        <v>0.01</v>
      </c>
      <c r="G11" s="177">
        <v>0.01</v>
      </c>
      <c r="H11" s="177">
        <v>0.01</v>
      </c>
      <c r="I11" s="177">
        <v>0.01</v>
      </c>
      <c r="J11" s="177">
        <v>0.01</v>
      </c>
      <c r="K11" s="177">
        <v>0.01</v>
      </c>
      <c r="L11" s="177">
        <v>0.01</v>
      </c>
      <c r="M11" s="177">
        <v>0.01</v>
      </c>
      <c r="N11" s="177">
        <v>0.01</v>
      </c>
      <c r="O11" s="177">
        <v>0.01</v>
      </c>
      <c r="P11" s="177">
        <v>0.01</v>
      </c>
      <c r="Q11" s="177">
        <v>0.01</v>
      </c>
      <c r="R11" s="177">
        <v>0.01</v>
      </c>
      <c r="S11" s="177">
        <v>0.01</v>
      </c>
      <c r="T11" s="177">
        <v>0.01</v>
      </c>
      <c r="U11" s="177">
        <v>0.01</v>
      </c>
      <c r="V11" s="177">
        <v>0.01</v>
      </c>
      <c r="W11" s="177">
        <v>0.01</v>
      </c>
    </row>
    <row r="12" spans="1:23">
      <c r="A12" s="159"/>
      <c r="B12" s="161" t="s">
        <v>352</v>
      </c>
      <c r="C12" s="177">
        <v>1</v>
      </c>
      <c r="D12" s="177">
        <v>1</v>
      </c>
      <c r="E12" s="177">
        <v>1</v>
      </c>
      <c r="F12" s="177">
        <v>1</v>
      </c>
      <c r="G12" s="177">
        <v>1</v>
      </c>
      <c r="H12" s="177">
        <v>1</v>
      </c>
      <c r="I12" s="177">
        <v>1</v>
      </c>
      <c r="J12" s="177">
        <v>1</v>
      </c>
      <c r="K12" s="177">
        <v>1</v>
      </c>
      <c r="L12" s="177">
        <v>1</v>
      </c>
      <c r="M12" s="177">
        <v>1</v>
      </c>
      <c r="N12" s="177">
        <v>1</v>
      </c>
      <c r="O12" s="177">
        <v>1</v>
      </c>
      <c r="P12" s="177">
        <v>1</v>
      </c>
      <c r="Q12" s="177">
        <v>1</v>
      </c>
      <c r="R12" s="177">
        <v>1</v>
      </c>
      <c r="S12" s="177">
        <v>1</v>
      </c>
      <c r="T12" s="177">
        <v>1</v>
      </c>
      <c r="U12" s="177">
        <v>1</v>
      </c>
      <c r="V12" s="177">
        <v>1</v>
      </c>
      <c r="W12" s="177">
        <v>1</v>
      </c>
    </row>
    <row r="13" spans="1:23" ht="16.2" thickBot="1">
      <c r="A13" s="170"/>
      <c r="B13" s="170"/>
      <c r="C13" s="170"/>
      <c r="D13" s="178"/>
      <c r="E13" s="178"/>
      <c r="F13" s="178"/>
      <c r="G13" s="178"/>
      <c r="H13" s="178"/>
      <c r="I13" s="178"/>
      <c r="J13" s="178"/>
      <c r="K13" s="178"/>
      <c r="L13" s="178"/>
      <c r="M13" s="179"/>
      <c r="N13" s="179"/>
      <c r="O13" s="179"/>
      <c r="P13" s="179"/>
      <c r="Q13" s="179"/>
      <c r="R13" s="179"/>
      <c r="S13" s="179"/>
      <c r="T13" s="179"/>
      <c r="U13" s="179"/>
      <c r="V13" s="179"/>
      <c r="W13" s="179"/>
    </row>
    <row r="14" spans="1:23" ht="15.6">
      <c r="A14" s="154" t="s">
        <v>358</v>
      </c>
      <c r="B14" s="155"/>
      <c r="C14" s="155"/>
      <c r="D14" s="156"/>
      <c r="E14" s="156"/>
      <c r="F14" s="156"/>
      <c r="G14" s="156"/>
      <c r="H14" s="156"/>
      <c r="I14" s="156"/>
      <c r="J14" s="156"/>
      <c r="K14" s="156"/>
      <c r="L14" s="156"/>
      <c r="M14" s="157"/>
      <c r="N14" s="157"/>
      <c r="O14" s="157"/>
      <c r="P14" s="157"/>
      <c r="Q14" s="157"/>
      <c r="R14" s="157"/>
      <c r="S14" s="157"/>
      <c r="T14" s="157"/>
      <c r="U14" s="157"/>
      <c r="V14" s="157"/>
      <c r="W14" s="158"/>
    </row>
    <row r="15" spans="1:23" ht="15.6">
      <c r="A15" s="188"/>
      <c r="B15" s="161" t="s">
        <v>241</v>
      </c>
      <c r="C15" s="176">
        <f>KeyAssumptions!AE10</f>
        <v>1</v>
      </c>
      <c r="D15" s="166"/>
      <c r="E15" s="166"/>
      <c r="F15" s="166"/>
      <c r="G15" s="166"/>
      <c r="H15" s="166"/>
      <c r="I15" s="166"/>
      <c r="J15" s="166"/>
      <c r="K15" s="166"/>
      <c r="L15" s="166"/>
      <c r="M15" s="167"/>
      <c r="N15" s="167"/>
      <c r="O15" s="167"/>
      <c r="P15" s="167"/>
      <c r="Q15" s="167"/>
      <c r="R15" s="167"/>
      <c r="S15" s="167"/>
      <c r="T15" s="167"/>
      <c r="U15" s="167"/>
      <c r="V15" s="167"/>
      <c r="W15" s="168"/>
    </row>
    <row r="16" spans="1:23" ht="15.6">
      <c r="A16" s="188"/>
      <c r="B16" s="161" t="s">
        <v>207</v>
      </c>
      <c r="C16" s="177">
        <f>KeyAssumptions!AF10</f>
        <v>0.15</v>
      </c>
      <c r="D16" s="166"/>
      <c r="E16" s="166"/>
      <c r="F16" s="166"/>
      <c r="G16" s="166"/>
      <c r="H16" s="166"/>
      <c r="I16" s="166"/>
      <c r="J16" s="166"/>
      <c r="K16" s="166"/>
      <c r="L16" s="166"/>
      <c r="M16" s="167"/>
      <c r="N16" s="167"/>
      <c r="O16" s="167"/>
      <c r="P16" s="167"/>
      <c r="Q16" s="167"/>
      <c r="R16" s="167"/>
      <c r="S16" s="167"/>
      <c r="T16" s="167"/>
      <c r="U16" s="167"/>
      <c r="V16" s="167"/>
      <c r="W16" s="168"/>
    </row>
    <row r="17" spans="1:23" ht="15.75" customHeight="1">
      <c r="A17" s="188"/>
      <c r="B17" s="191" t="s">
        <v>355</v>
      </c>
      <c r="C17" s="177">
        <v>0.95</v>
      </c>
      <c r="D17" s="166"/>
      <c r="E17" s="166"/>
      <c r="F17" s="166"/>
      <c r="G17" s="166"/>
      <c r="H17" s="166"/>
      <c r="I17" s="166"/>
      <c r="J17" s="166"/>
      <c r="K17" s="166"/>
      <c r="L17" s="166"/>
      <c r="M17" s="167"/>
      <c r="N17" s="167"/>
      <c r="O17" s="167"/>
      <c r="P17" s="167"/>
      <c r="Q17" s="167"/>
      <c r="R17" s="167"/>
      <c r="S17" s="167"/>
      <c r="T17" s="167"/>
      <c r="U17" s="167"/>
      <c r="V17" s="167"/>
      <c r="W17" s="168"/>
    </row>
    <row r="18" spans="1:23" ht="15.6">
      <c r="A18" s="188"/>
      <c r="B18" s="160"/>
      <c r="C18" s="160"/>
      <c r="D18" s="166"/>
      <c r="E18" s="166"/>
      <c r="F18" s="166"/>
      <c r="G18" s="166"/>
      <c r="H18" s="166"/>
      <c r="I18" s="166"/>
      <c r="J18" s="166"/>
      <c r="K18" s="166"/>
      <c r="L18" s="166"/>
      <c r="M18" s="167"/>
      <c r="N18" s="167"/>
      <c r="O18" s="167"/>
      <c r="P18" s="167"/>
      <c r="Q18" s="167"/>
      <c r="R18" s="167"/>
      <c r="S18" s="167"/>
      <c r="T18" s="167"/>
      <c r="U18" s="167"/>
      <c r="V18" s="167"/>
      <c r="W18" s="168"/>
    </row>
    <row r="19" spans="1:23">
      <c r="A19" s="159"/>
      <c r="B19" s="161" t="s">
        <v>1</v>
      </c>
      <c r="C19" s="162">
        <v>2015</v>
      </c>
      <c r="D19" s="162">
        <v>2016</v>
      </c>
      <c r="E19" s="162">
        <v>2017</v>
      </c>
      <c r="F19" s="162">
        <v>2018</v>
      </c>
      <c r="G19" s="162">
        <v>2019</v>
      </c>
      <c r="H19" s="162">
        <v>2020</v>
      </c>
      <c r="I19" s="162">
        <v>2021</v>
      </c>
      <c r="J19" s="162">
        <v>2022</v>
      </c>
      <c r="K19" s="162">
        <v>2023</v>
      </c>
      <c r="L19" s="162">
        <v>2024</v>
      </c>
      <c r="M19" s="162">
        <v>2025</v>
      </c>
      <c r="N19" s="162">
        <v>2026</v>
      </c>
      <c r="O19" s="162">
        <v>2027</v>
      </c>
      <c r="P19" s="162">
        <v>2028</v>
      </c>
      <c r="Q19" s="162">
        <v>2029</v>
      </c>
      <c r="R19" s="162">
        <v>2030</v>
      </c>
      <c r="S19" s="162">
        <v>2031</v>
      </c>
      <c r="T19" s="162">
        <v>2032</v>
      </c>
      <c r="U19" s="162">
        <v>2033</v>
      </c>
      <c r="V19" s="162">
        <v>2034</v>
      </c>
      <c r="W19" s="163">
        <v>2035</v>
      </c>
    </row>
    <row r="20" spans="1:23">
      <c r="A20" s="159"/>
      <c r="B20" s="161" t="s">
        <v>231</v>
      </c>
      <c r="C20" s="177">
        <v>0.05</v>
      </c>
      <c r="D20" s="177">
        <v>0.2</v>
      </c>
      <c r="E20" s="177">
        <v>0.2</v>
      </c>
      <c r="F20" s="177">
        <v>0.2</v>
      </c>
      <c r="G20" s="177">
        <v>0.2</v>
      </c>
      <c r="H20" s="177">
        <v>0.15</v>
      </c>
      <c r="I20" s="177">
        <v>0</v>
      </c>
      <c r="J20" s="177">
        <v>0</v>
      </c>
      <c r="K20" s="177">
        <v>0</v>
      </c>
      <c r="L20" s="177">
        <v>0</v>
      </c>
      <c r="M20" s="177">
        <v>0</v>
      </c>
      <c r="N20" s="177">
        <v>0</v>
      </c>
      <c r="O20" s="177">
        <v>0</v>
      </c>
      <c r="P20" s="177">
        <v>0</v>
      </c>
      <c r="Q20" s="177">
        <v>0</v>
      </c>
      <c r="R20" s="177">
        <v>0</v>
      </c>
      <c r="S20" s="177">
        <v>0</v>
      </c>
      <c r="T20" s="177">
        <v>0</v>
      </c>
      <c r="U20" s="177">
        <v>0</v>
      </c>
      <c r="V20" s="177">
        <v>0</v>
      </c>
      <c r="W20" s="177">
        <v>0</v>
      </c>
    </row>
    <row r="21" spans="1:23">
      <c r="A21" s="159"/>
      <c r="B21" s="161" t="s">
        <v>237</v>
      </c>
      <c r="C21" s="177">
        <f>C20</f>
        <v>0.05</v>
      </c>
      <c r="D21" s="177">
        <f t="shared" ref="D21:W21" si="1">C21+D20</f>
        <v>0.25</v>
      </c>
      <c r="E21" s="177">
        <f t="shared" si="1"/>
        <v>0.45</v>
      </c>
      <c r="F21" s="177">
        <f t="shared" si="1"/>
        <v>0.65</v>
      </c>
      <c r="G21" s="177">
        <f t="shared" si="1"/>
        <v>0.85000000000000009</v>
      </c>
      <c r="H21" s="177">
        <f t="shared" si="1"/>
        <v>1</v>
      </c>
      <c r="I21" s="177">
        <f t="shared" si="1"/>
        <v>1</v>
      </c>
      <c r="J21" s="177">
        <f t="shared" si="1"/>
        <v>1</v>
      </c>
      <c r="K21" s="177">
        <f t="shared" si="1"/>
        <v>1</v>
      </c>
      <c r="L21" s="177">
        <f t="shared" si="1"/>
        <v>1</v>
      </c>
      <c r="M21" s="177">
        <f t="shared" si="1"/>
        <v>1</v>
      </c>
      <c r="N21" s="177">
        <f t="shared" si="1"/>
        <v>1</v>
      </c>
      <c r="O21" s="177">
        <f t="shared" si="1"/>
        <v>1</v>
      </c>
      <c r="P21" s="177">
        <f t="shared" si="1"/>
        <v>1</v>
      </c>
      <c r="Q21" s="177">
        <f t="shared" si="1"/>
        <v>1</v>
      </c>
      <c r="R21" s="177">
        <f t="shared" si="1"/>
        <v>1</v>
      </c>
      <c r="S21" s="177">
        <f t="shared" si="1"/>
        <v>1</v>
      </c>
      <c r="T21" s="177">
        <f t="shared" si="1"/>
        <v>1</v>
      </c>
      <c r="U21" s="177">
        <f t="shared" si="1"/>
        <v>1</v>
      </c>
      <c r="V21" s="177">
        <f t="shared" si="1"/>
        <v>1</v>
      </c>
      <c r="W21" s="177">
        <f t="shared" si="1"/>
        <v>1</v>
      </c>
    </row>
    <row r="22" spans="1:23">
      <c r="A22" s="159"/>
      <c r="B22" s="161" t="s">
        <v>232</v>
      </c>
      <c r="C22" s="177">
        <v>0.01</v>
      </c>
      <c r="D22" s="177">
        <v>0.01</v>
      </c>
      <c r="E22" s="177">
        <v>0.01</v>
      </c>
      <c r="F22" s="177">
        <v>0.01</v>
      </c>
      <c r="G22" s="177">
        <v>0.01</v>
      </c>
      <c r="H22" s="177">
        <v>0.01</v>
      </c>
      <c r="I22" s="177">
        <v>0.01</v>
      </c>
      <c r="J22" s="177">
        <v>0.01</v>
      </c>
      <c r="K22" s="177">
        <v>0.01</v>
      </c>
      <c r="L22" s="177">
        <v>0.01</v>
      </c>
      <c r="M22" s="177">
        <v>0.01</v>
      </c>
      <c r="N22" s="177">
        <v>0.01</v>
      </c>
      <c r="O22" s="177">
        <v>0.01</v>
      </c>
      <c r="P22" s="177">
        <v>0.01</v>
      </c>
      <c r="Q22" s="177">
        <v>0.01</v>
      </c>
      <c r="R22" s="177">
        <v>0.01</v>
      </c>
      <c r="S22" s="177">
        <v>0.01</v>
      </c>
      <c r="T22" s="177">
        <v>0.01</v>
      </c>
      <c r="U22" s="177">
        <v>0.01</v>
      </c>
      <c r="V22" s="177">
        <v>0.01</v>
      </c>
      <c r="W22" s="177">
        <v>0.01</v>
      </c>
    </row>
    <row r="23" spans="1:23">
      <c r="A23" s="159"/>
      <c r="B23" s="161" t="s">
        <v>351</v>
      </c>
      <c r="C23" s="177">
        <v>1</v>
      </c>
      <c r="D23" s="177">
        <v>1</v>
      </c>
      <c r="E23" s="177">
        <v>1</v>
      </c>
      <c r="F23" s="177">
        <v>1</v>
      </c>
      <c r="G23" s="177">
        <v>1</v>
      </c>
      <c r="H23" s="177">
        <v>1</v>
      </c>
      <c r="I23" s="177">
        <v>1</v>
      </c>
      <c r="J23" s="177">
        <v>1</v>
      </c>
      <c r="K23" s="177">
        <v>1</v>
      </c>
      <c r="L23" s="177">
        <v>1</v>
      </c>
      <c r="M23" s="177">
        <v>1</v>
      </c>
      <c r="N23" s="177">
        <v>1</v>
      </c>
      <c r="O23" s="177">
        <v>1</v>
      </c>
      <c r="P23" s="177">
        <v>1</v>
      </c>
      <c r="Q23" s="177">
        <v>1</v>
      </c>
      <c r="R23" s="177">
        <v>1</v>
      </c>
      <c r="S23" s="177">
        <v>1</v>
      </c>
      <c r="T23" s="177">
        <v>1</v>
      </c>
      <c r="U23" s="177">
        <v>1</v>
      </c>
      <c r="V23" s="177">
        <v>1</v>
      </c>
      <c r="W23" s="177">
        <v>1</v>
      </c>
    </row>
    <row r="24" spans="1:23" ht="13.8" thickBot="1">
      <c r="A24" s="180"/>
      <c r="B24" s="180"/>
      <c r="C24" s="175"/>
      <c r="D24" s="175"/>
      <c r="E24" s="175"/>
      <c r="F24" s="175"/>
      <c r="G24" s="175"/>
      <c r="H24" s="175"/>
      <c r="I24" s="175"/>
      <c r="J24" s="175"/>
      <c r="K24" s="175"/>
      <c r="L24" s="175"/>
      <c r="M24" s="175"/>
      <c r="N24" s="175"/>
      <c r="O24" s="175"/>
      <c r="P24" s="175"/>
      <c r="Q24" s="175"/>
      <c r="R24" s="175"/>
      <c r="S24" s="175"/>
      <c r="T24" s="175"/>
      <c r="U24" s="175"/>
      <c r="V24" s="175"/>
      <c r="W24" s="175"/>
    </row>
    <row r="25" spans="1:23" ht="14.4" thickBot="1">
      <c r="A25" s="189" t="s">
        <v>240</v>
      </c>
      <c r="B25" s="190"/>
      <c r="C25" s="183"/>
      <c r="D25" s="183"/>
      <c r="E25" s="183"/>
      <c r="F25" s="183"/>
      <c r="G25" s="183"/>
      <c r="H25" s="183"/>
      <c r="I25" s="183"/>
      <c r="J25" s="183"/>
      <c r="K25" s="183"/>
      <c r="L25" s="183"/>
      <c r="M25" s="183"/>
      <c r="N25" s="183"/>
      <c r="O25" s="183"/>
      <c r="P25" s="183"/>
      <c r="Q25" s="183"/>
      <c r="R25" s="183"/>
      <c r="S25" s="183"/>
      <c r="T25" s="183"/>
      <c r="U25" s="183"/>
      <c r="V25" s="183"/>
      <c r="W25" s="184"/>
    </row>
    <row r="26" spans="1:23">
      <c r="A26" s="77" t="s">
        <v>212</v>
      </c>
      <c r="B26" s="77"/>
      <c r="F26" s="78"/>
      <c r="G26" s="78"/>
    </row>
    <row r="28" spans="1:23">
      <c r="A28" s="79"/>
      <c r="B28" s="210"/>
      <c r="C28" s="504" t="s">
        <v>213</v>
      </c>
      <c r="D28" s="504"/>
      <c r="E28" s="504"/>
      <c r="F28" s="504"/>
      <c r="G28" s="504"/>
      <c r="H28" s="504"/>
      <c r="I28" s="504"/>
      <c r="J28" s="504"/>
      <c r="K28" s="504"/>
      <c r="L28" s="504"/>
      <c r="M28" s="504"/>
      <c r="N28" s="504"/>
      <c r="O28" s="504"/>
      <c r="P28" s="504"/>
      <c r="Q28" s="504"/>
      <c r="R28" s="504"/>
      <c r="S28" s="504"/>
      <c r="T28" s="504"/>
      <c r="U28" s="504"/>
      <c r="V28" s="504"/>
      <c r="W28" s="504"/>
    </row>
    <row r="29" spans="1:23" ht="16.5" customHeight="1">
      <c r="A29" s="81" t="s">
        <v>214</v>
      </c>
      <c r="B29" s="82"/>
      <c r="C29" s="211">
        <v>2015</v>
      </c>
      <c r="D29" s="211">
        <v>2016</v>
      </c>
      <c r="E29" s="211">
        <v>2017</v>
      </c>
      <c r="F29" s="211">
        <v>2018</v>
      </c>
      <c r="G29" s="211">
        <v>2019</v>
      </c>
      <c r="H29" s="211">
        <v>2020</v>
      </c>
      <c r="I29" s="211">
        <v>2021</v>
      </c>
      <c r="J29" s="211">
        <v>2022</v>
      </c>
      <c r="K29" s="211">
        <v>2023</v>
      </c>
      <c r="L29" s="211">
        <v>2024</v>
      </c>
      <c r="M29" s="211">
        <v>2025</v>
      </c>
      <c r="N29" s="211">
        <v>2026</v>
      </c>
      <c r="O29" s="211">
        <v>2027</v>
      </c>
      <c r="P29" s="211">
        <v>2028</v>
      </c>
      <c r="Q29" s="211">
        <v>2029</v>
      </c>
      <c r="R29" s="211">
        <v>2030</v>
      </c>
      <c r="S29" s="211">
        <v>2031</v>
      </c>
      <c r="T29" s="211">
        <v>2032</v>
      </c>
      <c r="U29" s="211">
        <v>2033</v>
      </c>
      <c r="V29" s="211">
        <v>2034</v>
      </c>
      <c r="W29" s="211">
        <v>2035</v>
      </c>
    </row>
    <row r="30" spans="1:23" ht="12.75" customHeight="1">
      <c r="A30" s="84"/>
      <c r="B30" s="85"/>
      <c r="C30" s="84"/>
      <c r="D30" s="84"/>
      <c r="E30" s="84"/>
      <c r="F30" s="84"/>
      <c r="G30" s="84"/>
      <c r="H30" s="86"/>
      <c r="I30" s="84"/>
      <c r="J30" s="84"/>
      <c r="K30" s="84"/>
      <c r="L30" s="84"/>
      <c r="M30" s="84"/>
      <c r="N30" s="84"/>
      <c r="O30" s="84"/>
      <c r="P30" s="84"/>
      <c r="Q30" s="84"/>
      <c r="R30" s="84"/>
      <c r="S30" s="84"/>
      <c r="T30" s="84"/>
      <c r="U30" s="84"/>
      <c r="V30" s="84"/>
      <c r="W30" s="84"/>
    </row>
    <row r="31" spans="1:23" ht="12.75" customHeight="1">
      <c r="A31" s="169" t="s">
        <v>339</v>
      </c>
      <c r="B31" s="85"/>
      <c r="C31" s="88">
        <f>C41</f>
        <v>3.5311780959441692</v>
      </c>
      <c r="D31" s="88">
        <f t="shared" ref="D31:W31" si="2">D41-C41</f>
        <v>94.994459079926813</v>
      </c>
      <c r="E31" s="88">
        <f t="shared" si="2"/>
        <v>254.80259269550032</v>
      </c>
      <c r="F31" s="88">
        <f t="shared" si="2"/>
        <v>456.42975108325078</v>
      </c>
      <c r="G31" s="88">
        <f t="shared" si="2"/>
        <v>701.71350758545645</v>
      </c>
      <c r="H31" s="88">
        <f t="shared" si="2"/>
        <v>606.0173821807025</v>
      </c>
      <c r="I31" s="88">
        <f t="shared" si="2"/>
        <v>25.432305838667162</v>
      </c>
      <c r="J31" s="88">
        <f t="shared" si="2"/>
        <v>28.471478780132657</v>
      </c>
      <c r="K31" s="88">
        <f t="shared" si="2"/>
        <v>28.204842102675684</v>
      </c>
      <c r="L31" s="88">
        <f t="shared" si="2"/>
        <v>29.612790922160457</v>
      </c>
      <c r="M31" s="88">
        <f t="shared" si="2"/>
        <v>28.452931376953529</v>
      </c>
      <c r="N31" s="88">
        <f t="shared" si="2"/>
        <v>27.958082840123097</v>
      </c>
      <c r="O31" s="88">
        <f t="shared" si="2"/>
        <v>27.584547164832657</v>
      </c>
      <c r="P31" s="88">
        <f t="shared" si="2"/>
        <v>27.489321950803969</v>
      </c>
      <c r="Q31" s="88">
        <f t="shared" si="2"/>
        <v>27.332056843430564</v>
      </c>
      <c r="R31" s="88">
        <f t="shared" si="2"/>
        <v>26.17221435354304</v>
      </c>
      <c r="S31" s="88">
        <f t="shared" si="2"/>
        <v>27.086802232881837</v>
      </c>
      <c r="T31" s="88">
        <f t="shared" si="2"/>
        <v>28.193947767273585</v>
      </c>
      <c r="U31" s="88">
        <f t="shared" si="2"/>
        <v>28.356194364777366</v>
      </c>
      <c r="V31" s="88">
        <f t="shared" si="2"/>
        <v>27.713992029716337</v>
      </c>
      <c r="W31" s="88">
        <f t="shared" si="2"/>
        <v>28.023966230664882</v>
      </c>
    </row>
    <row r="32" spans="1:23" ht="12.75" customHeight="1">
      <c r="A32" s="169" t="s">
        <v>360</v>
      </c>
      <c r="B32" s="85"/>
      <c r="C32" s="88">
        <f>C42</f>
        <v>1.0147063494092445</v>
      </c>
      <c r="D32" s="88">
        <f t="shared" ref="D32:W32" si="3">D42-C42</f>
        <v>24.723443383054448</v>
      </c>
      <c r="E32" s="88">
        <f t="shared" si="3"/>
        <v>58.87110071566164</v>
      </c>
      <c r="F32" s="88">
        <f t="shared" si="3"/>
        <v>94.382345695690375</v>
      </c>
      <c r="G32" s="88">
        <f t="shared" si="3"/>
        <v>131.24475207869634</v>
      </c>
      <c r="H32" s="88">
        <f t="shared" si="3"/>
        <v>124.38780422428209</v>
      </c>
      <c r="I32" s="88">
        <f t="shared" si="3"/>
        <v>5.2200956154900382</v>
      </c>
      <c r="J32" s="88">
        <f t="shared" si="3"/>
        <v>5.8438995854130553</v>
      </c>
      <c r="K32" s="88">
        <f t="shared" si="3"/>
        <v>5.789171203340743</v>
      </c>
      <c r="L32" s="88">
        <f t="shared" si="3"/>
        <v>6.0781590562726251</v>
      </c>
      <c r="M32" s="88">
        <f t="shared" si="3"/>
        <v>5.8400926471579737</v>
      </c>
      <c r="N32" s="88">
        <f t="shared" si="3"/>
        <v>5.7385227504357772</v>
      </c>
      <c r="O32" s="88">
        <f t="shared" si="3"/>
        <v>5.6618528663449865</v>
      </c>
      <c r="P32" s="88">
        <f t="shared" si="3"/>
        <v>5.6423074611666379</v>
      </c>
      <c r="Q32" s="88">
        <f t="shared" si="3"/>
        <v>5.6100280877319619</v>
      </c>
      <c r="R32" s="88">
        <f t="shared" si="3"/>
        <v>5.3719651792986269</v>
      </c>
      <c r="S32" s="88">
        <f t="shared" si="3"/>
        <v>5.5596884714453836</v>
      </c>
      <c r="T32" s="88">
        <f t="shared" si="3"/>
        <v>5.7869350918050486</v>
      </c>
      <c r="U32" s="88">
        <f t="shared" si="3"/>
        <v>5.8202369385832071</v>
      </c>
      <c r="V32" s="88">
        <f t="shared" si="3"/>
        <v>5.688422009383487</v>
      </c>
      <c r="W32" s="88">
        <f t="shared" si="3"/>
        <v>5.7520456138474856</v>
      </c>
    </row>
    <row r="33" spans="1:23" ht="12.75" customHeight="1">
      <c r="A33" s="169"/>
      <c r="B33" s="85"/>
      <c r="C33" s="88"/>
      <c r="D33" s="88"/>
      <c r="E33" s="88"/>
      <c r="F33" s="88"/>
      <c r="G33" s="88"/>
      <c r="H33" s="88"/>
      <c r="I33" s="88"/>
      <c r="J33" s="88"/>
      <c r="K33" s="88"/>
      <c r="L33" s="88"/>
      <c r="M33" s="88"/>
      <c r="N33" s="88"/>
      <c r="O33" s="88"/>
      <c r="P33" s="88"/>
      <c r="Q33" s="88"/>
      <c r="R33" s="88"/>
      <c r="S33" s="88"/>
      <c r="T33" s="88"/>
      <c r="U33" s="88"/>
      <c r="V33" s="88"/>
      <c r="W33" s="88"/>
    </row>
    <row r="34" spans="1:23">
      <c r="A34" s="93" t="s">
        <v>216</v>
      </c>
      <c r="B34" s="94"/>
      <c r="C34" s="95">
        <f t="shared" ref="C34:W34" si="4">SUM(C31:C32)</f>
        <v>4.5458844453534137</v>
      </c>
      <c r="D34" s="95">
        <f t="shared" si="4"/>
        <v>119.71790246298126</v>
      </c>
      <c r="E34" s="95">
        <f t="shared" si="4"/>
        <v>313.67369341116193</v>
      </c>
      <c r="F34" s="95">
        <f t="shared" si="4"/>
        <v>550.81209677894117</v>
      </c>
      <c r="G34" s="95">
        <f t="shared" si="4"/>
        <v>832.95825966415282</v>
      </c>
      <c r="H34" s="95">
        <f t="shared" si="4"/>
        <v>730.40518640498453</v>
      </c>
      <c r="I34" s="95">
        <f t="shared" si="4"/>
        <v>30.6524014541572</v>
      </c>
      <c r="J34" s="95">
        <f t="shared" si="4"/>
        <v>34.315378365545712</v>
      </c>
      <c r="K34" s="95">
        <f t="shared" si="4"/>
        <v>33.994013306016427</v>
      </c>
      <c r="L34" s="95">
        <f t="shared" si="4"/>
        <v>35.690949978433082</v>
      </c>
      <c r="M34" s="95">
        <f t="shared" si="4"/>
        <v>34.293024024111503</v>
      </c>
      <c r="N34" s="95">
        <f t="shared" si="4"/>
        <v>33.696605590558875</v>
      </c>
      <c r="O34" s="95">
        <f t="shared" si="4"/>
        <v>33.246400031177643</v>
      </c>
      <c r="P34" s="95">
        <f t="shared" si="4"/>
        <v>33.131629411970607</v>
      </c>
      <c r="Q34" s="95">
        <f t="shared" si="4"/>
        <v>32.942084931162526</v>
      </c>
      <c r="R34" s="95">
        <f t="shared" si="4"/>
        <v>31.544179532841667</v>
      </c>
      <c r="S34" s="95">
        <f t="shared" si="4"/>
        <v>32.646490704327221</v>
      </c>
      <c r="T34" s="95">
        <f t="shared" si="4"/>
        <v>33.980882859078633</v>
      </c>
      <c r="U34" s="95">
        <f t="shared" si="4"/>
        <v>34.176431303360573</v>
      </c>
      <c r="V34" s="95">
        <f t="shared" si="4"/>
        <v>33.402414039099824</v>
      </c>
      <c r="W34" s="95">
        <f t="shared" si="4"/>
        <v>33.776011844512368</v>
      </c>
    </row>
    <row r="35" spans="1:23">
      <c r="A35" s="96"/>
      <c r="B35" s="96"/>
      <c r="C35" s="97"/>
      <c r="D35" s="97"/>
      <c r="E35" s="97"/>
      <c r="F35" s="97"/>
      <c r="G35" s="97"/>
      <c r="H35" s="97"/>
      <c r="I35" s="97"/>
      <c r="J35" s="96"/>
      <c r="K35" s="96"/>
      <c r="L35" s="96"/>
    </row>
    <row r="36" spans="1:23">
      <c r="A36" s="98" t="s">
        <v>217</v>
      </c>
      <c r="B36" s="98"/>
      <c r="C36" s="99"/>
      <c r="D36" s="99"/>
      <c r="E36" s="99"/>
      <c r="F36" s="99"/>
      <c r="G36" s="99"/>
      <c r="H36" s="99"/>
      <c r="I36" s="99"/>
      <c r="J36" s="100"/>
      <c r="K36" s="100"/>
      <c r="L36" s="100"/>
    </row>
    <row r="37" spans="1:23">
      <c r="A37" s="98"/>
      <c r="B37" s="98"/>
      <c r="C37" s="99"/>
      <c r="D37" s="99"/>
      <c r="E37" s="99"/>
      <c r="F37" s="99"/>
      <c r="G37" s="99"/>
      <c r="H37" s="99"/>
      <c r="I37" s="99"/>
      <c r="J37" s="100"/>
      <c r="K37" s="100"/>
      <c r="L37" s="100"/>
    </row>
    <row r="38" spans="1:23">
      <c r="A38" s="509" t="s">
        <v>214</v>
      </c>
      <c r="B38" s="511"/>
      <c r="C38" s="504" t="s">
        <v>218</v>
      </c>
      <c r="D38" s="504"/>
      <c r="E38" s="504"/>
      <c r="F38" s="504"/>
      <c r="G38" s="504"/>
      <c r="H38" s="504"/>
      <c r="I38" s="504"/>
      <c r="J38" s="504"/>
      <c r="K38" s="504"/>
      <c r="L38" s="504"/>
      <c r="M38" s="504"/>
      <c r="N38" s="504"/>
      <c r="O38" s="504"/>
      <c r="P38" s="504"/>
      <c r="Q38" s="504"/>
      <c r="R38" s="504"/>
      <c r="S38" s="504"/>
      <c r="T38" s="504"/>
      <c r="U38" s="504"/>
      <c r="V38" s="504"/>
      <c r="W38" s="504"/>
    </row>
    <row r="39" spans="1:23">
      <c r="A39" s="510"/>
      <c r="B39" s="512"/>
      <c r="C39" s="211">
        <v>2015</v>
      </c>
      <c r="D39" s="211">
        <v>2016</v>
      </c>
      <c r="E39" s="211">
        <v>2017</v>
      </c>
      <c r="F39" s="211">
        <v>2018</v>
      </c>
      <c r="G39" s="211">
        <v>2019</v>
      </c>
      <c r="H39" s="211">
        <v>2020</v>
      </c>
      <c r="I39" s="211">
        <v>2021</v>
      </c>
      <c r="J39" s="211">
        <v>2022</v>
      </c>
      <c r="K39" s="211">
        <v>2023</v>
      </c>
      <c r="L39" s="211">
        <v>2024</v>
      </c>
      <c r="M39" s="211">
        <v>2025</v>
      </c>
      <c r="N39" s="211">
        <v>2026</v>
      </c>
      <c r="O39" s="211">
        <v>2027</v>
      </c>
      <c r="P39" s="211">
        <v>2028</v>
      </c>
      <c r="Q39" s="211">
        <v>2029</v>
      </c>
      <c r="R39" s="211">
        <v>2030</v>
      </c>
      <c r="S39" s="211">
        <v>2031</v>
      </c>
      <c r="T39" s="211">
        <v>2032</v>
      </c>
      <c r="U39" s="211">
        <v>2033</v>
      </c>
      <c r="V39" s="211">
        <v>2034</v>
      </c>
      <c r="W39" s="211">
        <v>2035</v>
      </c>
    </row>
    <row r="40" spans="1:23">
      <c r="A40" s="84"/>
      <c r="B40" s="87"/>
      <c r="C40" s="92"/>
      <c r="D40" s="92"/>
      <c r="E40" s="92"/>
      <c r="F40" s="92"/>
      <c r="G40" s="92"/>
      <c r="H40" s="92"/>
      <c r="I40" s="92"/>
      <c r="J40" s="92"/>
      <c r="K40" s="92"/>
      <c r="L40" s="92"/>
      <c r="M40" s="92"/>
      <c r="N40" s="92"/>
      <c r="O40" s="92"/>
      <c r="P40" s="92"/>
      <c r="Q40" s="92"/>
      <c r="R40" s="92"/>
      <c r="S40" s="92"/>
      <c r="T40" s="92"/>
      <c r="U40" s="92"/>
      <c r="V40" s="92"/>
      <c r="W40" s="92"/>
    </row>
    <row r="41" spans="1:23">
      <c r="A41" s="103" t="str">
        <f>+A31</f>
        <v>a. Space Cooling, Medium - AutoDR</v>
      </c>
      <c r="B41" s="104"/>
      <c r="C41" s="92">
        <f>'Com-Capacity-Smart'!C59*$C$4*$C$5*C12*C10*(1-C11)</f>
        <v>3.5311780959441692</v>
      </c>
      <c r="D41" s="92">
        <f>'Com-Capacity-Smart'!D59*$C$4*$C$5*D12*D10*(1-D11)</f>
        <v>98.525637175870983</v>
      </c>
      <c r="E41" s="92">
        <f>'Com-Capacity-Smart'!E59*$C$4*$C$5*E12*E10*(1-E11)</f>
        <v>353.32822987137132</v>
      </c>
      <c r="F41" s="92">
        <f>'Com-Capacity-Smart'!F59*$C$4*$C$5*F12*F10*(1-F11)</f>
        <v>809.7579809546221</v>
      </c>
      <c r="G41" s="92">
        <f>'Com-Capacity-Smart'!G59*$C$4*$C$5*G12*G10*(1-G11)</f>
        <v>1511.4714885400786</v>
      </c>
      <c r="H41" s="92">
        <f>'Com-Capacity-Smart'!H59*$C$4*$C$5*H12*H10*(1-H11)</f>
        <v>2117.4888707207811</v>
      </c>
      <c r="I41" s="92">
        <f>'Com-Capacity-Smart'!I59*$C$4*$C$5*I12*I10*(1-I11)</f>
        <v>2142.9211765594482</v>
      </c>
      <c r="J41" s="92">
        <f>'Com-Capacity-Smart'!J59*$C$4*$C$5*J12*J10*(1-J11)</f>
        <v>2171.3926553395809</v>
      </c>
      <c r="K41" s="92">
        <f>'Com-Capacity-Smart'!K59*$C$4*$C$5*K12*K10*(1-K11)</f>
        <v>2199.5974974422566</v>
      </c>
      <c r="L41" s="92">
        <f>'Com-Capacity-Smart'!L59*$C$4*$C$5*L12*L10*(1-L11)</f>
        <v>2229.210288364417</v>
      </c>
      <c r="M41" s="92">
        <f>'Com-Capacity-Smart'!M59*$C$4*$C$5*M12*M10*(1-M11)</f>
        <v>2257.6632197413705</v>
      </c>
      <c r="N41" s="92">
        <f>'Com-Capacity-Smart'!N59*$C$4*$C$5*N12*N10*(1-N11)</f>
        <v>2285.6213025814936</v>
      </c>
      <c r="O41" s="92">
        <f>'Com-Capacity-Smart'!O59*$C$4*$C$5*O12*O10*(1-O11)</f>
        <v>2313.2058497463263</v>
      </c>
      <c r="P41" s="92">
        <f>'Com-Capacity-Smart'!P59*$C$4*$C$5*P12*P10*(1-P11)</f>
        <v>2340.6951716971303</v>
      </c>
      <c r="Q41" s="92">
        <f>'Com-Capacity-Smart'!Q59*$C$4*$C$5*Q12*Q10*(1-Q11)</f>
        <v>2368.0272285405608</v>
      </c>
      <c r="R41" s="92">
        <f>'Com-Capacity-Smart'!R59*$C$4*$C$5*R12*R10*(1-R11)</f>
        <v>2394.1994428941039</v>
      </c>
      <c r="S41" s="92">
        <f>'Com-Capacity-Smart'!S59*$C$4*$C$5*S12*S10*(1-S11)</f>
        <v>2421.2862451269857</v>
      </c>
      <c r="T41" s="92">
        <f>'Com-Capacity-Smart'!T59*$C$4*$C$5*T12*T10*(1-T11)</f>
        <v>2449.4801928942593</v>
      </c>
      <c r="U41" s="92">
        <f>'Com-Capacity-Smart'!U59*$C$4*$C$5*U12*U10*(1-U11)</f>
        <v>2477.8363872590367</v>
      </c>
      <c r="V41" s="92">
        <f>'Com-Capacity-Smart'!V59*$C$4*$C$5*V12*V10*(1-V11)</f>
        <v>2505.550379288753</v>
      </c>
      <c r="W41" s="92">
        <f>'Com-Capacity-Smart'!W59*$C$4*$C$5*W12*W10*(1-W11)</f>
        <v>2533.5743455194179</v>
      </c>
    </row>
    <row r="42" spans="1:23">
      <c r="A42" s="103" t="str">
        <f>A32</f>
        <v>b. Lighting Controls - AutoDR</v>
      </c>
      <c r="B42" s="104"/>
      <c r="C42" s="92">
        <f>'Com-Capacity-Smart'!C60*$C$15*$C$16*C23*C21*(1-C22)</f>
        <v>1.0147063494092445</v>
      </c>
      <c r="D42" s="92">
        <f>'Com-Capacity-Smart'!D60*$C$15*$C$16*D23*D21*(1-D22)</f>
        <v>25.738149732463693</v>
      </c>
      <c r="E42" s="92">
        <f>'Com-Capacity-Smart'!E60*$C$15*$C$16*E23*E21*(1-E22)</f>
        <v>84.609250448125337</v>
      </c>
      <c r="F42" s="92">
        <f>'Com-Capacity-Smart'!F60*$C$15*$C$16*F23*F21*(1-F22)</f>
        <v>178.99159614381571</v>
      </c>
      <c r="G42" s="92">
        <f>'Com-Capacity-Smart'!G60*$C$15*$C$16*G23*G21*(1-G22)</f>
        <v>310.23634822251205</v>
      </c>
      <c r="H42" s="92">
        <f>'Com-Capacity-Smart'!H60*$C$15*$C$16*H23*H21*(1-H22)</f>
        <v>434.62415244679414</v>
      </c>
      <c r="I42" s="92">
        <f>'Com-Capacity-Smart'!I60*$C$15*$C$16*I23*I21*(1-I22)</f>
        <v>439.84424806228418</v>
      </c>
      <c r="J42" s="92">
        <f>'Com-Capacity-Smart'!J60*$C$15*$C$16*J23*J21*(1-J22)</f>
        <v>445.68814764769724</v>
      </c>
      <c r="K42" s="92">
        <f>'Com-Capacity-Smart'!K60*$C$15*$C$16*K23*K21*(1-K22)</f>
        <v>451.47731885103798</v>
      </c>
      <c r="L42" s="92">
        <f>'Com-Capacity-Smart'!L60*$C$15*$C$16*L23*L21*(1-L22)</f>
        <v>457.5554779073106</v>
      </c>
      <c r="M42" s="92">
        <f>'Com-Capacity-Smart'!M60*$C$15*$C$16*M23*M21*(1-M22)</f>
        <v>463.39557055446858</v>
      </c>
      <c r="N42" s="92">
        <f>'Com-Capacity-Smart'!N60*$C$15*$C$16*N23*N21*(1-N22)</f>
        <v>469.13409330490435</v>
      </c>
      <c r="O42" s="92">
        <f>'Com-Capacity-Smart'!O60*$C$15*$C$16*O23*O21*(1-O22)</f>
        <v>474.79594617124934</v>
      </c>
      <c r="P42" s="92">
        <f>'Com-Capacity-Smart'!P60*$C$15*$C$16*P23*P21*(1-P22)</f>
        <v>480.43825363241598</v>
      </c>
      <c r="Q42" s="92">
        <f>'Com-Capacity-Smart'!Q60*$C$15*$C$16*Q23*Q21*(1-Q22)</f>
        <v>486.04828172014794</v>
      </c>
      <c r="R42" s="92">
        <f>'Com-Capacity-Smart'!R60*$C$15*$C$16*R23*R21*(1-R22)</f>
        <v>491.42024689944657</v>
      </c>
      <c r="S42" s="92">
        <f>'Com-Capacity-Smart'!S60*$C$15*$C$16*S23*S21*(1-S22)</f>
        <v>496.97993537089195</v>
      </c>
      <c r="T42" s="92">
        <f>'Com-Capacity-Smart'!T60*$C$15*$C$16*T23*T21*(1-T22)</f>
        <v>502.766870462697</v>
      </c>
      <c r="U42" s="92">
        <f>'Com-Capacity-Smart'!U60*$C$15*$C$16*U23*U21*(1-U22)</f>
        <v>508.58710740128021</v>
      </c>
      <c r="V42" s="92">
        <f>'Com-Capacity-Smart'!V60*$C$15*$C$16*V23*V21*(1-V22)</f>
        <v>514.27552941066369</v>
      </c>
      <c r="W42" s="92">
        <f>'Com-Capacity-Smart'!W60*$C$15*$C$16*W23*W21*(1-W22)</f>
        <v>520.02757502451118</v>
      </c>
    </row>
    <row r="43" spans="1:23">
      <c r="A43" s="87"/>
      <c r="B43" s="87"/>
      <c r="C43" s="105"/>
      <c r="D43" s="105"/>
      <c r="E43" s="105"/>
      <c r="F43" s="105"/>
      <c r="G43" s="105"/>
      <c r="H43" s="105"/>
      <c r="I43" s="105"/>
      <c r="J43" s="105"/>
      <c r="K43" s="105"/>
      <c r="L43" s="105"/>
      <c r="M43" s="105"/>
      <c r="N43" s="105"/>
      <c r="O43" s="105"/>
      <c r="P43" s="105"/>
      <c r="Q43" s="105"/>
      <c r="R43" s="105"/>
      <c r="S43" s="105"/>
      <c r="T43" s="105"/>
      <c r="U43" s="105"/>
      <c r="V43" s="105"/>
      <c r="W43" s="105"/>
    </row>
    <row r="44" spans="1:23">
      <c r="A44" s="93" t="s">
        <v>219</v>
      </c>
      <c r="B44" s="93"/>
      <c r="C44" s="95">
        <f t="shared" ref="C44:W44" si="5">SUM(C41:C42)</f>
        <v>4.5458844453534137</v>
      </c>
      <c r="D44" s="95">
        <f t="shared" si="5"/>
        <v>124.26378690833468</v>
      </c>
      <c r="E44" s="95">
        <f t="shared" si="5"/>
        <v>437.93748031949667</v>
      </c>
      <c r="F44" s="95">
        <f t="shared" si="5"/>
        <v>988.74957709843784</v>
      </c>
      <c r="G44" s="95">
        <f t="shared" si="5"/>
        <v>1821.7078367625907</v>
      </c>
      <c r="H44" s="95">
        <f t="shared" si="5"/>
        <v>2552.1130231675752</v>
      </c>
      <c r="I44" s="95">
        <f t="shared" si="5"/>
        <v>2582.7654246217326</v>
      </c>
      <c r="J44" s="95">
        <f t="shared" si="5"/>
        <v>2617.0808029872783</v>
      </c>
      <c r="K44" s="95">
        <f t="shared" si="5"/>
        <v>2651.0748162932946</v>
      </c>
      <c r="L44" s="95">
        <f t="shared" si="5"/>
        <v>2686.7657662717274</v>
      </c>
      <c r="M44" s="95">
        <f t="shared" si="5"/>
        <v>2721.0587902958391</v>
      </c>
      <c r="N44" s="95">
        <f t="shared" si="5"/>
        <v>2754.7553958863982</v>
      </c>
      <c r="O44" s="95">
        <f t="shared" si="5"/>
        <v>2788.0017959175757</v>
      </c>
      <c r="P44" s="95">
        <f t="shared" si="5"/>
        <v>2821.1334253295463</v>
      </c>
      <c r="Q44" s="95">
        <f t="shared" si="5"/>
        <v>2854.0755102607086</v>
      </c>
      <c r="R44" s="95">
        <f t="shared" si="5"/>
        <v>2885.6196897935506</v>
      </c>
      <c r="S44" s="95">
        <f t="shared" si="5"/>
        <v>2918.2661804978775</v>
      </c>
      <c r="T44" s="95">
        <f t="shared" si="5"/>
        <v>2952.2470633569565</v>
      </c>
      <c r="U44" s="95">
        <f t="shared" si="5"/>
        <v>2986.4234946603169</v>
      </c>
      <c r="V44" s="95">
        <f t="shared" si="5"/>
        <v>3019.8259086994167</v>
      </c>
      <c r="W44" s="95">
        <f t="shared" si="5"/>
        <v>3053.6019205439288</v>
      </c>
    </row>
    <row r="46" spans="1:23">
      <c r="A46" s="77" t="s">
        <v>220</v>
      </c>
      <c r="B46" s="77"/>
      <c r="D46" s="223"/>
      <c r="E46" s="78"/>
      <c r="F46" s="78"/>
      <c r="G46" s="224"/>
    </row>
    <row r="48" spans="1:23">
      <c r="A48" s="106"/>
      <c r="B48" s="502" t="s">
        <v>242</v>
      </c>
      <c r="C48" s="507" t="s">
        <v>221</v>
      </c>
      <c r="D48" s="508"/>
      <c r="E48" s="508"/>
      <c r="F48" s="508"/>
      <c r="G48" s="508"/>
      <c r="H48" s="508"/>
      <c r="I48" s="508"/>
      <c r="J48" s="508"/>
      <c r="K48" s="508"/>
      <c r="L48" s="508"/>
      <c r="M48" s="508"/>
      <c r="N48" s="508"/>
      <c r="O48" s="508"/>
      <c r="P48" s="508"/>
      <c r="Q48" s="508"/>
      <c r="R48" s="508"/>
      <c r="S48" s="508"/>
      <c r="T48" s="508"/>
      <c r="U48" s="508"/>
      <c r="V48" s="508"/>
      <c r="W48" s="508"/>
    </row>
    <row r="49" spans="1:23">
      <c r="A49" s="212" t="s">
        <v>214</v>
      </c>
      <c r="B49" s="506"/>
      <c r="C49" s="211">
        <v>2015</v>
      </c>
      <c r="D49" s="211">
        <v>2016</v>
      </c>
      <c r="E49" s="211">
        <v>2017</v>
      </c>
      <c r="F49" s="211">
        <v>2018</v>
      </c>
      <c r="G49" s="211">
        <v>2019</v>
      </c>
      <c r="H49" s="211">
        <v>2020</v>
      </c>
      <c r="I49" s="211">
        <v>2021</v>
      </c>
      <c r="J49" s="211">
        <v>2022</v>
      </c>
      <c r="K49" s="211">
        <v>2023</v>
      </c>
      <c r="L49" s="211">
        <v>2024</v>
      </c>
      <c r="M49" s="211">
        <v>2025</v>
      </c>
      <c r="N49" s="211">
        <v>2026</v>
      </c>
      <c r="O49" s="211">
        <v>2027</v>
      </c>
      <c r="P49" s="211">
        <v>2028</v>
      </c>
      <c r="Q49" s="211">
        <v>2029</v>
      </c>
      <c r="R49" s="211">
        <v>2030</v>
      </c>
      <c r="S49" s="211">
        <v>2031</v>
      </c>
      <c r="T49" s="211">
        <v>2032</v>
      </c>
      <c r="U49" s="211">
        <v>2033</v>
      </c>
      <c r="V49" s="211">
        <v>2034</v>
      </c>
      <c r="W49" s="211">
        <v>2035</v>
      </c>
    </row>
    <row r="50" spans="1:23" ht="17.100000000000001" customHeight="1">
      <c r="A50" s="84"/>
      <c r="B50" s="108"/>
      <c r="C50" s="84"/>
      <c r="D50" s="108"/>
      <c r="E50" s="84"/>
      <c r="F50" s="84"/>
      <c r="G50" s="84"/>
      <c r="H50" s="84"/>
      <c r="I50" s="84"/>
      <c r="J50" s="84"/>
      <c r="K50" s="84"/>
      <c r="L50" s="84"/>
      <c r="M50" s="84"/>
      <c r="N50" s="84"/>
      <c r="O50" s="84"/>
      <c r="P50" s="84"/>
      <c r="Q50" s="84"/>
      <c r="R50" s="84"/>
      <c r="S50" s="84"/>
      <c r="T50" s="84"/>
      <c r="U50" s="84"/>
      <c r="V50" s="84"/>
      <c r="W50" s="84"/>
    </row>
    <row r="51" spans="1:23">
      <c r="A51" s="87" t="str">
        <f>+A31</f>
        <v>a. Space Cooling, Medium - AutoDR</v>
      </c>
      <c r="B51" s="251">
        <f>KeyAssumptions!AD9</f>
        <v>15</v>
      </c>
      <c r="C51" s="192">
        <f t="shared" ref="C51:W51" si="6">$B51/1000*C41*$C$6</f>
        <v>5.0319287867204403E-2</v>
      </c>
      <c r="D51" s="192">
        <f t="shared" si="6"/>
        <v>1.4039903297561613</v>
      </c>
      <c r="E51" s="192">
        <f t="shared" si="6"/>
        <v>5.0349272756670409</v>
      </c>
      <c r="F51" s="192">
        <f t="shared" si="6"/>
        <v>11.539051228603364</v>
      </c>
      <c r="G51" s="192">
        <f t="shared" si="6"/>
        <v>21.538468711696115</v>
      </c>
      <c r="H51" s="192">
        <f t="shared" si="6"/>
        <v>30.174216407771127</v>
      </c>
      <c r="I51" s="192">
        <f t="shared" si="6"/>
        <v>30.536626765972137</v>
      </c>
      <c r="J51" s="192">
        <f t="shared" si="6"/>
        <v>30.942345338589025</v>
      </c>
      <c r="K51" s="192">
        <f t="shared" si="6"/>
        <v>31.344264338552154</v>
      </c>
      <c r="L51" s="192">
        <f t="shared" si="6"/>
        <v>31.766246609192944</v>
      </c>
      <c r="M51" s="192">
        <f t="shared" si="6"/>
        <v>32.171700881314528</v>
      </c>
      <c r="N51" s="192">
        <f t="shared" si="6"/>
        <v>32.570103561786276</v>
      </c>
      <c r="O51" s="192">
        <f t="shared" si="6"/>
        <v>32.963183358885146</v>
      </c>
      <c r="P51" s="192">
        <f t="shared" si="6"/>
        <v>33.354906196684105</v>
      </c>
      <c r="Q51" s="192">
        <f t="shared" si="6"/>
        <v>33.744388006702991</v>
      </c>
      <c r="R51" s="192">
        <f t="shared" si="6"/>
        <v>34.117342061240976</v>
      </c>
      <c r="S51" s="192">
        <f t="shared" si="6"/>
        <v>34.503328993059547</v>
      </c>
      <c r="T51" s="192">
        <f t="shared" si="6"/>
        <v>34.905092748743193</v>
      </c>
      <c r="U51" s="192">
        <f t="shared" si="6"/>
        <v>35.309168518441268</v>
      </c>
      <c r="V51" s="192">
        <f t="shared" si="6"/>
        <v>35.70409290486473</v>
      </c>
      <c r="W51" s="192">
        <f t="shared" si="6"/>
        <v>36.103434423651699</v>
      </c>
    </row>
    <row r="52" spans="1:23">
      <c r="A52" s="87" t="str">
        <f>A32</f>
        <v>b. Lighting Controls - AutoDR</v>
      </c>
      <c r="B52" s="251">
        <f>KeyAssumptions!AD10</f>
        <v>57</v>
      </c>
      <c r="C52" s="192">
        <f>$B52/1000*C42*$C$17</f>
        <v>5.4946348820510589E-2</v>
      </c>
      <c r="D52" s="192">
        <f t="shared" ref="D52:W52" si="7">$B52/1000*D42*$C$17</f>
        <v>1.3937208080129091</v>
      </c>
      <c r="E52" s="192">
        <f t="shared" si="7"/>
        <v>4.5815909117659865</v>
      </c>
      <c r="F52" s="192">
        <f t="shared" si="7"/>
        <v>9.6923949311876214</v>
      </c>
      <c r="G52" s="192">
        <f t="shared" si="7"/>
        <v>16.799298256249028</v>
      </c>
      <c r="H52" s="192">
        <f t="shared" si="7"/>
        <v>23.534897854993901</v>
      </c>
      <c r="I52" s="192">
        <f t="shared" si="7"/>
        <v>23.817566032572685</v>
      </c>
      <c r="J52" s="192">
        <f t="shared" si="7"/>
        <v>24.134013195122805</v>
      </c>
      <c r="K52" s="192">
        <f t="shared" si="7"/>
        <v>24.447496815783705</v>
      </c>
      <c r="L52" s="192">
        <f t="shared" si="7"/>
        <v>24.77662912868087</v>
      </c>
      <c r="M52" s="192">
        <f t="shared" si="7"/>
        <v>25.092870145524472</v>
      </c>
      <c r="N52" s="192">
        <f t="shared" si="7"/>
        <v>25.403611152460574</v>
      </c>
      <c r="O52" s="192">
        <f t="shared" si="7"/>
        <v>25.710200485173154</v>
      </c>
      <c r="P52" s="192">
        <f t="shared" si="7"/>
        <v>26.015731434195324</v>
      </c>
      <c r="Q52" s="192">
        <f t="shared" si="7"/>
        <v>26.319514455146013</v>
      </c>
      <c r="R52" s="192">
        <f t="shared" si="7"/>
        <v>26.61040636960503</v>
      </c>
      <c r="S52" s="192">
        <f t="shared" si="7"/>
        <v>26.911463500333799</v>
      </c>
      <c r="T52" s="192">
        <f t="shared" si="7"/>
        <v>27.224826035555044</v>
      </c>
      <c r="U52" s="192">
        <f t="shared" si="7"/>
        <v>27.539991865779321</v>
      </c>
      <c r="V52" s="192">
        <f t="shared" si="7"/>
        <v>27.84801991758744</v>
      </c>
      <c r="W52" s="192">
        <f t="shared" si="7"/>
        <v>28.159493187577279</v>
      </c>
    </row>
    <row r="53" spans="1:23">
      <c r="A53" s="89"/>
      <c r="B53" s="252"/>
      <c r="C53" s="109"/>
      <c r="D53" s="109"/>
      <c r="E53" s="109"/>
      <c r="F53" s="109"/>
      <c r="G53" s="109"/>
      <c r="H53" s="109"/>
      <c r="I53" s="109"/>
      <c r="J53" s="109"/>
      <c r="K53" s="109"/>
      <c r="L53" s="109"/>
      <c r="M53" s="109"/>
      <c r="N53" s="109"/>
      <c r="O53" s="109"/>
      <c r="P53" s="109"/>
      <c r="Q53" s="109"/>
      <c r="R53" s="109"/>
      <c r="S53" s="109"/>
      <c r="T53" s="109"/>
      <c r="U53" s="109"/>
      <c r="V53" s="109"/>
      <c r="W53" s="109"/>
    </row>
    <row r="54" spans="1:23">
      <c r="A54" s="110" t="s">
        <v>269</v>
      </c>
      <c r="B54" s="111"/>
      <c r="C54" s="112">
        <f t="shared" ref="C54:W54" si="8">SUM(C51:C52)</f>
        <v>0.10526563668771499</v>
      </c>
      <c r="D54" s="112">
        <f t="shared" si="8"/>
        <v>2.7977111377690704</v>
      </c>
      <c r="E54" s="112">
        <f t="shared" si="8"/>
        <v>9.6165181874330266</v>
      </c>
      <c r="F54" s="112">
        <f t="shared" si="8"/>
        <v>21.231446159790984</v>
      </c>
      <c r="G54" s="112">
        <f t="shared" si="8"/>
        <v>38.337766967945143</v>
      </c>
      <c r="H54" s="112">
        <f t="shared" si="8"/>
        <v>53.709114262765027</v>
      </c>
      <c r="I54" s="112">
        <f t="shared" si="8"/>
        <v>54.354192798544823</v>
      </c>
      <c r="J54" s="112">
        <f t="shared" si="8"/>
        <v>55.076358533711826</v>
      </c>
      <c r="K54" s="112">
        <f t="shared" si="8"/>
        <v>55.791761154335859</v>
      </c>
      <c r="L54" s="112">
        <f t="shared" si="8"/>
        <v>56.542875737873814</v>
      </c>
      <c r="M54" s="112">
        <f t="shared" si="8"/>
        <v>57.264571026839</v>
      </c>
      <c r="N54" s="112">
        <f t="shared" si="8"/>
        <v>57.973714714246853</v>
      </c>
      <c r="O54" s="112">
        <f t="shared" si="8"/>
        <v>58.6733838440583</v>
      </c>
      <c r="P54" s="112">
        <f t="shared" si="8"/>
        <v>59.370637630879429</v>
      </c>
      <c r="Q54" s="112">
        <f t="shared" si="8"/>
        <v>60.063902461849004</v>
      </c>
      <c r="R54" s="112">
        <f t="shared" si="8"/>
        <v>60.727748430846006</v>
      </c>
      <c r="S54" s="112">
        <f t="shared" si="8"/>
        <v>61.41479249339335</v>
      </c>
      <c r="T54" s="112">
        <f t="shared" si="8"/>
        <v>62.129918784298241</v>
      </c>
      <c r="U54" s="112">
        <f t="shared" si="8"/>
        <v>62.849160384220589</v>
      </c>
      <c r="V54" s="112">
        <f t="shared" si="8"/>
        <v>63.552112822452173</v>
      </c>
      <c r="W54" s="112">
        <f t="shared" si="8"/>
        <v>64.262927611228974</v>
      </c>
    </row>
    <row r="55" spans="1:23">
      <c r="A55" s="113"/>
      <c r="B55" s="113"/>
      <c r="C55" s="114"/>
      <c r="D55" s="114"/>
      <c r="E55" s="115"/>
      <c r="F55" s="115"/>
      <c r="G55" s="115"/>
      <c r="H55" s="115"/>
      <c r="I55" s="115"/>
      <c r="J55" s="115"/>
      <c r="K55" s="115"/>
      <c r="L55" s="115"/>
      <c r="M55" s="115"/>
      <c r="N55" s="115"/>
      <c r="O55" s="115"/>
      <c r="P55" s="115"/>
      <c r="Q55" s="115"/>
      <c r="R55" s="115"/>
      <c r="S55" s="115"/>
      <c r="T55" s="115"/>
      <c r="U55" s="115"/>
      <c r="V55" s="115"/>
      <c r="W55" s="115"/>
    </row>
    <row r="56" spans="1:23">
      <c r="A56" s="77" t="s">
        <v>277</v>
      </c>
      <c r="B56" s="113"/>
      <c r="C56" s="100"/>
      <c r="D56" s="125"/>
      <c r="E56" s="124"/>
      <c r="F56" s="124"/>
      <c r="G56" s="124"/>
      <c r="H56" s="124"/>
      <c r="I56" s="124"/>
      <c r="J56" s="124"/>
      <c r="K56" s="124"/>
      <c r="L56" s="124"/>
      <c r="M56" s="124"/>
      <c r="N56" s="124"/>
      <c r="O56" s="124"/>
      <c r="P56" s="124"/>
      <c r="Q56" s="124"/>
      <c r="R56" s="124"/>
      <c r="S56" s="124"/>
      <c r="T56" s="124"/>
      <c r="U56" s="124"/>
      <c r="V56" s="124"/>
      <c r="W56" s="124"/>
    </row>
    <row r="57" spans="1:23">
      <c r="A57" s="116"/>
      <c r="B57" s="113"/>
      <c r="C57" s="100"/>
      <c r="D57" s="124"/>
      <c r="E57" s="124"/>
      <c r="F57" s="124"/>
      <c r="G57" s="124"/>
      <c r="H57" s="124"/>
      <c r="I57" s="124"/>
      <c r="J57" s="124"/>
      <c r="K57" s="124"/>
      <c r="L57" s="124"/>
      <c r="M57" s="124"/>
      <c r="N57" s="124"/>
      <c r="O57" s="124"/>
      <c r="P57" s="124"/>
      <c r="Q57" s="124"/>
      <c r="R57" s="124"/>
      <c r="S57" s="124"/>
      <c r="T57" s="124"/>
      <c r="U57" s="124"/>
      <c r="V57" s="124"/>
      <c r="W57" s="124"/>
    </row>
    <row r="58" spans="1:23" ht="12.75" customHeight="1">
      <c r="A58" s="500" t="s">
        <v>214</v>
      </c>
      <c r="B58" s="502" t="s">
        <v>308</v>
      </c>
      <c r="C58" s="504" t="s">
        <v>222</v>
      </c>
      <c r="D58" s="504"/>
      <c r="E58" s="504"/>
      <c r="F58" s="504"/>
      <c r="G58" s="504"/>
      <c r="H58" s="504"/>
      <c r="I58" s="504"/>
      <c r="J58" s="504"/>
      <c r="K58" s="504"/>
      <c r="L58" s="504"/>
      <c r="M58" s="504"/>
      <c r="N58" s="504"/>
      <c r="O58" s="504"/>
      <c r="P58" s="504"/>
      <c r="Q58" s="504"/>
      <c r="R58" s="504"/>
      <c r="S58" s="504"/>
      <c r="T58" s="504"/>
      <c r="U58" s="504"/>
      <c r="V58" s="504"/>
      <c r="W58" s="504"/>
    </row>
    <row r="59" spans="1:23">
      <c r="A59" s="501"/>
      <c r="B59" s="503"/>
      <c r="C59" s="211">
        <v>2015</v>
      </c>
      <c r="D59" s="211">
        <v>2016</v>
      </c>
      <c r="E59" s="211">
        <v>2017</v>
      </c>
      <c r="F59" s="211">
        <v>2018</v>
      </c>
      <c r="G59" s="211">
        <v>2019</v>
      </c>
      <c r="H59" s="211">
        <v>2020</v>
      </c>
      <c r="I59" s="211">
        <v>2021</v>
      </c>
      <c r="J59" s="211">
        <v>2022</v>
      </c>
      <c r="K59" s="211">
        <v>2023</v>
      </c>
      <c r="L59" s="211">
        <v>2024</v>
      </c>
      <c r="M59" s="211">
        <v>2025</v>
      </c>
      <c r="N59" s="211">
        <v>2026</v>
      </c>
      <c r="O59" s="211">
        <v>2027</v>
      </c>
      <c r="P59" s="211">
        <v>2028</v>
      </c>
      <c r="Q59" s="211">
        <v>2029</v>
      </c>
      <c r="R59" s="211">
        <v>2030</v>
      </c>
      <c r="S59" s="211">
        <v>2031</v>
      </c>
      <c r="T59" s="211">
        <v>2032</v>
      </c>
      <c r="U59" s="211">
        <v>2033</v>
      </c>
      <c r="V59" s="211">
        <v>2034</v>
      </c>
      <c r="W59" s="211">
        <v>2035</v>
      </c>
    </row>
    <row r="60" spans="1:23">
      <c r="A60" s="126"/>
      <c r="B60" s="127"/>
      <c r="C60" s="78"/>
      <c r="D60" s="84"/>
      <c r="E60" s="84"/>
      <c r="F60" s="84"/>
      <c r="G60" s="84"/>
      <c r="H60" s="84"/>
      <c r="I60" s="84"/>
      <c r="J60" s="84"/>
      <c r="K60" s="84"/>
      <c r="L60" s="84"/>
      <c r="M60" s="84"/>
      <c r="N60" s="84"/>
      <c r="O60" s="84"/>
      <c r="P60" s="84"/>
      <c r="Q60" s="84"/>
      <c r="R60" s="84"/>
      <c r="S60" s="84"/>
      <c r="T60" s="84"/>
      <c r="U60" s="84"/>
      <c r="V60" s="84"/>
      <c r="W60" s="84"/>
    </row>
    <row r="61" spans="1:23">
      <c r="A61" s="87" t="str">
        <f>A31</f>
        <v>a. Space Cooling, Medium - AutoDR</v>
      </c>
      <c r="B61" s="139">
        <f>SUM(KeyAssumptions!Y9:AA9)</f>
        <v>3517.5</v>
      </c>
      <c r="C61" s="119">
        <f t="shared" ref="C61:W61" si="9">MAX(0,($B$61*C31))</f>
        <v>12420.918952483615</v>
      </c>
      <c r="D61" s="119">
        <f t="shared" si="9"/>
        <v>334143.00981364254</v>
      </c>
      <c r="E61" s="119">
        <f t="shared" si="9"/>
        <v>896268.11980642239</v>
      </c>
      <c r="F61" s="119">
        <f t="shared" si="9"/>
        <v>1605491.6494353346</v>
      </c>
      <c r="G61" s="119">
        <f t="shared" si="9"/>
        <v>2468277.2629318433</v>
      </c>
      <c r="H61" s="119">
        <f t="shared" si="9"/>
        <v>2131666.1418206212</v>
      </c>
      <c r="I61" s="119">
        <f t="shared" si="9"/>
        <v>89458.135787511739</v>
      </c>
      <c r="J61" s="119">
        <f t="shared" si="9"/>
        <v>100148.42660911662</v>
      </c>
      <c r="K61" s="119">
        <f t="shared" si="9"/>
        <v>99210.532096161725</v>
      </c>
      <c r="L61" s="119">
        <f t="shared" si="9"/>
        <v>104162.9920686994</v>
      </c>
      <c r="M61" s="119">
        <f t="shared" si="9"/>
        <v>100083.18611843404</v>
      </c>
      <c r="N61" s="119">
        <f t="shared" si="9"/>
        <v>98342.556390132988</v>
      </c>
      <c r="O61" s="119">
        <f t="shared" si="9"/>
        <v>97028.64465229887</v>
      </c>
      <c r="P61" s="119">
        <f t="shared" si="9"/>
        <v>96693.689961952958</v>
      </c>
      <c r="Q61" s="119">
        <f t="shared" si="9"/>
        <v>96140.509946767008</v>
      </c>
      <c r="R61" s="119">
        <f t="shared" si="9"/>
        <v>92060.763988587642</v>
      </c>
      <c r="S61" s="119">
        <f t="shared" si="9"/>
        <v>95277.82685416186</v>
      </c>
      <c r="T61" s="119">
        <f t="shared" si="9"/>
        <v>99172.211271384833</v>
      </c>
      <c r="U61" s="119">
        <f t="shared" si="9"/>
        <v>99742.913678104378</v>
      </c>
      <c r="V61" s="119">
        <f t="shared" si="9"/>
        <v>97483.966964527222</v>
      </c>
      <c r="W61" s="119">
        <f t="shared" si="9"/>
        <v>98574.301216363718</v>
      </c>
    </row>
    <row r="62" spans="1:23">
      <c r="A62" s="87" t="str">
        <f>A32</f>
        <v>b. Lighting Controls - AutoDR</v>
      </c>
      <c r="B62" s="139">
        <f>SUM(KeyAssumptions!Y10:AA10)</f>
        <v>13366.5</v>
      </c>
      <c r="C62" s="119">
        <f t="shared" ref="C62:W62" si="10">MAX(0,($B$62*C32))</f>
        <v>13563.072419378666</v>
      </c>
      <c r="D62" s="119">
        <f t="shared" si="10"/>
        <v>330465.9059795973</v>
      </c>
      <c r="E62" s="119">
        <f t="shared" si="10"/>
        <v>786900.56771589129</v>
      </c>
      <c r="F62" s="119">
        <f t="shared" si="10"/>
        <v>1261561.6237414454</v>
      </c>
      <c r="G62" s="119">
        <f t="shared" si="10"/>
        <v>1754282.9786598946</v>
      </c>
      <c r="H62" s="119">
        <f t="shared" si="10"/>
        <v>1662629.5851638666</v>
      </c>
      <c r="I62" s="119">
        <f t="shared" si="10"/>
        <v>69774.408044447599</v>
      </c>
      <c r="J62" s="119">
        <f t="shared" si="10"/>
        <v>78112.483808423611</v>
      </c>
      <c r="K62" s="119">
        <f t="shared" si="10"/>
        <v>77380.956889454043</v>
      </c>
      <c r="L62" s="119">
        <f t="shared" si="10"/>
        <v>81243.713025668039</v>
      </c>
      <c r="M62" s="119">
        <f t="shared" si="10"/>
        <v>78061.598368237057</v>
      </c>
      <c r="N62" s="119">
        <f t="shared" si="10"/>
        <v>76703.964343699816</v>
      </c>
      <c r="O62" s="119">
        <f t="shared" si="10"/>
        <v>75679.156338000263</v>
      </c>
      <c r="P62" s="119">
        <f t="shared" si="10"/>
        <v>75417.902679683873</v>
      </c>
      <c r="Q62" s="119">
        <f t="shared" si="10"/>
        <v>74986.440434669275</v>
      </c>
      <c r="R62" s="119">
        <f t="shared" si="10"/>
        <v>71804.372569095096</v>
      </c>
      <c r="S62" s="119">
        <f t="shared" si="10"/>
        <v>74313.57595357472</v>
      </c>
      <c r="T62" s="119">
        <f t="shared" si="10"/>
        <v>77351.06790461218</v>
      </c>
      <c r="U62" s="119">
        <f t="shared" si="10"/>
        <v>77796.197039572435</v>
      </c>
      <c r="V62" s="119">
        <f t="shared" si="10"/>
        <v>76034.292788424384</v>
      </c>
      <c r="W62" s="119">
        <f t="shared" si="10"/>
        <v>76884.717697492422</v>
      </c>
    </row>
    <row r="63" spans="1:23">
      <c r="A63" s="87"/>
      <c r="B63" s="128"/>
      <c r="C63" s="119"/>
      <c r="D63" s="119"/>
      <c r="E63" s="119"/>
      <c r="F63" s="119"/>
      <c r="G63" s="119"/>
      <c r="H63" s="119"/>
      <c r="I63" s="119"/>
      <c r="J63" s="119"/>
      <c r="K63" s="119"/>
      <c r="L63" s="119"/>
      <c r="M63" s="119"/>
      <c r="N63" s="119"/>
      <c r="O63" s="119"/>
      <c r="P63" s="119"/>
      <c r="Q63" s="119"/>
      <c r="R63" s="119"/>
      <c r="S63" s="119"/>
      <c r="T63" s="119"/>
      <c r="U63" s="119"/>
      <c r="V63" s="119"/>
      <c r="W63" s="119"/>
    </row>
    <row r="64" spans="1:23">
      <c r="A64" s="129" t="s">
        <v>289</v>
      </c>
      <c r="B64" s="110"/>
      <c r="C64" s="122">
        <f t="shared" ref="C64:W64" si="11">SUM(C61:C62)</f>
        <v>25983.991371862281</v>
      </c>
      <c r="D64" s="122">
        <f t="shared" si="11"/>
        <v>664608.91579323984</v>
      </c>
      <c r="E64" s="122">
        <f t="shared" si="11"/>
        <v>1683168.6875223136</v>
      </c>
      <c r="F64" s="122">
        <f t="shared" si="11"/>
        <v>2867053.27317678</v>
      </c>
      <c r="G64" s="122">
        <f t="shared" si="11"/>
        <v>4222560.2415917376</v>
      </c>
      <c r="H64" s="122">
        <f t="shared" si="11"/>
        <v>3794295.7269844878</v>
      </c>
      <c r="I64" s="122">
        <f t="shared" si="11"/>
        <v>159232.54383195934</v>
      </c>
      <c r="J64" s="122">
        <f t="shared" si="11"/>
        <v>178260.91041754023</v>
      </c>
      <c r="K64" s="122">
        <f t="shared" si="11"/>
        <v>176591.48898561578</v>
      </c>
      <c r="L64" s="122">
        <f t="shared" si="11"/>
        <v>185406.70509436744</v>
      </c>
      <c r="M64" s="122">
        <f t="shared" si="11"/>
        <v>178144.78448667109</v>
      </c>
      <c r="N64" s="122">
        <f t="shared" si="11"/>
        <v>175046.52073383279</v>
      </c>
      <c r="O64" s="122">
        <f t="shared" si="11"/>
        <v>172707.80099029915</v>
      </c>
      <c r="P64" s="122">
        <f t="shared" si="11"/>
        <v>172111.59264163685</v>
      </c>
      <c r="Q64" s="122">
        <f t="shared" si="11"/>
        <v>171126.95038143627</v>
      </c>
      <c r="R64" s="122">
        <f t="shared" si="11"/>
        <v>163865.13655768274</v>
      </c>
      <c r="S64" s="122">
        <f t="shared" si="11"/>
        <v>169591.40280773659</v>
      </c>
      <c r="T64" s="122">
        <f t="shared" si="11"/>
        <v>176523.27917599701</v>
      </c>
      <c r="U64" s="122">
        <f t="shared" si="11"/>
        <v>177539.11071767681</v>
      </c>
      <c r="V64" s="122">
        <f t="shared" si="11"/>
        <v>173518.25975295162</v>
      </c>
      <c r="W64" s="122">
        <f t="shared" si="11"/>
        <v>175459.01891385613</v>
      </c>
    </row>
    <row r="65" spans="1:23">
      <c r="A65" s="113"/>
      <c r="B65" s="113"/>
      <c r="C65" s="124"/>
      <c r="D65" s="124"/>
      <c r="E65" s="124"/>
      <c r="F65" s="124"/>
      <c r="G65" s="124"/>
      <c r="H65" s="124"/>
      <c r="I65" s="124"/>
      <c r="J65" s="124"/>
      <c r="K65" s="124"/>
      <c r="L65" s="124"/>
      <c r="M65" s="124"/>
      <c r="N65" s="124"/>
      <c r="O65" s="124"/>
      <c r="P65" s="124"/>
      <c r="Q65" s="124"/>
      <c r="R65" s="124"/>
      <c r="S65" s="124"/>
      <c r="T65" s="124"/>
      <c r="U65" s="124"/>
      <c r="V65" s="124"/>
      <c r="W65" s="124"/>
    </row>
    <row r="66" spans="1:23">
      <c r="A66" s="98" t="s">
        <v>278</v>
      </c>
      <c r="B66" s="98"/>
      <c r="C66" s="114"/>
      <c r="D66" s="130"/>
      <c r="E66" s="131"/>
      <c r="F66" s="132"/>
      <c r="G66" s="123"/>
      <c r="H66" s="133"/>
      <c r="I66" s="123"/>
      <c r="J66" s="78"/>
      <c r="L66" s="78"/>
    </row>
    <row r="67" spans="1:23">
      <c r="A67" s="113"/>
      <c r="B67" s="113"/>
      <c r="C67" s="114"/>
      <c r="D67" s="130"/>
      <c r="E67" s="131"/>
      <c r="F67" s="132"/>
      <c r="G67" s="123"/>
      <c r="H67" s="133"/>
      <c r="I67" s="123"/>
      <c r="J67" s="78"/>
      <c r="L67" s="78"/>
    </row>
    <row r="68" spans="1:23">
      <c r="A68" s="518" t="s">
        <v>214</v>
      </c>
      <c r="B68" s="497" t="s">
        <v>356</v>
      </c>
      <c r="C68" s="505" t="s">
        <v>223</v>
      </c>
      <c r="D68" s="505"/>
      <c r="E68" s="505"/>
      <c r="F68" s="505"/>
      <c r="G68" s="505"/>
      <c r="H68" s="505"/>
      <c r="I68" s="505"/>
      <c r="J68" s="505"/>
      <c r="K68" s="505"/>
      <c r="L68" s="505"/>
      <c r="M68" s="505"/>
      <c r="N68" s="505"/>
      <c r="O68" s="505"/>
      <c r="P68" s="505"/>
      <c r="Q68" s="505"/>
      <c r="R68" s="505"/>
      <c r="S68" s="505"/>
      <c r="T68" s="505"/>
      <c r="U68" s="505"/>
      <c r="V68" s="505"/>
      <c r="W68" s="505"/>
    </row>
    <row r="69" spans="1:23">
      <c r="A69" s="519"/>
      <c r="B69" s="497"/>
      <c r="C69" s="211">
        <v>2015</v>
      </c>
      <c r="D69" s="211">
        <v>2016</v>
      </c>
      <c r="E69" s="211">
        <v>2017</v>
      </c>
      <c r="F69" s="211">
        <v>2018</v>
      </c>
      <c r="G69" s="211">
        <v>2019</v>
      </c>
      <c r="H69" s="211">
        <v>2020</v>
      </c>
      <c r="I69" s="211">
        <v>2021</v>
      </c>
      <c r="J69" s="211">
        <v>2022</v>
      </c>
      <c r="K69" s="211">
        <v>2023</v>
      </c>
      <c r="L69" s="211">
        <v>2024</v>
      </c>
      <c r="M69" s="211">
        <v>2025</v>
      </c>
      <c r="N69" s="211">
        <v>2026</v>
      </c>
      <c r="O69" s="211">
        <v>2027</v>
      </c>
      <c r="P69" s="211">
        <v>2028</v>
      </c>
      <c r="Q69" s="211">
        <v>2029</v>
      </c>
      <c r="R69" s="211">
        <v>2030</v>
      </c>
      <c r="S69" s="211">
        <v>2031</v>
      </c>
      <c r="T69" s="211">
        <v>2032</v>
      </c>
      <c r="U69" s="211">
        <v>2033</v>
      </c>
      <c r="V69" s="211">
        <v>2034</v>
      </c>
      <c r="W69" s="211">
        <v>2035</v>
      </c>
    </row>
    <row r="70" spans="1:23">
      <c r="A70" s="134"/>
      <c r="B70" s="135"/>
      <c r="C70" s="135"/>
      <c r="D70" s="136"/>
      <c r="E70" s="136"/>
      <c r="F70" s="136"/>
      <c r="G70" s="136"/>
      <c r="H70" s="136"/>
      <c r="I70" s="136"/>
      <c r="J70" s="136"/>
      <c r="K70" s="136"/>
      <c r="L70" s="136"/>
      <c r="M70" s="136"/>
      <c r="N70" s="136"/>
      <c r="O70" s="136"/>
      <c r="P70" s="136"/>
      <c r="Q70" s="136"/>
      <c r="R70" s="136"/>
      <c r="S70" s="136"/>
      <c r="T70" s="136"/>
      <c r="U70" s="136"/>
      <c r="V70" s="136"/>
      <c r="W70" s="136"/>
    </row>
    <row r="71" spans="1:23">
      <c r="A71" s="138" t="str">
        <f>A31</f>
        <v>a. Space Cooling, Medium - AutoDR</v>
      </c>
      <c r="B71" s="139">
        <f>KeyAssumptions!AC9</f>
        <v>30</v>
      </c>
      <c r="C71" s="91">
        <f t="shared" ref="C71:W71" si="12">$B71*C51*1000</f>
        <v>1509.5786360161321</v>
      </c>
      <c r="D71" s="91">
        <f t="shared" si="12"/>
        <v>42119.709892684841</v>
      </c>
      <c r="E71" s="91">
        <f t="shared" si="12"/>
        <v>151047.81827001122</v>
      </c>
      <c r="F71" s="91">
        <f t="shared" si="12"/>
        <v>346171.53685810091</v>
      </c>
      <c r="G71" s="91">
        <f t="shared" si="12"/>
        <v>646154.06135088345</v>
      </c>
      <c r="H71" s="91">
        <f t="shared" si="12"/>
        <v>905226.49223313376</v>
      </c>
      <c r="I71" s="91">
        <f t="shared" si="12"/>
        <v>916098.80297916417</v>
      </c>
      <c r="J71" s="91">
        <f t="shared" si="12"/>
        <v>928270.3601576708</v>
      </c>
      <c r="K71" s="91">
        <f t="shared" si="12"/>
        <v>940327.93015656469</v>
      </c>
      <c r="L71" s="91">
        <f t="shared" si="12"/>
        <v>952987.39827578829</v>
      </c>
      <c r="M71" s="91">
        <f t="shared" si="12"/>
        <v>965151.0264394359</v>
      </c>
      <c r="N71" s="91">
        <f t="shared" si="12"/>
        <v>977103.10685358837</v>
      </c>
      <c r="O71" s="91">
        <f t="shared" si="12"/>
        <v>988895.50076655438</v>
      </c>
      <c r="P71" s="91">
        <f t="shared" si="12"/>
        <v>1000647.1859005231</v>
      </c>
      <c r="Q71" s="91">
        <f t="shared" si="12"/>
        <v>1012331.6402010897</v>
      </c>
      <c r="R71" s="91">
        <f t="shared" si="12"/>
        <v>1023520.2618372294</v>
      </c>
      <c r="S71" s="91">
        <f t="shared" si="12"/>
        <v>1035099.8697917864</v>
      </c>
      <c r="T71" s="91">
        <f t="shared" si="12"/>
        <v>1047152.7824622958</v>
      </c>
      <c r="U71" s="91">
        <f t="shared" si="12"/>
        <v>1059275.0555532379</v>
      </c>
      <c r="V71" s="91">
        <f t="shared" si="12"/>
        <v>1071122.7871459418</v>
      </c>
      <c r="W71" s="91">
        <f t="shared" si="12"/>
        <v>1083103.0327095508</v>
      </c>
    </row>
    <row r="72" spans="1:23">
      <c r="A72" s="138" t="str">
        <f>A32</f>
        <v>b. Lighting Controls - AutoDR</v>
      </c>
      <c r="B72" s="139">
        <f>KeyAssumptions!AC10</f>
        <v>30</v>
      </c>
      <c r="C72" s="91">
        <f t="shared" ref="C72:W72" si="13">$B72*C52*1000</f>
        <v>1648.3904646153176</v>
      </c>
      <c r="D72" s="91">
        <f t="shared" si="13"/>
        <v>41811.624240387275</v>
      </c>
      <c r="E72" s="91">
        <f t="shared" si="13"/>
        <v>137447.72735297959</v>
      </c>
      <c r="F72" s="91">
        <f t="shared" si="13"/>
        <v>290771.84793562867</v>
      </c>
      <c r="G72" s="91">
        <f t="shared" si="13"/>
        <v>503978.94768747088</v>
      </c>
      <c r="H72" s="91">
        <f t="shared" si="13"/>
        <v>706046.93564981699</v>
      </c>
      <c r="I72" s="91">
        <f t="shared" si="13"/>
        <v>714526.98097718053</v>
      </c>
      <c r="J72" s="91">
        <f t="shared" si="13"/>
        <v>724020.39585368417</v>
      </c>
      <c r="K72" s="91">
        <f t="shared" si="13"/>
        <v>733424.90447351115</v>
      </c>
      <c r="L72" s="91">
        <f t="shared" si="13"/>
        <v>743298.87386042601</v>
      </c>
      <c r="M72" s="91">
        <f t="shared" si="13"/>
        <v>752786.10436573427</v>
      </c>
      <c r="N72" s="91">
        <f t="shared" si="13"/>
        <v>762108.33457381721</v>
      </c>
      <c r="O72" s="91">
        <f t="shared" si="13"/>
        <v>771306.01455519453</v>
      </c>
      <c r="P72" s="91">
        <f t="shared" si="13"/>
        <v>780471.94302585965</v>
      </c>
      <c r="Q72" s="91">
        <f t="shared" si="13"/>
        <v>789585.43365438038</v>
      </c>
      <c r="R72" s="91">
        <f t="shared" si="13"/>
        <v>798312.19108815095</v>
      </c>
      <c r="S72" s="91">
        <f t="shared" si="13"/>
        <v>807343.90501001396</v>
      </c>
      <c r="T72" s="91">
        <f t="shared" si="13"/>
        <v>816744.78106665134</v>
      </c>
      <c r="U72" s="91">
        <f t="shared" si="13"/>
        <v>826199.75597337959</v>
      </c>
      <c r="V72" s="91">
        <f t="shared" si="13"/>
        <v>835440.59752762318</v>
      </c>
      <c r="W72" s="91">
        <f t="shared" si="13"/>
        <v>844784.79562731844</v>
      </c>
    </row>
    <row r="73" spans="1:23">
      <c r="A73" s="144"/>
      <c r="B73" s="145"/>
      <c r="C73" s="137"/>
      <c r="D73" s="137"/>
      <c r="E73" s="137"/>
      <c r="F73" s="137"/>
      <c r="G73" s="137"/>
      <c r="H73" s="137"/>
      <c r="I73" s="137"/>
      <c r="J73" s="137"/>
      <c r="K73" s="137"/>
      <c r="L73" s="137"/>
      <c r="M73" s="137"/>
      <c r="N73" s="137"/>
      <c r="O73" s="137"/>
      <c r="P73" s="137"/>
      <c r="Q73" s="137"/>
      <c r="R73" s="137"/>
      <c r="S73" s="137"/>
      <c r="T73" s="137"/>
      <c r="U73" s="137"/>
      <c r="V73" s="137"/>
      <c r="W73" s="137"/>
    </row>
    <row r="74" spans="1:23">
      <c r="A74" s="146" t="s">
        <v>224</v>
      </c>
      <c r="B74" s="147"/>
      <c r="C74" s="148">
        <f t="shared" ref="C74:W74" si="14">SUM(C71:C72)</f>
        <v>3157.9691006314497</v>
      </c>
      <c r="D74" s="148">
        <f t="shared" si="14"/>
        <v>83931.334133072116</v>
      </c>
      <c r="E74" s="148">
        <f t="shared" si="14"/>
        <v>288495.54562299082</v>
      </c>
      <c r="F74" s="148">
        <f t="shared" si="14"/>
        <v>636943.38479372952</v>
      </c>
      <c r="G74" s="148">
        <f t="shared" si="14"/>
        <v>1150133.0090383543</v>
      </c>
      <c r="H74" s="148">
        <f t="shared" si="14"/>
        <v>1611273.4278829508</v>
      </c>
      <c r="I74" s="148">
        <f t="shared" si="14"/>
        <v>1630625.7839563447</v>
      </c>
      <c r="J74" s="148">
        <f t="shared" si="14"/>
        <v>1652290.756011355</v>
      </c>
      <c r="K74" s="148">
        <f t="shared" si="14"/>
        <v>1673752.8346300758</v>
      </c>
      <c r="L74" s="148">
        <f t="shared" si="14"/>
        <v>1696286.2721362142</v>
      </c>
      <c r="M74" s="148">
        <f t="shared" si="14"/>
        <v>1717937.1308051702</v>
      </c>
      <c r="N74" s="148">
        <f t="shared" si="14"/>
        <v>1739211.4414274055</v>
      </c>
      <c r="O74" s="148">
        <f t="shared" si="14"/>
        <v>1760201.5153217488</v>
      </c>
      <c r="P74" s="148">
        <f t="shared" si="14"/>
        <v>1781119.1289263829</v>
      </c>
      <c r="Q74" s="148">
        <f t="shared" si="14"/>
        <v>1801917.0738554699</v>
      </c>
      <c r="R74" s="148">
        <f t="shared" si="14"/>
        <v>1821832.4529253803</v>
      </c>
      <c r="S74" s="148">
        <f t="shared" si="14"/>
        <v>1842443.7748018005</v>
      </c>
      <c r="T74" s="148">
        <f t="shared" si="14"/>
        <v>1863897.5635289471</v>
      </c>
      <c r="U74" s="148">
        <f t="shared" si="14"/>
        <v>1885474.8115266175</v>
      </c>
      <c r="V74" s="148">
        <f t="shared" si="14"/>
        <v>1906563.3846735649</v>
      </c>
      <c r="W74" s="148">
        <f t="shared" si="14"/>
        <v>1927887.8283368694</v>
      </c>
    </row>
    <row r="75" spans="1:23">
      <c r="A75" s="123"/>
      <c r="B75" s="123"/>
      <c r="C75" s="149"/>
      <c r="D75" s="149"/>
      <c r="E75" s="149"/>
      <c r="F75" s="149"/>
      <c r="G75" s="149"/>
      <c r="H75" s="149"/>
      <c r="I75" s="149"/>
      <c r="J75" s="149"/>
      <c r="K75" s="149"/>
      <c r="L75" s="149"/>
      <c r="M75" s="149"/>
      <c r="N75" s="149"/>
      <c r="O75" s="149"/>
      <c r="P75" s="149"/>
      <c r="Q75" s="149"/>
      <c r="R75" s="149"/>
      <c r="S75" s="149"/>
      <c r="T75" s="149"/>
      <c r="U75" s="149"/>
      <c r="V75" s="149"/>
      <c r="W75" s="149"/>
    </row>
    <row r="76" spans="1:23">
      <c r="A76" s="98" t="s">
        <v>312</v>
      </c>
      <c r="B76" s="98"/>
      <c r="C76" s="114"/>
      <c r="D76" s="130"/>
      <c r="E76" s="131"/>
      <c r="F76" s="193"/>
      <c r="G76" s="123"/>
      <c r="H76" s="133"/>
      <c r="I76" s="123"/>
      <c r="J76" s="78"/>
      <c r="L76" s="78"/>
    </row>
    <row r="77" spans="1:23">
      <c r="A77" s="113"/>
      <c r="B77" s="113"/>
      <c r="C77" s="114"/>
      <c r="D77" s="130"/>
      <c r="E77" s="131"/>
      <c r="F77" s="132"/>
      <c r="G77" s="123"/>
      <c r="H77" s="133"/>
      <c r="I77" s="123"/>
      <c r="J77" s="78"/>
      <c r="L77" s="78"/>
    </row>
    <row r="78" spans="1:23" ht="17.100000000000001" customHeight="1">
      <c r="A78" s="513" t="s">
        <v>214</v>
      </c>
      <c r="B78" s="514"/>
      <c r="C78" s="209">
        <v>2015</v>
      </c>
      <c r="D78" s="209">
        <v>2016</v>
      </c>
      <c r="E78" s="209">
        <v>2017</v>
      </c>
      <c r="F78" s="209">
        <v>2018</v>
      </c>
      <c r="G78" s="209">
        <v>2019</v>
      </c>
      <c r="H78" s="209">
        <v>2020</v>
      </c>
      <c r="I78" s="209">
        <v>2021</v>
      </c>
      <c r="J78" s="209">
        <v>2022</v>
      </c>
      <c r="K78" s="209">
        <v>2023</v>
      </c>
      <c r="L78" s="209">
        <v>2024</v>
      </c>
      <c r="M78" s="209">
        <v>2025</v>
      </c>
      <c r="N78" s="209">
        <v>2026</v>
      </c>
      <c r="O78" s="209">
        <v>2027</v>
      </c>
      <c r="P78" s="209">
        <v>2028</v>
      </c>
      <c r="Q78" s="209">
        <v>2029</v>
      </c>
      <c r="R78" s="209">
        <v>2030</v>
      </c>
      <c r="S78" s="209">
        <v>2031</v>
      </c>
      <c r="T78" s="209">
        <v>2032</v>
      </c>
      <c r="U78" s="209">
        <v>2033</v>
      </c>
      <c r="V78" s="209">
        <v>2034</v>
      </c>
      <c r="W78" s="209">
        <v>2035</v>
      </c>
    </row>
    <row r="79" spans="1:23">
      <c r="A79" s="146" t="str">
        <f>A64</f>
        <v xml:space="preserve">TOTAL ENABLEMENT COST </v>
      </c>
      <c r="B79" s="150"/>
      <c r="C79" s="151">
        <f t="shared" ref="C79:W79" si="15">C64</f>
        <v>25983.991371862281</v>
      </c>
      <c r="D79" s="151">
        <f t="shared" si="15"/>
        <v>664608.91579323984</v>
      </c>
      <c r="E79" s="151">
        <f t="shared" si="15"/>
        <v>1683168.6875223136</v>
      </c>
      <c r="F79" s="151">
        <f t="shared" si="15"/>
        <v>2867053.27317678</v>
      </c>
      <c r="G79" s="151">
        <f t="shared" si="15"/>
        <v>4222560.2415917376</v>
      </c>
      <c r="H79" s="151">
        <f t="shared" si="15"/>
        <v>3794295.7269844878</v>
      </c>
      <c r="I79" s="151">
        <f t="shared" si="15"/>
        <v>159232.54383195934</v>
      </c>
      <c r="J79" s="151">
        <f t="shared" si="15"/>
        <v>178260.91041754023</v>
      </c>
      <c r="K79" s="151">
        <f t="shared" si="15"/>
        <v>176591.48898561578</v>
      </c>
      <c r="L79" s="151">
        <f t="shared" si="15"/>
        <v>185406.70509436744</v>
      </c>
      <c r="M79" s="151">
        <f t="shared" si="15"/>
        <v>178144.78448667109</v>
      </c>
      <c r="N79" s="151">
        <f t="shared" si="15"/>
        <v>175046.52073383279</v>
      </c>
      <c r="O79" s="151">
        <f t="shared" si="15"/>
        <v>172707.80099029915</v>
      </c>
      <c r="P79" s="151">
        <f t="shared" si="15"/>
        <v>172111.59264163685</v>
      </c>
      <c r="Q79" s="151">
        <f t="shared" si="15"/>
        <v>171126.95038143627</v>
      </c>
      <c r="R79" s="151">
        <f t="shared" si="15"/>
        <v>163865.13655768274</v>
      </c>
      <c r="S79" s="151">
        <f t="shared" si="15"/>
        <v>169591.40280773659</v>
      </c>
      <c r="T79" s="151">
        <f t="shared" si="15"/>
        <v>176523.27917599701</v>
      </c>
      <c r="U79" s="151">
        <f t="shared" si="15"/>
        <v>177539.11071767681</v>
      </c>
      <c r="V79" s="151">
        <f t="shared" si="15"/>
        <v>173518.25975295162</v>
      </c>
      <c r="W79" s="151">
        <f t="shared" si="15"/>
        <v>175459.01891385613</v>
      </c>
    </row>
    <row r="80" spans="1:23">
      <c r="A80" s="146" t="str">
        <f>A74</f>
        <v>TOTAL IMPLEMENTATION COST</v>
      </c>
      <c r="B80" s="150"/>
      <c r="C80" s="151">
        <f>C74</f>
        <v>3157.9691006314497</v>
      </c>
      <c r="D80" s="151">
        <f t="shared" ref="D80:W80" si="16">D74</f>
        <v>83931.334133072116</v>
      </c>
      <c r="E80" s="151">
        <f t="shared" si="16"/>
        <v>288495.54562299082</v>
      </c>
      <c r="F80" s="151">
        <f t="shared" si="16"/>
        <v>636943.38479372952</v>
      </c>
      <c r="G80" s="151">
        <f t="shared" si="16"/>
        <v>1150133.0090383543</v>
      </c>
      <c r="H80" s="151">
        <f t="shared" si="16"/>
        <v>1611273.4278829508</v>
      </c>
      <c r="I80" s="151">
        <f t="shared" si="16"/>
        <v>1630625.7839563447</v>
      </c>
      <c r="J80" s="151">
        <f t="shared" si="16"/>
        <v>1652290.756011355</v>
      </c>
      <c r="K80" s="151">
        <f t="shared" si="16"/>
        <v>1673752.8346300758</v>
      </c>
      <c r="L80" s="151">
        <f t="shared" si="16"/>
        <v>1696286.2721362142</v>
      </c>
      <c r="M80" s="151">
        <f t="shared" si="16"/>
        <v>1717937.1308051702</v>
      </c>
      <c r="N80" s="151">
        <f t="shared" si="16"/>
        <v>1739211.4414274055</v>
      </c>
      <c r="O80" s="151">
        <f t="shared" si="16"/>
        <v>1760201.5153217488</v>
      </c>
      <c r="P80" s="151">
        <f t="shared" si="16"/>
        <v>1781119.1289263829</v>
      </c>
      <c r="Q80" s="151">
        <f t="shared" si="16"/>
        <v>1801917.0738554699</v>
      </c>
      <c r="R80" s="151">
        <f t="shared" si="16"/>
        <v>1821832.4529253803</v>
      </c>
      <c r="S80" s="151">
        <f t="shared" si="16"/>
        <v>1842443.7748018005</v>
      </c>
      <c r="T80" s="151">
        <f t="shared" si="16"/>
        <v>1863897.5635289471</v>
      </c>
      <c r="U80" s="151">
        <f t="shared" si="16"/>
        <v>1885474.8115266175</v>
      </c>
      <c r="V80" s="151">
        <f t="shared" si="16"/>
        <v>1906563.3846735649</v>
      </c>
      <c r="W80" s="151">
        <f t="shared" si="16"/>
        <v>1927887.8283368694</v>
      </c>
    </row>
    <row r="81" spans="1:23">
      <c r="A81" s="152" t="s">
        <v>226</v>
      </c>
      <c r="B81" s="150"/>
      <c r="C81" s="153">
        <f>SUM(C79:C80)</f>
        <v>29141.960472493731</v>
      </c>
      <c r="D81" s="153">
        <f t="shared" ref="D81:W81" si="17">SUM(D79:D80)</f>
        <v>748540.2499263119</v>
      </c>
      <c r="E81" s="153">
        <f t="shared" si="17"/>
        <v>1971664.2331453045</v>
      </c>
      <c r="F81" s="153">
        <f t="shared" si="17"/>
        <v>3503996.6579705095</v>
      </c>
      <c r="G81" s="153">
        <f t="shared" si="17"/>
        <v>5372693.2506300919</v>
      </c>
      <c r="H81" s="153">
        <f t="shared" si="17"/>
        <v>5405569.1548674386</v>
      </c>
      <c r="I81" s="153">
        <f t="shared" si="17"/>
        <v>1789858.3277883041</v>
      </c>
      <c r="J81" s="153">
        <f t="shared" si="17"/>
        <v>1830551.6664288952</v>
      </c>
      <c r="K81" s="153">
        <f t="shared" si="17"/>
        <v>1850344.3236156916</v>
      </c>
      <c r="L81" s="153">
        <f t="shared" si="17"/>
        <v>1881692.9772305817</v>
      </c>
      <c r="M81" s="153">
        <f t="shared" si="17"/>
        <v>1896081.9152918411</v>
      </c>
      <c r="N81" s="153">
        <f t="shared" si="17"/>
        <v>1914257.9621612383</v>
      </c>
      <c r="O81" s="153">
        <f t="shared" si="17"/>
        <v>1932909.3163120479</v>
      </c>
      <c r="P81" s="153">
        <f t="shared" si="17"/>
        <v>1953230.7215680196</v>
      </c>
      <c r="Q81" s="153">
        <f t="shared" si="17"/>
        <v>1973044.0242369063</v>
      </c>
      <c r="R81" s="153">
        <f t="shared" si="17"/>
        <v>1985697.589483063</v>
      </c>
      <c r="S81" s="153">
        <f t="shared" si="17"/>
        <v>2012035.177609537</v>
      </c>
      <c r="T81" s="153">
        <f t="shared" si="17"/>
        <v>2040420.8427049441</v>
      </c>
      <c r="U81" s="153">
        <f t="shared" si="17"/>
        <v>2063013.9222442943</v>
      </c>
      <c r="V81" s="153">
        <f t="shared" si="17"/>
        <v>2080081.6444265165</v>
      </c>
      <c r="W81" s="153">
        <f t="shared" si="17"/>
        <v>2103346.8472507256</v>
      </c>
    </row>
    <row r="84" spans="1:23" s="70" customFormat="1" ht="14.4"/>
  </sheetData>
  <mergeCells count="14">
    <mergeCell ref="A1:W1"/>
    <mergeCell ref="C28:W28"/>
    <mergeCell ref="A38:A39"/>
    <mergeCell ref="B38:B39"/>
    <mergeCell ref="C38:W38"/>
    <mergeCell ref="A78:B78"/>
    <mergeCell ref="B48:B49"/>
    <mergeCell ref="C48:W48"/>
    <mergeCell ref="A58:A59"/>
    <mergeCell ref="B58:B59"/>
    <mergeCell ref="C58:W58"/>
    <mergeCell ref="A68:A69"/>
    <mergeCell ref="B68:B69"/>
    <mergeCell ref="C68:W68"/>
  </mergeCells>
  <pageMargins left="0.75" right="0.75" top="1" bottom="1" header="0.5" footer="0.5"/>
  <pageSetup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W113"/>
  <sheetViews>
    <sheetView topLeftCell="A85" workbookViewId="0">
      <selection activeCell="B89" sqref="B89"/>
    </sheetView>
  </sheetViews>
  <sheetFormatPr defaultRowHeight="13.2"/>
  <cols>
    <col min="1" max="1" width="39.44140625" style="76" customWidth="1"/>
    <col min="2" max="2" width="28.5546875" style="76" customWidth="1"/>
    <col min="3" max="3" width="19.88671875" style="76" bestFit="1" customWidth="1"/>
    <col min="4" max="4" width="15" style="76" customWidth="1"/>
    <col min="5" max="5" width="17" style="76" bestFit="1" customWidth="1"/>
    <col min="6" max="7" width="12.88671875" style="76" customWidth="1"/>
    <col min="8" max="8" width="13.6640625" style="76" customWidth="1"/>
    <col min="9" max="23" width="12.88671875" style="76" customWidth="1"/>
    <col min="24" max="255" width="9.109375" style="76"/>
    <col min="256" max="256" width="33.88671875" style="76" customWidth="1"/>
    <col min="257" max="257" width="19.33203125" style="76" customWidth="1"/>
    <col min="258" max="279" width="12.88671875" style="76" customWidth="1"/>
    <col min="280" max="511" width="9.109375" style="76"/>
    <col min="512" max="512" width="33.88671875" style="76" customWidth="1"/>
    <col min="513" max="513" width="19.33203125" style="76" customWidth="1"/>
    <col min="514" max="535" width="12.88671875" style="76" customWidth="1"/>
    <col min="536" max="767" width="9.109375" style="76"/>
    <col min="768" max="768" width="33.88671875" style="76" customWidth="1"/>
    <col min="769" max="769" width="19.33203125" style="76" customWidth="1"/>
    <col min="770" max="791" width="12.88671875" style="76" customWidth="1"/>
    <col min="792" max="1023" width="9.109375" style="76"/>
    <col min="1024" max="1024" width="33.88671875" style="76" customWidth="1"/>
    <col min="1025" max="1025" width="19.33203125" style="76" customWidth="1"/>
    <col min="1026" max="1047" width="12.88671875" style="76" customWidth="1"/>
    <col min="1048" max="1279" width="9.109375" style="76"/>
    <col min="1280" max="1280" width="33.88671875" style="76" customWidth="1"/>
    <col min="1281" max="1281" width="19.33203125" style="76" customWidth="1"/>
    <col min="1282" max="1303" width="12.88671875" style="76" customWidth="1"/>
    <col min="1304" max="1535" width="9.109375" style="76"/>
    <col min="1536" max="1536" width="33.88671875" style="76" customWidth="1"/>
    <col min="1537" max="1537" width="19.33203125" style="76" customWidth="1"/>
    <col min="1538" max="1559" width="12.88671875" style="76" customWidth="1"/>
    <col min="1560" max="1791" width="9.109375" style="76"/>
    <col min="1792" max="1792" width="33.88671875" style="76" customWidth="1"/>
    <col min="1793" max="1793" width="19.33203125" style="76" customWidth="1"/>
    <col min="1794" max="1815" width="12.88671875" style="76" customWidth="1"/>
    <col min="1816" max="2047" width="9.109375" style="76"/>
    <col min="2048" max="2048" width="33.88671875" style="76" customWidth="1"/>
    <col min="2049" max="2049" width="19.33203125" style="76" customWidth="1"/>
    <col min="2050" max="2071" width="12.88671875" style="76" customWidth="1"/>
    <col min="2072" max="2303" width="9.109375" style="76"/>
    <col min="2304" max="2304" width="33.88671875" style="76" customWidth="1"/>
    <col min="2305" max="2305" width="19.33203125" style="76" customWidth="1"/>
    <col min="2306" max="2327" width="12.88671875" style="76" customWidth="1"/>
    <col min="2328" max="2559" width="9.109375" style="76"/>
    <col min="2560" max="2560" width="33.88671875" style="76" customWidth="1"/>
    <col min="2561" max="2561" width="19.33203125" style="76" customWidth="1"/>
    <col min="2562" max="2583" width="12.88671875" style="76" customWidth="1"/>
    <col min="2584" max="2815" width="9.109375" style="76"/>
    <col min="2816" max="2816" width="33.88671875" style="76" customWidth="1"/>
    <col min="2817" max="2817" width="19.33203125" style="76" customWidth="1"/>
    <col min="2818" max="2839" width="12.88671875" style="76" customWidth="1"/>
    <col min="2840" max="3071" width="9.109375" style="76"/>
    <col min="3072" max="3072" width="33.88671875" style="76" customWidth="1"/>
    <col min="3073" max="3073" width="19.33203125" style="76" customWidth="1"/>
    <col min="3074" max="3095" width="12.88671875" style="76" customWidth="1"/>
    <col min="3096" max="3327" width="9.109375" style="76"/>
    <col min="3328" max="3328" width="33.88671875" style="76" customWidth="1"/>
    <col min="3329" max="3329" width="19.33203125" style="76" customWidth="1"/>
    <col min="3330" max="3351" width="12.88671875" style="76" customWidth="1"/>
    <col min="3352" max="3583" width="9.109375" style="76"/>
    <col min="3584" max="3584" width="33.88671875" style="76" customWidth="1"/>
    <col min="3585" max="3585" width="19.33203125" style="76" customWidth="1"/>
    <col min="3586" max="3607" width="12.88671875" style="76" customWidth="1"/>
    <col min="3608" max="3839" width="9.109375" style="76"/>
    <col min="3840" max="3840" width="33.88671875" style="76" customWidth="1"/>
    <col min="3841" max="3841" width="19.33203125" style="76" customWidth="1"/>
    <col min="3842" max="3863" width="12.88671875" style="76" customWidth="1"/>
    <col min="3864" max="4095" width="9.109375" style="76"/>
    <col min="4096" max="4096" width="33.88671875" style="76" customWidth="1"/>
    <col min="4097" max="4097" width="19.33203125" style="76" customWidth="1"/>
    <col min="4098" max="4119" width="12.88671875" style="76" customWidth="1"/>
    <col min="4120" max="4351" width="9.109375" style="76"/>
    <col min="4352" max="4352" width="33.88671875" style="76" customWidth="1"/>
    <col min="4353" max="4353" width="19.33203125" style="76" customWidth="1"/>
    <col min="4354" max="4375" width="12.88671875" style="76" customWidth="1"/>
    <col min="4376" max="4607" width="9.109375" style="76"/>
    <col min="4608" max="4608" width="33.88671875" style="76" customWidth="1"/>
    <col min="4609" max="4609" width="19.33203125" style="76" customWidth="1"/>
    <col min="4610" max="4631" width="12.88671875" style="76" customWidth="1"/>
    <col min="4632" max="4863" width="9.109375" style="76"/>
    <col min="4864" max="4864" width="33.88671875" style="76" customWidth="1"/>
    <col min="4865" max="4865" width="19.33203125" style="76" customWidth="1"/>
    <col min="4866" max="4887" width="12.88671875" style="76" customWidth="1"/>
    <col min="4888" max="5119" width="9.109375" style="76"/>
    <col min="5120" max="5120" width="33.88671875" style="76" customWidth="1"/>
    <col min="5121" max="5121" width="19.33203125" style="76" customWidth="1"/>
    <col min="5122" max="5143" width="12.88671875" style="76" customWidth="1"/>
    <col min="5144" max="5375" width="9.109375" style="76"/>
    <col min="5376" max="5376" width="33.88671875" style="76" customWidth="1"/>
    <col min="5377" max="5377" width="19.33203125" style="76" customWidth="1"/>
    <col min="5378" max="5399" width="12.88671875" style="76" customWidth="1"/>
    <col min="5400" max="5631" width="9.109375" style="76"/>
    <col min="5632" max="5632" width="33.88671875" style="76" customWidth="1"/>
    <col min="5633" max="5633" width="19.33203125" style="76" customWidth="1"/>
    <col min="5634" max="5655" width="12.88671875" style="76" customWidth="1"/>
    <col min="5656" max="5887" width="9.109375" style="76"/>
    <col min="5888" max="5888" width="33.88671875" style="76" customWidth="1"/>
    <col min="5889" max="5889" width="19.33203125" style="76" customWidth="1"/>
    <col min="5890" max="5911" width="12.88671875" style="76" customWidth="1"/>
    <col min="5912" max="6143" width="9.109375" style="76"/>
    <col min="6144" max="6144" width="33.88671875" style="76" customWidth="1"/>
    <col min="6145" max="6145" width="19.33203125" style="76" customWidth="1"/>
    <col min="6146" max="6167" width="12.88671875" style="76" customWidth="1"/>
    <col min="6168" max="6399" width="9.109375" style="76"/>
    <col min="6400" max="6400" width="33.88671875" style="76" customWidth="1"/>
    <col min="6401" max="6401" width="19.33203125" style="76" customWidth="1"/>
    <col min="6402" max="6423" width="12.88671875" style="76" customWidth="1"/>
    <col min="6424" max="6655" width="9.109375" style="76"/>
    <col min="6656" max="6656" width="33.88671875" style="76" customWidth="1"/>
    <col min="6657" max="6657" width="19.33203125" style="76" customWidth="1"/>
    <col min="6658" max="6679" width="12.88671875" style="76" customWidth="1"/>
    <col min="6680" max="6911" width="9.109375" style="76"/>
    <col min="6912" max="6912" width="33.88671875" style="76" customWidth="1"/>
    <col min="6913" max="6913" width="19.33203125" style="76" customWidth="1"/>
    <col min="6914" max="6935" width="12.88671875" style="76" customWidth="1"/>
    <col min="6936" max="7167" width="9.109375" style="76"/>
    <col min="7168" max="7168" width="33.88671875" style="76" customWidth="1"/>
    <col min="7169" max="7169" width="19.33203125" style="76" customWidth="1"/>
    <col min="7170" max="7191" width="12.88671875" style="76" customWidth="1"/>
    <col min="7192" max="7423" width="9.109375" style="76"/>
    <col min="7424" max="7424" width="33.88671875" style="76" customWidth="1"/>
    <col min="7425" max="7425" width="19.33203125" style="76" customWidth="1"/>
    <col min="7426" max="7447" width="12.88671875" style="76" customWidth="1"/>
    <col min="7448" max="7679" width="9.109375" style="76"/>
    <col min="7680" max="7680" width="33.88671875" style="76" customWidth="1"/>
    <col min="7681" max="7681" width="19.33203125" style="76" customWidth="1"/>
    <col min="7682" max="7703" width="12.88671875" style="76" customWidth="1"/>
    <col min="7704" max="7935" width="9.109375" style="76"/>
    <col min="7936" max="7936" width="33.88671875" style="76" customWidth="1"/>
    <col min="7937" max="7937" width="19.33203125" style="76" customWidth="1"/>
    <col min="7938" max="7959" width="12.88671875" style="76" customWidth="1"/>
    <col min="7960" max="8191" width="9.109375" style="76"/>
    <col min="8192" max="8192" width="33.88671875" style="76" customWidth="1"/>
    <col min="8193" max="8193" width="19.33203125" style="76" customWidth="1"/>
    <col min="8194" max="8215" width="12.88671875" style="76" customWidth="1"/>
    <col min="8216" max="8447" width="9.109375" style="76"/>
    <col min="8448" max="8448" width="33.88671875" style="76" customWidth="1"/>
    <col min="8449" max="8449" width="19.33203125" style="76" customWidth="1"/>
    <col min="8450" max="8471" width="12.88671875" style="76" customWidth="1"/>
    <col min="8472" max="8703" width="9.109375" style="76"/>
    <col min="8704" max="8704" width="33.88671875" style="76" customWidth="1"/>
    <col min="8705" max="8705" width="19.33203125" style="76" customWidth="1"/>
    <col min="8706" max="8727" width="12.88671875" style="76" customWidth="1"/>
    <col min="8728" max="8959" width="9.109375" style="76"/>
    <col min="8960" max="8960" width="33.88671875" style="76" customWidth="1"/>
    <col min="8961" max="8961" width="19.33203125" style="76" customWidth="1"/>
    <col min="8962" max="8983" width="12.88671875" style="76" customWidth="1"/>
    <col min="8984" max="9215" width="9.109375" style="76"/>
    <col min="9216" max="9216" width="33.88671875" style="76" customWidth="1"/>
    <col min="9217" max="9217" width="19.33203125" style="76" customWidth="1"/>
    <col min="9218" max="9239" width="12.88671875" style="76" customWidth="1"/>
    <col min="9240" max="9471" width="9.109375" style="76"/>
    <col min="9472" max="9472" width="33.88671875" style="76" customWidth="1"/>
    <col min="9473" max="9473" width="19.33203125" style="76" customWidth="1"/>
    <col min="9474" max="9495" width="12.88671875" style="76" customWidth="1"/>
    <col min="9496" max="9727" width="9.109375" style="76"/>
    <col min="9728" max="9728" width="33.88671875" style="76" customWidth="1"/>
    <col min="9729" max="9729" width="19.33203125" style="76" customWidth="1"/>
    <col min="9730" max="9751" width="12.88671875" style="76" customWidth="1"/>
    <col min="9752" max="9983" width="9.109375" style="76"/>
    <col min="9984" max="9984" width="33.88671875" style="76" customWidth="1"/>
    <col min="9985" max="9985" width="19.33203125" style="76" customWidth="1"/>
    <col min="9986" max="10007" width="12.88671875" style="76" customWidth="1"/>
    <col min="10008" max="10239" width="9.109375" style="76"/>
    <col min="10240" max="10240" width="33.88671875" style="76" customWidth="1"/>
    <col min="10241" max="10241" width="19.33203125" style="76" customWidth="1"/>
    <col min="10242" max="10263" width="12.88671875" style="76" customWidth="1"/>
    <col min="10264" max="10495" width="9.109375" style="76"/>
    <col min="10496" max="10496" width="33.88671875" style="76" customWidth="1"/>
    <col min="10497" max="10497" width="19.33203125" style="76" customWidth="1"/>
    <col min="10498" max="10519" width="12.88671875" style="76" customWidth="1"/>
    <col min="10520" max="10751" width="9.109375" style="76"/>
    <col min="10752" max="10752" width="33.88671875" style="76" customWidth="1"/>
    <col min="10753" max="10753" width="19.33203125" style="76" customWidth="1"/>
    <col min="10754" max="10775" width="12.88671875" style="76" customWidth="1"/>
    <col min="10776" max="11007" width="9.109375" style="76"/>
    <col min="11008" max="11008" width="33.88671875" style="76" customWidth="1"/>
    <col min="11009" max="11009" width="19.33203125" style="76" customWidth="1"/>
    <col min="11010" max="11031" width="12.88671875" style="76" customWidth="1"/>
    <col min="11032" max="11263" width="9.109375" style="76"/>
    <col min="11264" max="11264" width="33.88671875" style="76" customWidth="1"/>
    <col min="11265" max="11265" width="19.33203125" style="76" customWidth="1"/>
    <col min="11266" max="11287" width="12.88671875" style="76" customWidth="1"/>
    <col min="11288" max="11519" width="9.109375" style="76"/>
    <col min="11520" max="11520" width="33.88671875" style="76" customWidth="1"/>
    <col min="11521" max="11521" width="19.33203125" style="76" customWidth="1"/>
    <col min="11522" max="11543" width="12.88671875" style="76" customWidth="1"/>
    <col min="11544" max="11775" width="9.109375" style="76"/>
    <col min="11776" max="11776" width="33.88671875" style="76" customWidth="1"/>
    <col min="11777" max="11777" width="19.33203125" style="76" customWidth="1"/>
    <col min="11778" max="11799" width="12.88671875" style="76" customWidth="1"/>
    <col min="11800" max="12031" width="9.109375" style="76"/>
    <col min="12032" max="12032" width="33.88671875" style="76" customWidth="1"/>
    <col min="12033" max="12033" width="19.33203125" style="76" customWidth="1"/>
    <col min="12034" max="12055" width="12.88671875" style="76" customWidth="1"/>
    <col min="12056" max="12287" width="9.109375" style="76"/>
    <col min="12288" max="12288" width="33.88671875" style="76" customWidth="1"/>
    <col min="12289" max="12289" width="19.33203125" style="76" customWidth="1"/>
    <col min="12290" max="12311" width="12.88671875" style="76" customWidth="1"/>
    <col min="12312" max="12543" width="9.109375" style="76"/>
    <col min="12544" max="12544" width="33.88671875" style="76" customWidth="1"/>
    <col min="12545" max="12545" width="19.33203125" style="76" customWidth="1"/>
    <col min="12546" max="12567" width="12.88671875" style="76" customWidth="1"/>
    <col min="12568" max="12799" width="9.109375" style="76"/>
    <col min="12800" max="12800" width="33.88671875" style="76" customWidth="1"/>
    <col min="12801" max="12801" width="19.33203125" style="76" customWidth="1"/>
    <col min="12802" max="12823" width="12.88671875" style="76" customWidth="1"/>
    <col min="12824" max="13055" width="9.109375" style="76"/>
    <col min="13056" max="13056" width="33.88671875" style="76" customWidth="1"/>
    <col min="13057" max="13057" width="19.33203125" style="76" customWidth="1"/>
    <col min="13058" max="13079" width="12.88671875" style="76" customWidth="1"/>
    <col min="13080" max="13311" width="9.109375" style="76"/>
    <col min="13312" max="13312" width="33.88671875" style="76" customWidth="1"/>
    <col min="13313" max="13313" width="19.33203125" style="76" customWidth="1"/>
    <col min="13314" max="13335" width="12.88671875" style="76" customWidth="1"/>
    <col min="13336" max="13567" width="9.109375" style="76"/>
    <col min="13568" max="13568" width="33.88671875" style="76" customWidth="1"/>
    <col min="13569" max="13569" width="19.33203125" style="76" customWidth="1"/>
    <col min="13570" max="13591" width="12.88671875" style="76" customWidth="1"/>
    <col min="13592" max="13823" width="9.109375" style="76"/>
    <col min="13824" max="13824" width="33.88671875" style="76" customWidth="1"/>
    <col min="13825" max="13825" width="19.33203125" style="76" customWidth="1"/>
    <col min="13826" max="13847" width="12.88671875" style="76" customWidth="1"/>
    <col min="13848" max="14079" width="9.109375" style="76"/>
    <col min="14080" max="14080" width="33.88671875" style="76" customWidth="1"/>
    <col min="14081" max="14081" width="19.33203125" style="76" customWidth="1"/>
    <col min="14082" max="14103" width="12.88671875" style="76" customWidth="1"/>
    <col min="14104" max="14335" width="9.109375" style="76"/>
    <col min="14336" max="14336" width="33.88671875" style="76" customWidth="1"/>
    <col min="14337" max="14337" width="19.33203125" style="76" customWidth="1"/>
    <col min="14338" max="14359" width="12.88671875" style="76" customWidth="1"/>
    <col min="14360" max="14591" width="9.109375" style="76"/>
    <col min="14592" max="14592" width="33.88671875" style="76" customWidth="1"/>
    <col min="14593" max="14593" width="19.33203125" style="76" customWidth="1"/>
    <col min="14594" max="14615" width="12.88671875" style="76" customWidth="1"/>
    <col min="14616" max="14847" width="9.109375" style="76"/>
    <col min="14848" max="14848" width="33.88671875" style="76" customWidth="1"/>
    <col min="14849" max="14849" width="19.33203125" style="76" customWidth="1"/>
    <col min="14850" max="14871" width="12.88671875" style="76" customWidth="1"/>
    <col min="14872" max="15103" width="9.109375" style="76"/>
    <col min="15104" max="15104" width="33.88671875" style="76" customWidth="1"/>
    <col min="15105" max="15105" width="19.33203125" style="76" customWidth="1"/>
    <col min="15106" max="15127" width="12.88671875" style="76" customWidth="1"/>
    <col min="15128" max="15359" width="9.109375" style="76"/>
    <col min="15360" max="15360" width="33.88671875" style="76" customWidth="1"/>
    <col min="15361" max="15361" width="19.33203125" style="76" customWidth="1"/>
    <col min="15362" max="15383" width="12.88671875" style="76" customWidth="1"/>
    <col min="15384" max="15615" width="9.109375" style="76"/>
    <col min="15616" max="15616" width="33.88671875" style="76" customWidth="1"/>
    <col min="15617" max="15617" width="19.33203125" style="76" customWidth="1"/>
    <col min="15618" max="15639" width="12.88671875" style="76" customWidth="1"/>
    <col min="15640" max="15871" width="9.109375" style="76"/>
    <col min="15872" max="15872" width="33.88671875" style="76" customWidth="1"/>
    <col min="15873" max="15873" width="19.33203125" style="76" customWidth="1"/>
    <col min="15874" max="15895" width="12.88671875" style="76" customWidth="1"/>
    <col min="15896" max="16127" width="9.109375" style="76"/>
    <col min="16128" max="16128" width="33.88671875" style="76" customWidth="1"/>
    <col min="16129" max="16129" width="19.33203125" style="76" customWidth="1"/>
    <col min="16130" max="16151" width="12.88671875" style="76" customWidth="1"/>
    <col min="16152" max="16384" width="9.109375" style="76"/>
  </cols>
  <sheetData>
    <row r="1" spans="1:23" ht="16.2" thickBot="1">
      <c r="A1" s="494" t="s">
        <v>366</v>
      </c>
      <c r="B1" s="495"/>
      <c r="C1" s="495"/>
      <c r="D1" s="495"/>
      <c r="E1" s="495"/>
      <c r="F1" s="495"/>
      <c r="G1" s="495"/>
      <c r="H1" s="495"/>
      <c r="I1" s="495"/>
      <c r="J1" s="495"/>
      <c r="K1" s="495"/>
      <c r="L1" s="495"/>
      <c r="M1" s="495"/>
      <c r="N1" s="495"/>
      <c r="O1" s="495"/>
      <c r="P1" s="495"/>
      <c r="Q1" s="495"/>
      <c r="R1" s="495"/>
      <c r="S1" s="495"/>
      <c r="T1" s="495"/>
      <c r="U1" s="495"/>
      <c r="V1" s="495"/>
      <c r="W1" s="496"/>
    </row>
    <row r="2" spans="1:23" ht="16.2" thickBot="1">
      <c r="A2" s="181" t="s">
        <v>235</v>
      </c>
      <c r="B2" s="182"/>
      <c r="C2" s="182"/>
      <c r="D2" s="182"/>
      <c r="E2" s="182"/>
      <c r="F2" s="182"/>
      <c r="G2" s="182"/>
      <c r="H2" s="182"/>
      <c r="I2" s="182"/>
      <c r="J2" s="182"/>
      <c r="K2" s="182"/>
      <c r="L2" s="182"/>
      <c r="M2" s="183"/>
      <c r="N2" s="183"/>
      <c r="O2" s="183"/>
      <c r="P2" s="183"/>
      <c r="Q2" s="183"/>
      <c r="R2" s="183"/>
      <c r="S2" s="183"/>
      <c r="T2" s="183"/>
      <c r="U2" s="183"/>
      <c r="V2" s="183"/>
      <c r="W2" s="184"/>
    </row>
    <row r="3" spans="1:23" ht="15.6">
      <c r="A3" s="154" t="s">
        <v>313</v>
      </c>
      <c r="B3" s="155"/>
      <c r="C3" s="155"/>
      <c r="D3" s="156"/>
      <c r="E3" s="156"/>
      <c r="F3" s="156"/>
      <c r="G3" s="156"/>
      <c r="H3" s="156"/>
      <c r="I3" s="156"/>
      <c r="J3" s="156"/>
      <c r="K3" s="156"/>
      <c r="L3" s="156"/>
      <c r="M3" s="157"/>
      <c r="N3" s="157"/>
      <c r="O3" s="157"/>
      <c r="P3" s="157"/>
      <c r="Q3" s="157"/>
      <c r="R3" s="157"/>
      <c r="S3" s="157"/>
      <c r="T3" s="157"/>
      <c r="U3" s="157"/>
      <c r="V3" s="157"/>
      <c r="W3" s="158"/>
    </row>
    <row r="4" spans="1:23" ht="15.6">
      <c r="A4" s="188"/>
      <c r="B4" s="161" t="s">
        <v>241</v>
      </c>
      <c r="C4" s="177">
        <f>KeyAssumptions!AE11</f>
        <v>1</v>
      </c>
      <c r="D4" s="166"/>
      <c r="E4" s="166"/>
      <c r="F4" s="166"/>
      <c r="G4" s="166"/>
      <c r="H4" s="166"/>
      <c r="I4" s="166"/>
      <c r="J4" s="166"/>
      <c r="K4" s="166"/>
      <c r="L4" s="166"/>
      <c r="M4" s="167"/>
      <c r="N4" s="167"/>
      <c r="O4" s="167"/>
      <c r="P4" s="167"/>
      <c r="Q4" s="167"/>
      <c r="R4" s="167"/>
      <c r="S4" s="167"/>
      <c r="T4" s="167"/>
      <c r="U4" s="167"/>
      <c r="V4" s="167"/>
      <c r="W4" s="168"/>
    </row>
    <row r="5" spans="1:23" ht="15.6">
      <c r="A5" s="188"/>
      <c r="B5" s="161" t="s">
        <v>207</v>
      </c>
      <c r="C5" s="177">
        <f>KeyAssumptions!AF11</f>
        <v>0.2</v>
      </c>
      <c r="D5" s="166"/>
      <c r="E5" s="166"/>
      <c r="F5" s="166"/>
      <c r="G5" s="166"/>
      <c r="H5" s="166"/>
      <c r="I5" s="166"/>
      <c r="J5" s="166"/>
      <c r="K5" s="166"/>
      <c r="L5" s="166"/>
      <c r="M5" s="167"/>
      <c r="N5" s="167"/>
      <c r="O5" s="167"/>
      <c r="P5" s="167"/>
      <c r="Q5" s="167"/>
      <c r="R5" s="167"/>
      <c r="S5" s="167"/>
      <c r="T5" s="167"/>
      <c r="U5" s="167"/>
      <c r="V5" s="167"/>
      <c r="W5" s="168"/>
    </row>
    <row r="6" spans="1:23" ht="15.75" customHeight="1">
      <c r="A6" s="188"/>
      <c r="B6" s="191" t="s">
        <v>355</v>
      </c>
      <c r="C6" s="177">
        <v>0.95</v>
      </c>
      <c r="D6" s="166"/>
      <c r="E6" s="166"/>
      <c r="F6" s="166"/>
      <c r="G6" s="166"/>
      <c r="H6" s="166"/>
      <c r="I6" s="166"/>
      <c r="J6" s="166"/>
      <c r="K6" s="166"/>
      <c r="L6" s="166"/>
      <c r="M6" s="167"/>
      <c r="N6" s="167"/>
      <c r="O6" s="167"/>
      <c r="P6" s="167"/>
      <c r="Q6" s="167"/>
      <c r="R6" s="167"/>
      <c r="S6" s="167"/>
      <c r="T6" s="167"/>
      <c r="U6" s="167"/>
      <c r="V6" s="167"/>
      <c r="W6" s="168"/>
    </row>
    <row r="7" spans="1:23" ht="15.6">
      <c r="A7" s="188"/>
      <c r="B7" s="160"/>
      <c r="C7" s="160"/>
      <c r="D7" s="166"/>
      <c r="E7" s="166"/>
      <c r="F7" s="166"/>
      <c r="G7" s="166"/>
      <c r="H7" s="166"/>
      <c r="I7" s="166"/>
      <c r="J7" s="166"/>
      <c r="K7" s="166"/>
      <c r="L7" s="166"/>
      <c r="M7" s="167"/>
      <c r="N7" s="167"/>
      <c r="O7" s="167"/>
      <c r="P7" s="167"/>
      <c r="Q7" s="167"/>
      <c r="R7" s="167"/>
      <c r="S7" s="167"/>
      <c r="T7" s="167"/>
      <c r="U7" s="167"/>
      <c r="V7" s="167"/>
      <c r="W7" s="168"/>
    </row>
    <row r="8" spans="1:23">
      <c r="A8" s="159"/>
      <c r="B8" s="161" t="s">
        <v>1</v>
      </c>
      <c r="C8" s="162">
        <v>2015</v>
      </c>
      <c r="D8" s="162">
        <v>2016</v>
      </c>
      <c r="E8" s="162">
        <v>2017</v>
      </c>
      <c r="F8" s="162">
        <v>2018</v>
      </c>
      <c r="G8" s="162">
        <v>2019</v>
      </c>
      <c r="H8" s="162">
        <v>2020</v>
      </c>
      <c r="I8" s="162">
        <v>2021</v>
      </c>
      <c r="J8" s="162">
        <v>2022</v>
      </c>
      <c r="K8" s="162">
        <v>2023</v>
      </c>
      <c r="L8" s="162">
        <v>2024</v>
      </c>
      <c r="M8" s="162">
        <v>2025</v>
      </c>
      <c r="N8" s="162">
        <v>2026</v>
      </c>
      <c r="O8" s="162">
        <v>2027</v>
      </c>
      <c r="P8" s="162">
        <v>2028</v>
      </c>
      <c r="Q8" s="162">
        <v>2029</v>
      </c>
      <c r="R8" s="162">
        <v>2030</v>
      </c>
      <c r="S8" s="162">
        <v>2031</v>
      </c>
      <c r="T8" s="162">
        <v>2032</v>
      </c>
      <c r="U8" s="162">
        <v>2033</v>
      </c>
      <c r="V8" s="162">
        <v>2034</v>
      </c>
      <c r="W8" s="163">
        <v>2035</v>
      </c>
    </row>
    <row r="9" spans="1:23">
      <c r="A9" s="159"/>
      <c r="B9" s="161" t="s">
        <v>231</v>
      </c>
      <c r="C9" s="177">
        <v>0.05</v>
      </c>
      <c r="D9" s="177">
        <v>0.2</v>
      </c>
      <c r="E9" s="177">
        <v>0.2</v>
      </c>
      <c r="F9" s="177">
        <v>0.2</v>
      </c>
      <c r="G9" s="177">
        <v>0.2</v>
      </c>
      <c r="H9" s="177">
        <v>0.15</v>
      </c>
      <c r="I9" s="177">
        <v>0</v>
      </c>
      <c r="J9" s="177">
        <v>0</v>
      </c>
      <c r="K9" s="177">
        <v>0</v>
      </c>
      <c r="L9" s="177">
        <v>0</v>
      </c>
      <c r="M9" s="177">
        <v>0</v>
      </c>
      <c r="N9" s="177">
        <v>0</v>
      </c>
      <c r="O9" s="177">
        <v>0</v>
      </c>
      <c r="P9" s="177">
        <v>0</v>
      </c>
      <c r="Q9" s="177">
        <v>0</v>
      </c>
      <c r="R9" s="177">
        <v>0</v>
      </c>
      <c r="S9" s="177">
        <v>0</v>
      </c>
      <c r="T9" s="177">
        <v>0</v>
      </c>
      <c r="U9" s="177">
        <v>0</v>
      </c>
      <c r="V9" s="177">
        <v>0</v>
      </c>
      <c r="W9" s="225">
        <v>0</v>
      </c>
    </row>
    <row r="10" spans="1:23">
      <c r="A10" s="159"/>
      <c r="B10" s="161" t="s">
        <v>237</v>
      </c>
      <c r="C10" s="177">
        <f>C9</f>
        <v>0.05</v>
      </c>
      <c r="D10" s="177">
        <f>C10+D9</f>
        <v>0.25</v>
      </c>
      <c r="E10" s="177">
        <f t="shared" ref="E10:W10" si="0">D10+E9</f>
        <v>0.45</v>
      </c>
      <c r="F10" s="177">
        <f t="shared" si="0"/>
        <v>0.65</v>
      </c>
      <c r="G10" s="177">
        <f t="shared" si="0"/>
        <v>0.85000000000000009</v>
      </c>
      <c r="H10" s="177">
        <f t="shared" si="0"/>
        <v>1</v>
      </c>
      <c r="I10" s="177">
        <f t="shared" si="0"/>
        <v>1</v>
      </c>
      <c r="J10" s="177">
        <f t="shared" si="0"/>
        <v>1</v>
      </c>
      <c r="K10" s="177">
        <f t="shared" si="0"/>
        <v>1</v>
      </c>
      <c r="L10" s="177">
        <f t="shared" si="0"/>
        <v>1</v>
      </c>
      <c r="M10" s="177">
        <f t="shared" si="0"/>
        <v>1</v>
      </c>
      <c r="N10" s="177">
        <f t="shared" si="0"/>
        <v>1</v>
      </c>
      <c r="O10" s="177">
        <f t="shared" si="0"/>
        <v>1</v>
      </c>
      <c r="P10" s="177">
        <f t="shared" si="0"/>
        <v>1</v>
      </c>
      <c r="Q10" s="177">
        <f t="shared" si="0"/>
        <v>1</v>
      </c>
      <c r="R10" s="177">
        <f t="shared" si="0"/>
        <v>1</v>
      </c>
      <c r="S10" s="177">
        <f t="shared" si="0"/>
        <v>1</v>
      </c>
      <c r="T10" s="177">
        <f t="shared" si="0"/>
        <v>1</v>
      </c>
      <c r="U10" s="177">
        <f t="shared" si="0"/>
        <v>1</v>
      </c>
      <c r="V10" s="177">
        <f t="shared" si="0"/>
        <v>1</v>
      </c>
      <c r="W10" s="225">
        <f t="shared" si="0"/>
        <v>1</v>
      </c>
    </row>
    <row r="11" spans="1:23">
      <c r="A11" s="159"/>
      <c r="B11" s="161" t="s">
        <v>232</v>
      </c>
      <c r="C11" s="177">
        <v>0.01</v>
      </c>
      <c r="D11" s="177">
        <v>0.01</v>
      </c>
      <c r="E11" s="177">
        <v>0.01</v>
      </c>
      <c r="F11" s="177">
        <v>0.01</v>
      </c>
      <c r="G11" s="177">
        <v>0.01</v>
      </c>
      <c r="H11" s="177">
        <v>0.01</v>
      </c>
      <c r="I11" s="177">
        <v>0.01</v>
      </c>
      <c r="J11" s="177">
        <v>0.01</v>
      </c>
      <c r="K11" s="177">
        <v>0.01</v>
      </c>
      <c r="L11" s="177">
        <v>0.01</v>
      </c>
      <c r="M11" s="177">
        <v>0.01</v>
      </c>
      <c r="N11" s="177">
        <v>0.01</v>
      </c>
      <c r="O11" s="177">
        <v>0.01</v>
      </c>
      <c r="P11" s="177">
        <v>0.01</v>
      </c>
      <c r="Q11" s="177">
        <v>0.01</v>
      </c>
      <c r="R11" s="177">
        <v>0.01</v>
      </c>
      <c r="S11" s="177">
        <v>0.01</v>
      </c>
      <c r="T11" s="177">
        <v>0.01</v>
      </c>
      <c r="U11" s="177">
        <v>0.01</v>
      </c>
      <c r="V11" s="177">
        <v>0.01</v>
      </c>
      <c r="W11" s="225">
        <v>0.01</v>
      </c>
    </row>
    <row r="12" spans="1:23" ht="13.8" thickBot="1">
      <c r="A12" s="164"/>
      <c r="B12" s="165" t="s">
        <v>351</v>
      </c>
      <c r="C12" s="226">
        <v>1</v>
      </c>
      <c r="D12" s="226">
        <v>1</v>
      </c>
      <c r="E12" s="226">
        <v>1</v>
      </c>
      <c r="F12" s="226">
        <v>1</v>
      </c>
      <c r="G12" s="226">
        <v>1</v>
      </c>
      <c r="H12" s="226">
        <v>1</v>
      </c>
      <c r="I12" s="226">
        <v>1</v>
      </c>
      <c r="J12" s="226">
        <v>1</v>
      </c>
      <c r="K12" s="226">
        <v>1</v>
      </c>
      <c r="L12" s="226">
        <v>1</v>
      </c>
      <c r="M12" s="226">
        <v>1</v>
      </c>
      <c r="N12" s="226">
        <v>1</v>
      </c>
      <c r="O12" s="226">
        <v>1</v>
      </c>
      <c r="P12" s="226">
        <v>1</v>
      </c>
      <c r="Q12" s="226">
        <v>1</v>
      </c>
      <c r="R12" s="226">
        <v>1</v>
      </c>
      <c r="S12" s="226">
        <v>1</v>
      </c>
      <c r="T12" s="226">
        <v>1</v>
      </c>
      <c r="U12" s="226">
        <v>1</v>
      </c>
      <c r="V12" s="226">
        <v>1</v>
      </c>
      <c r="W12" s="226">
        <v>1</v>
      </c>
    </row>
    <row r="13" spans="1:23" ht="16.2" thickBot="1">
      <c r="A13" s="173"/>
      <c r="B13" s="173"/>
      <c r="C13" s="173"/>
      <c r="D13" s="174"/>
      <c r="E13" s="174"/>
      <c r="F13" s="174"/>
      <c r="G13" s="174"/>
      <c r="H13" s="174"/>
      <c r="I13" s="174"/>
      <c r="J13" s="174"/>
      <c r="K13" s="174"/>
      <c r="L13" s="174"/>
      <c r="M13" s="175"/>
      <c r="N13" s="175"/>
      <c r="O13" s="175"/>
      <c r="P13" s="175"/>
      <c r="Q13" s="175"/>
      <c r="R13" s="175"/>
      <c r="S13" s="175"/>
      <c r="T13" s="175"/>
      <c r="U13" s="175"/>
      <c r="V13" s="175"/>
      <c r="W13" s="175"/>
    </row>
    <row r="14" spans="1:23" ht="15.6">
      <c r="A14" s="154" t="s">
        <v>322</v>
      </c>
      <c r="B14" s="155"/>
      <c r="C14" s="155"/>
      <c r="D14" s="156"/>
      <c r="E14" s="156"/>
      <c r="F14" s="156"/>
      <c r="G14" s="156"/>
      <c r="H14" s="156"/>
      <c r="I14" s="156"/>
      <c r="J14" s="156"/>
      <c r="K14" s="156"/>
      <c r="L14" s="156"/>
      <c r="M14" s="157"/>
      <c r="N14" s="157"/>
      <c r="O14" s="157"/>
      <c r="P14" s="157"/>
      <c r="Q14" s="157"/>
      <c r="R14" s="157"/>
      <c r="S14" s="157"/>
      <c r="T14" s="157"/>
      <c r="U14" s="157"/>
      <c r="V14" s="157"/>
      <c r="W14" s="158"/>
    </row>
    <row r="15" spans="1:23" ht="15.6">
      <c r="A15" s="188"/>
      <c r="B15" s="161" t="s">
        <v>241</v>
      </c>
      <c r="C15" s="176">
        <f>KeyAssumptions!AE12</f>
        <v>1</v>
      </c>
      <c r="D15" s="166"/>
      <c r="E15" s="166"/>
      <c r="F15" s="166"/>
      <c r="G15" s="166"/>
      <c r="H15" s="166"/>
      <c r="I15" s="166"/>
      <c r="J15" s="166"/>
      <c r="K15" s="166"/>
      <c r="L15" s="166"/>
      <c r="M15" s="167"/>
      <c r="N15" s="167"/>
      <c r="O15" s="167"/>
      <c r="P15" s="167"/>
      <c r="Q15" s="167"/>
      <c r="R15" s="167"/>
      <c r="S15" s="167"/>
      <c r="T15" s="167"/>
      <c r="U15" s="167"/>
      <c r="V15" s="167"/>
      <c r="W15" s="168"/>
    </row>
    <row r="16" spans="1:23" ht="15.6">
      <c r="A16" s="188"/>
      <c r="B16" s="161" t="s">
        <v>207</v>
      </c>
      <c r="C16" s="177">
        <f>KeyAssumptions!AF12</f>
        <v>0.25</v>
      </c>
      <c r="D16" s="166"/>
      <c r="E16" s="166"/>
      <c r="F16" s="166"/>
      <c r="G16" s="166"/>
      <c r="H16" s="166"/>
      <c r="I16" s="166"/>
      <c r="J16" s="166"/>
      <c r="K16" s="166"/>
      <c r="L16" s="166"/>
      <c r="M16" s="167"/>
      <c r="N16" s="167"/>
      <c r="O16" s="167"/>
      <c r="P16" s="167"/>
      <c r="Q16" s="167"/>
      <c r="R16" s="167"/>
      <c r="S16" s="167"/>
      <c r="T16" s="167"/>
      <c r="U16" s="167"/>
      <c r="V16" s="167"/>
      <c r="W16" s="168"/>
    </row>
    <row r="17" spans="1:23" ht="15.75" customHeight="1">
      <c r="A17" s="188"/>
      <c r="B17" s="191" t="s">
        <v>355</v>
      </c>
      <c r="C17" s="177">
        <v>0.95</v>
      </c>
      <c r="D17" s="166"/>
      <c r="E17" s="166"/>
      <c r="F17" s="166"/>
      <c r="G17" s="166"/>
      <c r="H17" s="166"/>
      <c r="I17" s="166"/>
      <c r="J17" s="166"/>
      <c r="K17" s="166"/>
      <c r="L17" s="166"/>
      <c r="M17" s="167"/>
      <c r="N17" s="167"/>
      <c r="O17" s="167"/>
      <c r="P17" s="167"/>
      <c r="Q17" s="167"/>
      <c r="R17" s="167"/>
      <c r="S17" s="167"/>
      <c r="T17" s="167"/>
      <c r="U17" s="167"/>
      <c r="V17" s="167"/>
      <c r="W17" s="168"/>
    </row>
    <row r="18" spans="1:23" ht="15.6">
      <c r="A18" s="188"/>
      <c r="B18" s="160"/>
      <c r="C18" s="160"/>
      <c r="D18" s="166"/>
      <c r="E18" s="166"/>
      <c r="F18" s="166"/>
      <c r="G18" s="166"/>
      <c r="H18" s="166"/>
      <c r="I18" s="166"/>
      <c r="J18" s="166"/>
      <c r="K18" s="166"/>
      <c r="L18" s="166"/>
      <c r="M18" s="167"/>
      <c r="N18" s="167"/>
      <c r="O18" s="167"/>
      <c r="P18" s="167"/>
      <c r="Q18" s="167"/>
      <c r="R18" s="167"/>
      <c r="S18" s="167"/>
      <c r="T18" s="167"/>
      <c r="U18" s="167"/>
      <c r="V18" s="167"/>
      <c r="W18" s="168"/>
    </row>
    <row r="19" spans="1:23">
      <c r="A19" s="159"/>
      <c r="B19" s="161" t="s">
        <v>1</v>
      </c>
      <c r="C19" s="162">
        <v>2015</v>
      </c>
      <c r="D19" s="162">
        <v>2016</v>
      </c>
      <c r="E19" s="162">
        <v>2017</v>
      </c>
      <c r="F19" s="162">
        <v>2018</v>
      </c>
      <c r="G19" s="162">
        <v>2019</v>
      </c>
      <c r="H19" s="162">
        <v>2020</v>
      </c>
      <c r="I19" s="162">
        <v>2021</v>
      </c>
      <c r="J19" s="162">
        <v>2022</v>
      </c>
      <c r="K19" s="162">
        <v>2023</v>
      </c>
      <c r="L19" s="162">
        <v>2024</v>
      </c>
      <c r="M19" s="162">
        <v>2025</v>
      </c>
      <c r="N19" s="162">
        <v>2026</v>
      </c>
      <c r="O19" s="162">
        <v>2027</v>
      </c>
      <c r="P19" s="162">
        <v>2028</v>
      </c>
      <c r="Q19" s="162">
        <v>2029</v>
      </c>
      <c r="R19" s="162">
        <v>2030</v>
      </c>
      <c r="S19" s="162">
        <v>2031</v>
      </c>
      <c r="T19" s="162">
        <v>2032</v>
      </c>
      <c r="U19" s="162">
        <v>2033</v>
      </c>
      <c r="V19" s="162">
        <v>2034</v>
      </c>
      <c r="W19" s="163">
        <v>2035</v>
      </c>
    </row>
    <row r="20" spans="1:23">
      <c r="A20" s="159"/>
      <c r="B20" s="161" t="s">
        <v>231</v>
      </c>
      <c r="C20" s="177">
        <v>0.05</v>
      </c>
      <c r="D20" s="177">
        <v>0.2</v>
      </c>
      <c r="E20" s="177">
        <v>0.2</v>
      </c>
      <c r="F20" s="177">
        <v>0.2</v>
      </c>
      <c r="G20" s="177">
        <v>0.2</v>
      </c>
      <c r="H20" s="177">
        <v>0.15</v>
      </c>
      <c r="I20" s="177">
        <v>0</v>
      </c>
      <c r="J20" s="177">
        <v>0</v>
      </c>
      <c r="K20" s="177">
        <v>0</v>
      </c>
      <c r="L20" s="177">
        <v>0</v>
      </c>
      <c r="M20" s="177">
        <v>0</v>
      </c>
      <c r="N20" s="177">
        <v>0</v>
      </c>
      <c r="O20" s="177">
        <v>0</v>
      </c>
      <c r="P20" s="177">
        <v>0</v>
      </c>
      <c r="Q20" s="177">
        <v>0</v>
      </c>
      <c r="R20" s="177">
        <v>0</v>
      </c>
      <c r="S20" s="177">
        <v>0</v>
      </c>
      <c r="T20" s="177">
        <v>0</v>
      </c>
      <c r="U20" s="177">
        <v>0</v>
      </c>
      <c r="V20" s="177">
        <v>0</v>
      </c>
      <c r="W20" s="225">
        <v>0</v>
      </c>
    </row>
    <row r="21" spans="1:23">
      <c r="A21" s="159"/>
      <c r="B21" s="161" t="s">
        <v>237</v>
      </c>
      <c r="C21" s="177">
        <f>C20</f>
        <v>0.05</v>
      </c>
      <c r="D21" s="177">
        <f>C21+D20</f>
        <v>0.25</v>
      </c>
      <c r="E21" s="177">
        <f t="shared" ref="E21:W21" si="1">D21+E20</f>
        <v>0.45</v>
      </c>
      <c r="F21" s="177">
        <f t="shared" si="1"/>
        <v>0.65</v>
      </c>
      <c r="G21" s="177">
        <f t="shared" si="1"/>
        <v>0.85000000000000009</v>
      </c>
      <c r="H21" s="177">
        <f t="shared" si="1"/>
        <v>1</v>
      </c>
      <c r="I21" s="177">
        <f t="shared" si="1"/>
        <v>1</v>
      </c>
      <c r="J21" s="177">
        <f t="shared" si="1"/>
        <v>1</v>
      </c>
      <c r="K21" s="177">
        <f t="shared" si="1"/>
        <v>1</v>
      </c>
      <c r="L21" s="177">
        <f t="shared" si="1"/>
        <v>1</v>
      </c>
      <c r="M21" s="177">
        <f t="shared" si="1"/>
        <v>1</v>
      </c>
      <c r="N21" s="177">
        <f t="shared" si="1"/>
        <v>1</v>
      </c>
      <c r="O21" s="177">
        <f t="shared" si="1"/>
        <v>1</v>
      </c>
      <c r="P21" s="177">
        <f t="shared" si="1"/>
        <v>1</v>
      </c>
      <c r="Q21" s="177">
        <f t="shared" si="1"/>
        <v>1</v>
      </c>
      <c r="R21" s="177">
        <f t="shared" si="1"/>
        <v>1</v>
      </c>
      <c r="S21" s="177">
        <f t="shared" si="1"/>
        <v>1</v>
      </c>
      <c r="T21" s="177">
        <f t="shared" si="1"/>
        <v>1</v>
      </c>
      <c r="U21" s="177">
        <f t="shared" si="1"/>
        <v>1</v>
      </c>
      <c r="V21" s="177">
        <f t="shared" si="1"/>
        <v>1</v>
      </c>
      <c r="W21" s="225">
        <f t="shared" si="1"/>
        <v>1</v>
      </c>
    </row>
    <row r="22" spans="1:23">
      <c r="A22" s="159"/>
      <c r="B22" s="161" t="s">
        <v>232</v>
      </c>
      <c r="C22" s="177">
        <v>0.01</v>
      </c>
      <c r="D22" s="177">
        <v>0.01</v>
      </c>
      <c r="E22" s="177">
        <v>0.01</v>
      </c>
      <c r="F22" s="177">
        <v>0.01</v>
      </c>
      <c r="G22" s="177">
        <v>0.01</v>
      </c>
      <c r="H22" s="177">
        <v>0.01</v>
      </c>
      <c r="I22" s="177">
        <v>0.01</v>
      </c>
      <c r="J22" s="177">
        <v>0.01</v>
      </c>
      <c r="K22" s="177">
        <v>0.01</v>
      </c>
      <c r="L22" s="177">
        <v>0.01</v>
      </c>
      <c r="M22" s="177">
        <v>0.01</v>
      </c>
      <c r="N22" s="177">
        <v>0.01</v>
      </c>
      <c r="O22" s="177">
        <v>0.01</v>
      </c>
      <c r="P22" s="177">
        <v>0.01</v>
      </c>
      <c r="Q22" s="177">
        <v>0.01</v>
      </c>
      <c r="R22" s="177">
        <v>0.01</v>
      </c>
      <c r="S22" s="177">
        <v>0.01</v>
      </c>
      <c r="T22" s="177">
        <v>0.01</v>
      </c>
      <c r="U22" s="177">
        <v>0.01</v>
      </c>
      <c r="V22" s="177">
        <v>0.01</v>
      </c>
      <c r="W22" s="225">
        <v>0.01</v>
      </c>
    </row>
    <row r="23" spans="1:23" ht="13.8" thickBot="1">
      <c r="A23" s="164"/>
      <c r="B23" s="165" t="s">
        <v>351</v>
      </c>
      <c r="C23" s="226">
        <v>1</v>
      </c>
      <c r="D23" s="226">
        <v>1</v>
      </c>
      <c r="E23" s="226">
        <v>1</v>
      </c>
      <c r="F23" s="226">
        <v>1</v>
      </c>
      <c r="G23" s="226">
        <v>1</v>
      </c>
      <c r="H23" s="226">
        <v>1</v>
      </c>
      <c r="I23" s="226">
        <v>1</v>
      </c>
      <c r="J23" s="226">
        <v>1</v>
      </c>
      <c r="K23" s="226">
        <v>1</v>
      </c>
      <c r="L23" s="226">
        <v>1</v>
      </c>
      <c r="M23" s="226">
        <v>1</v>
      </c>
      <c r="N23" s="226">
        <v>1</v>
      </c>
      <c r="O23" s="226">
        <v>1</v>
      </c>
      <c r="P23" s="226">
        <v>1</v>
      </c>
      <c r="Q23" s="226">
        <v>1</v>
      </c>
      <c r="R23" s="226">
        <v>1</v>
      </c>
      <c r="S23" s="226">
        <v>1</v>
      </c>
      <c r="T23" s="226">
        <v>1</v>
      </c>
      <c r="U23" s="226">
        <v>1</v>
      </c>
      <c r="V23" s="226">
        <v>1</v>
      </c>
      <c r="W23" s="226">
        <v>1</v>
      </c>
    </row>
    <row r="24" spans="1:23" ht="13.8" thickBot="1">
      <c r="A24" s="180"/>
      <c r="B24" s="180"/>
      <c r="C24" s="175"/>
      <c r="D24" s="175"/>
      <c r="E24" s="175"/>
      <c r="F24" s="175"/>
      <c r="G24" s="175"/>
      <c r="H24" s="175"/>
      <c r="I24" s="175"/>
      <c r="J24" s="175"/>
      <c r="K24" s="175"/>
      <c r="L24" s="175"/>
      <c r="M24" s="175"/>
      <c r="N24" s="175"/>
      <c r="O24" s="175"/>
      <c r="P24" s="175"/>
      <c r="Q24" s="175"/>
      <c r="R24" s="175"/>
      <c r="S24" s="175"/>
      <c r="T24" s="175"/>
      <c r="U24" s="175"/>
      <c r="V24" s="175"/>
      <c r="W24" s="175"/>
    </row>
    <row r="25" spans="1:23" ht="15.6">
      <c r="A25" s="154" t="s">
        <v>326</v>
      </c>
      <c r="B25" s="155"/>
      <c r="C25" s="155"/>
      <c r="D25" s="156"/>
      <c r="E25" s="156"/>
      <c r="F25" s="156"/>
      <c r="G25" s="156"/>
      <c r="H25" s="156"/>
      <c r="I25" s="156"/>
      <c r="J25" s="156"/>
      <c r="K25" s="156"/>
      <c r="L25" s="156"/>
      <c r="M25" s="157"/>
      <c r="N25" s="157"/>
      <c r="O25" s="157"/>
      <c r="P25" s="157"/>
      <c r="Q25" s="157"/>
      <c r="R25" s="157"/>
      <c r="S25" s="157"/>
      <c r="T25" s="157"/>
      <c r="U25" s="157"/>
      <c r="V25" s="157"/>
      <c r="W25" s="158"/>
    </row>
    <row r="26" spans="1:23" ht="15.6">
      <c r="A26" s="188"/>
      <c r="B26" s="161" t="s">
        <v>241</v>
      </c>
      <c r="C26" s="176">
        <f>KeyAssumptions!AE13</f>
        <v>1</v>
      </c>
      <c r="D26" s="166"/>
      <c r="E26" s="166"/>
      <c r="F26" s="166"/>
      <c r="G26" s="166"/>
      <c r="H26" s="166"/>
      <c r="I26" s="166"/>
      <c r="J26" s="166"/>
      <c r="K26" s="166"/>
      <c r="L26" s="166"/>
      <c r="M26" s="167"/>
      <c r="N26" s="167"/>
      <c r="O26" s="167"/>
      <c r="P26" s="167"/>
      <c r="Q26" s="167"/>
      <c r="R26" s="167"/>
      <c r="S26" s="167"/>
      <c r="T26" s="167"/>
      <c r="U26" s="167"/>
      <c r="V26" s="167"/>
      <c r="W26" s="168"/>
    </row>
    <row r="27" spans="1:23" ht="15.6">
      <c r="A27" s="188"/>
      <c r="B27" s="161" t="s">
        <v>207</v>
      </c>
      <c r="C27" s="177">
        <f>KeyAssumptions!AF13</f>
        <v>0.25</v>
      </c>
      <c r="D27" s="166"/>
      <c r="E27" s="166"/>
      <c r="F27" s="166"/>
      <c r="G27" s="166"/>
      <c r="H27" s="166"/>
      <c r="I27" s="166"/>
      <c r="J27" s="166"/>
      <c r="K27" s="166"/>
      <c r="L27" s="166"/>
      <c r="M27" s="167"/>
      <c r="N27" s="167"/>
      <c r="O27" s="167"/>
      <c r="P27" s="167"/>
      <c r="Q27" s="167"/>
      <c r="R27" s="167"/>
      <c r="S27" s="167"/>
      <c r="T27" s="167"/>
      <c r="U27" s="167"/>
      <c r="V27" s="167"/>
      <c r="W27" s="168"/>
    </row>
    <row r="28" spans="1:23" ht="15.75" customHeight="1">
      <c r="A28" s="188"/>
      <c r="B28" s="191" t="s">
        <v>355</v>
      </c>
      <c r="C28" s="177">
        <v>0.95</v>
      </c>
      <c r="D28" s="166"/>
      <c r="E28" s="166"/>
      <c r="F28" s="166"/>
      <c r="G28" s="166"/>
      <c r="H28" s="166"/>
      <c r="I28" s="166"/>
      <c r="J28" s="166"/>
      <c r="K28" s="166"/>
      <c r="L28" s="166"/>
      <c r="M28" s="167"/>
      <c r="N28" s="167"/>
      <c r="O28" s="167"/>
      <c r="P28" s="167"/>
      <c r="Q28" s="167"/>
      <c r="R28" s="167"/>
      <c r="S28" s="167"/>
      <c r="T28" s="167"/>
      <c r="U28" s="167"/>
      <c r="V28" s="167"/>
      <c r="W28" s="168"/>
    </row>
    <row r="29" spans="1:23" ht="15.6">
      <c r="A29" s="188"/>
      <c r="B29" s="160"/>
      <c r="C29" s="160"/>
      <c r="D29" s="166"/>
      <c r="E29" s="166"/>
      <c r="F29" s="166"/>
      <c r="G29" s="166"/>
      <c r="H29" s="166"/>
      <c r="I29" s="166"/>
      <c r="J29" s="166"/>
      <c r="K29" s="166"/>
      <c r="L29" s="166"/>
      <c r="M29" s="167"/>
      <c r="N29" s="167"/>
      <c r="O29" s="167"/>
      <c r="P29" s="167"/>
      <c r="Q29" s="167"/>
      <c r="R29" s="167"/>
      <c r="S29" s="167"/>
      <c r="T29" s="167"/>
      <c r="U29" s="167"/>
      <c r="V29" s="167"/>
      <c r="W29" s="168"/>
    </row>
    <row r="30" spans="1:23">
      <c r="A30" s="159"/>
      <c r="B30" s="161" t="s">
        <v>1</v>
      </c>
      <c r="C30" s="162">
        <v>2015</v>
      </c>
      <c r="D30" s="162">
        <v>2016</v>
      </c>
      <c r="E30" s="162">
        <v>2017</v>
      </c>
      <c r="F30" s="162">
        <v>2018</v>
      </c>
      <c r="G30" s="162">
        <v>2019</v>
      </c>
      <c r="H30" s="162">
        <v>2020</v>
      </c>
      <c r="I30" s="162">
        <v>2021</v>
      </c>
      <c r="J30" s="162">
        <v>2022</v>
      </c>
      <c r="K30" s="162">
        <v>2023</v>
      </c>
      <c r="L30" s="162">
        <v>2024</v>
      </c>
      <c r="M30" s="162">
        <v>2025</v>
      </c>
      <c r="N30" s="162">
        <v>2026</v>
      </c>
      <c r="O30" s="162">
        <v>2027</v>
      </c>
      <c r="P30" s="162">
        <v>2028</v>
      </c>
      <c r="Q30" s="162">
        <v>2029</v>
      </c>
      <c r="R30" s="162">
        <v>2030</v>
      </c>
      <c r="S30" s="162">
        <v>2031</v>
      </c>
      <c r="T30" s="162">
        <v>2032</v>
      </c>
      <c r="U30" s="162">
        <v>2033</v>
      </c>
      <c r="V30" s="162">
        <v>2034</v>
      </c>
      <c r="W30" s="163">
        <v>2035</v>
      </c>
    </row>
    <row r="31" spans="1:23">
      <c r="A31" s="159"/>
      <c r="B31" s="161" t="s">
        <v>231</v>
      </c>
      <c r="C31" s="177">
        <v>0.05</v>
      </c>
      <c r="D31" s="177">
        <v>0.2</v>
      </c>
      <c r="E31" s="177">
        <v>0.2</v>
      </c>
      <c r="F31" s="177">
        <v>0.2</v>
      </c>
      <c r="G31" s="177">
        <v>0.2</v>
      </c>
      <c r="H31" s="177">
        <v>0.15</v>
      </c>
      <c r="I31" s="177">
        <v>0</v>
      </c>
      <c r="J31" s="177">
        <v>0</v>
      </c>
      <c r="K31" s="177">
        <v>0</v>
      </c>
      <c r="L31" s="177">
        <v>0</v>
      </c>
      <c r="M31" s="177">
        <v>0</v>
      </c>
      <c r="N31" s="177">
        <v>0</v>
      </c>
      <c r="O31" s="177">
        <v>0</v>
      </c>
      <c r="P31" s="177">
        <v>0</v>
      </c>
      <c r="Q31" s="177">
        <v>0</v>
      </c>
      <c r="R31" s="177">
        <v>0</v>
      </c>
      <c r="S31" s="177">
        <v>0</v>
      </c>
      <c r="T31" s="177">
        <v>0</v>
      </c>
      <c r="U31" s="177">
        <v>0</v>
      </c>
      <c r="V31" s="177">
        <v>0</v>
      </c>
      <c r="W31" s="225">
        <v>0</v>
      </c>
    </row>
    <row r="32" spans="1:23">
      <c r="A32" s="159"/>
      <c r="B32" s="161" t="s">
        <v>237</v>
      </c>
      <c r="C32" s="177">
        <f>C31</f>
        <v>0.05</v>
      </c>
      <c r="D32" s="177">
        <f>C32+D31</f>
        <v>0.25</v>
      </c>
      <c r="E32" s="177">
        <f t="shared" ref="E32:W32" si="2">D32+E31</f>
        <v>0.45</v>
      </c>
      <c r="F32" s="177">
        <f t="shared" si="2"/>
        <v>0.65</v>
      </c>
      <c r="G32" s="177">
        <f t="shared" si="2"/>
        <v>0.85000000000000009</v>
      </c>
      <c r="H32" s="177">
        <f t="shared" si="2"/>
        <v>1</v>
      </c>
      <c r="I32" s="177">
        <f t="shared" si="2"/>
        <v>1</v>
      </c>
      <c r="J32" s="177">
        <f t="shared" si="2"/>
        <v>1</v>
      </c>
      <c r="K32" s="177">
        <f t="shared" si="2"/>
        <v>1</v>
      </c>
      <c r="L32" s="177">
        <f t="shared" si="2"/>
        <v>1</v>
      </c>
      <c r="M32" s="177">
        <f t="shared" si="2"/>
        <v>1</v>
      </c>
      <c r="N32" s="177">
        <f t="shared" si="2"/>
        <v>1</v>
      </c>
      <c r="O32" s="177">
        <f t="shared" si="2"/>
        <v>1</v>
      </c>
      <c r="P32" s="177">
        <f t="shared" si="2"/>
        <v>1</v>
      </c>
      <c r="Q32" s="177">
        <f t="shared" si="2"/>
        <v>1</v>
      </c>
      <c r="R32" s="177">
        <f t="shared" si="2"/>
        <v>1</v>
      </c>
      <c r="S32" s="177">
        <f t="shared" si="2"/>
        <v>1</v>
      </c>
      <c r="T32" s="177">
        <f t="shared" si="2"/>
        <v>1</v>
      </c>
      <c r="U32" s="177">
        <f t="shared" si="2"/>
        <v>1</v>
      </c>
      <c r="V32" s="177">
        <f t="shared" si="2"/>
        <v>1</v>
      </c>
      <c r="W32" s="225">
        <f t="shared" si="2"/>
        <v>1</v>
      </c>
    </row>
    <row r="33" spans="1:23">
      <c r="A33" s="159"/>
      <c r="B33" s="161" t="s">
        <v>232</v>
      </c>
      <c r="C33" s="177">
        <v>0.01</v>
      </c>
      <c r="D33" s="177">
        <v>0.01</v>
      </c>
      <c r="E33" s="177">
        <v>0.01</v>
      </c>
      <c r="F33" s="177">
        <v>0.01</v>
      </c>
      <c r="G33" s="177">
        <v>0.01</v>
      </c>
      <c r="H33" s="177">
        <v>0.01</v>
      </c>
      <c r="I33" s="177">
        <v>0.01</v>
      </c>
      <c r="J33" s="177">
        <v>0.01</v>
      </c>
      <c r="K33" s="177">
        <v>0.01</v>
      </c>
      <c r="L33" s="177">
        <v>0.01</v>
      </c>
      <c r="M33" s="177">
        <v>0.01</v>
      </c>
      <c r="N33" s="177">
        <v>0.01</v>
      </c>
      <c r="O33" s="177">
        <v>0.01</v>
      </c>
      <c r="P33" s="177">
        <v>0.01</v>
      </c>
      <c r="Q33" s="177">
        <v>0.01</v>
      </c>
      <c r="R33" s="177">
        <v>0.01</v>
      </c>
      <c r="S33" s="177">
        <v>0.01</v>
      </c>
      <c r="T33" s="177">
        <v>0.01</v>
      </c>
      <c r="U33" s="177">
        <v>0.01</v>
      </c>
      <c r="V33" s="177">
        <v>0.01</v>
      </c>
      <c r="W33" s="225">
        <v>0.01</v>
      </c>
    </row>
    <row r="34" spans="1:23" ht="13.8" thickBot="1">
      <c r="A34" s="164"/>
      <c r="B34" s="165" t="s">
        <v>351</v>
      </c>
      <c r="C34" s="226">
        <v>1</v>
      </c>
      <c r="D34" s="226">
        <v>1</v>
      </c>
      <c r="E34" s="226">
        <v>1</v>
      </c>
      <c r="F34" s="226">
        <v>1</v>
      </c>
      <c r="G34" s="226">
        <v>1</v>
      </c>
      <c r="H34" s="226">
        <v>1</v>
      </c>
      <c r="I34" s="226">
        <v>1</v>
      </c>
      <c r="J34" s="226">
        <v>1</v>
      </c>
      <c r="K34" s="226">
        <v>1</v>
      </c>
      <c r="L34" s="226">
        <v>1</v>
      </c>
      <c r="M34" s="226">
        <v>1</v>
      </c>
      <c r="N34" s="226">
        <v>1</v>
      </c>
      <c r="O34" s="226">
        <v>1</v>
      </c>
      <c r="P34" s="226">
        <v>1</v>
      </c>
      <c r="Q34" s="226">
        <v>1</v>
      </c>
      <c r="R34" s="226">
        <v>1</v>
      </c>
      <c r="S34" s="226">
        <v>1</v>
      </c>
      <c r="T34" s="226">
        <v>1</v>
      </c>
      <c r="U34" s="226">
        <v>1</v>
      </c>
      <c r="V34" s="226">
        <v>1</v>
      </c>
      <c r="W34" s="226">
        <v>1</v>
      </c>
    </row>
    <row r="35" spans="1:23" ht="13.8" thickBot="1">
      <c r="A35" s="180"/>
      <c r="B35" s="180"/>
      <c r="C35" s="175"/>
      <c r="D35" s="175"/>
      <c r="E35" s="175"/>
      <c r="F35" s="175"/>
      <c r="G35" s="175"/>
      <c r="H35" s="175"/>
      <c r="I35" s="175"/>
      <c r="J35" s="175"/>
      <c r="K35" s="175"/>
      <c r="L35" s="175"/>
      <c r="M35" s="175"/>
      <c r="N35" s="175"/>
      <c r="O35" s="175"/>
      <c r="P35" s="175"/>
      <c r="Q35" s="175"/>
      <c r="R35" s="175"/>
      <c r="S35" s="175"/>
      <c r="T35" s="175"/>
      <c r="U35" s="175"/>
      <c r="V35" s="175"/>
      <c r="W35" s="175"/>
    </row>
    <row r="36" spans="1:23" ht="15.6">
      <c r="A36" s="154" t="s">
        <v>327</v>
      </c>
      <c r="B36" s="155"/>
      <c r="C36" s="155"/>
      <c r="D36" s="156"/>
      <c r="E36" s="156"/>
      <c r="F36" s="156"/>
      <c r="G36" s="156"/>
      <c r="H36" s="156"/>
      <c r="I36" s="156"/>
      <c r="J36" s="156"/>
      <c r="K36" s="156"/>
      <c r="L36" s="156"/>
      <c r="M36" s="157"/>
      <c r="N36" s="157"/>
      <c r="O36" s="157"/>
      <c r="P36" s="157"/>
      <c r="Q36" s="157"/>
      <c r="R36" s="157"/>
      <c r="S36" s="157"/>
      <c r="T36" s="157"/>
      <c r="U36" s="157"/>
      <c r="V36" s="157"/>
      <c r="W36" s="158"/>
    </row>
    <row r="37" spans="1:23" ht="15.6">
      <c r="A37" s="188"/>
      <c r="B37" s="161" t="s">
        <v>241</v>
      </c>
      <c r="C37" s="176">
        <f>KeyAssumptions!AE14</f>
        <v>1</v>
      </c>
      <c r="D37" s="166"/>
      <c r="E37" s="166"/>
      <c r="F37" s="166"/>
      <c r="G37" s="166"/>
      <c r="H37" s="166"/>
      <c r="I37" s="166"/>
      <c r="J37" s="166"/>
      <c r="K37" s="166"/>
      <c r="L37" s="166"/>
      <c r="M37" s="167"/>
      <c r="N37" s="167"/>
      <c r="O37" s="167"/>
      <c r="P37" s="167"/>
      <c r="Q37" s="167"/>
      <c r="R37" s="167"/>
      <c r="S37" s="167"/>
      <c r="T37" s="167"/>
      <c r="U37" s="167"/>
      <c r="V37" s="167"/>
      <c r="W37" s="168"/>
    </row>
    <row r="38" spans="1:23" ht="15.6">
      <c r="A38" s="188"/>
      <c r="B38" s="161" t="s">
        <v>207</v>
      </c>
      <c r="C38" s="177">
        <f>KeyAssumptions!AF14</f>
        <v>0.2</v>
      </c>
      <c r="D38" s="166"/>
      <c r="E38" s="166"/>
      <c r="F38" s="166"/>
      <c r="G38" s="166"/>
      <c r="H38" s="166"/>
      <c r="I38" s="166"/>
      <c r="J38" s="166"/>
      <c r="K38" s="166"/>
      <c r="L38" s="166"/>
      <c r="M38" s="167"/>
      <c r="N38" s="167"/>
      <c r="O38" s="167"/>
      <c r="P38" s="167"/>
      <c r="Q38" s="167"/>
      <c r="R38" s="167"/>
      <c r="S38" s="167"/>
      <c r="T38" s="167"/>
      <c r="U38" s="167"/>
      <c r="V38" s="167"/>
      <c r="W38" s="168"/>
    </row>
    <row r="39" spans="1:23" ht="15.75" customHeight="1">
      <c r="A39" s="188"/>
      <c r="B39" s="191" t="s">
        <v>355</v>
      </c>
      <c r="C39" s="177">
        <v>0.95</v>
      </c>
      <c r="D39" s="166"/>
      <c r="E39" s="166"/>
      <c r="F39" s="166"/>
      <c r="G39" s="166"/>
      <c r="H39" s="166"/>
      <c r="I39" s="166"/>
      <c r="J39" s="166"/>
      <c r="K39" s="166"/>
      <c r="L39" s="166"/>
      <c r="M39" s="167"/>
      <c r="N39" s="167"/>
      <c r="O39" s="167"/>
      <c r="P39" s="167"/>
      <c r="Q39" s="167"/>
      <c r="R39" s="167"/>
      <c r="S39" s="167"/>
      <c r="T39" s="167"/>
      <c r="U39" s="167"/>
      <c r="V39" s="167"/>
      <c r="W39" s="168"/>
    </row>
    <row r="40" spans="1:23" ht="15.6">
      <c r="A40" s="188"/>
      <c r="B40" s="160"/>
      <c r="C40" s="160"/>
      <c r="D40" s="166"/>
      <c r="E40" s="166"/>
      <c r="F40" s="166"/>
      <c r="G40" s="166"/>
      <c r="H40" s="166"/>
      <c r="I40" s="166"/>
      <c r="J40" s="166"/>
      <c r="K40" s="166"/>
      <c r="L40" s="166"/>
      <c r="M40" s="167"/>
      <c r="N40" s="167"/>
      <c r="O40" s="167"/>
      <c r="P40" s="167"/>
      <c r="Q40" s="167"/>
      <c r="R40" s="167"/>
      <c r="S40" s="167"/>
      <c r="T40" s="167"/>
      <c r="U40" s="167"/>
      <c r="V40" s="167"/>
      <c r="W40" s="168"/>
    </row>
    <row r="41" spans="1:23">
      <c r="A41" s="159"/>
      <c r="B41" s="161" t="s">
        <v>1</v>
      </c>
      <c r="C41" s="162">
        <v>2015</v>
      </c>
      <c r="D41" s="162">
        <v>2016</v>
      </c>
      <c r="E41" s="162">
        <v>2017</v>
      </c>
      <c r="F41" s="162">
        <v>2018</v>
      </c>
      <c r="G41" s="162">
        <v>2019</v>
      </c>
      <c r="H41" s="162">
        <v>2020</v>
      </c>
      <c r="I41" s="162">
        <v>2021</v>
      </c>
      <c r="J41" s="162">
        <v>2022</v>
      </c>
      <c r="K41" s="162">
        <v>2023</v>
      </c>
      <c r="L41" s="162">
        <v>2024</v>
      </c>
      <c r="M41" s="162">
        <v>2025</v>
      </c>
      <c r="N41" s="162">
        <v>2026</v>
      </c>
      <c r="O41" s="162">
        <v>2027</v>
      </c>
      <c r="P41" s="162">
        <v>2028</v>
      </c>
      <c r="Q41" s="162">
        <v>2029</v>
      </c>
      <c r="R41" s="162">
        <v>2030</v>
      </c>
      <c r="S41" s="162">
        <v>2031</v>
      </c>
      <c r="T41" s="162">
        <v>2032</v>
      </c>
      <c r="U41" s="162">
        <v>2033</v>
      </c>
      <c r="V41" s="162">
        <v>2034</v>
      </c>
      <c r="W41" s="163">
        <v>2035</v>
      </c>
    </row>
    <row r="42" spans="1:23">
      <c r="A42" s="159"/>
      <c r="B42" s="161" t="s">
        <v>231</v>
      </c>
      <c r="C42" s="177">
        <v>0.05</v>
      </c>
      <c r="D42" s="177">
        <v>0.2</v>
      </c>
      <c r="E42" s="177">
        <v>0.2</v>
      </c>
      <c r="F42" s="177">
        <v>0.2</v>
      </c>
      <c r="G42" s="177">
        <v>0.2</v>
      </c>
      <c r="H42" s="177">
        <v>0.15</v>
      </c>
      <c r="I42" s="177">
        <v>0</v>
      </c>
      <c r="J42" s="177">
        <v>0</v>
      </c>
      <c r="K42" s="177">
        <v>0</v>
      </c>
      <c r="L42" s="177">
        <v>0</v>
      </c>
      <c r="M42" s="177">
        <v>0</v>
      </c>
      <c r="N42" s="177">
        <v>0</v>
      </c>
      <c r="O42" s="177">
        <v>0</v>
      </c>
      <c r="P42" s="177">
        <v>0</v>
      </c>
      <c r="Q42" s="177">
        <v>0</v>
      </c>
      <c r="R42" s="177">
        <v>0</v>
      </c>
      <c r="S42" s="177">
        <v>0</v>
      </c>
      <c r="T42" s="177">
        <v>0</v>
      </c>
      <c r="U42" s="177">
        <v>0</v>
      </c>
      <c r="V42" s="177">
        <v>0</v>
      </c>
      <c r="W42" s="225">
        <v>0</v>
      </c>
    </row>
    <row r="43" spans="1:23">
      <c r="A43" s="159"/>
      <c r="B43" s="161" t="s">
        <v>237</v>
      </c>
      <c r="C43" s="177">
        <f>C42</f>
        <v>0.05</v>
      </c>
      <c r="D43" s="177">
        <f>C43+D42</f>
        <v>0.25</v>
      </c>
      <c r="E43" s="177">
        <f t="shared" ref="E43:W43" si="3">D43+E42</f>
        <v>0.45</v>
      </c>
      <c r="F43" s="177">
        <f t="shared" si="3"/>
        <v>0.65</v>
      </c>
      <c r="G43" s="177">
        <f t="shared" si="3"/>
        <v>0.85000000000000009</v>
      </c>
      <c r="H43" s="177">
        <f t="shared" si="3"/>
        <v>1</v>
      </c>
      <c r="I43" s="177">
        <f t="shared" si="3"/>
        <v>1</v>
      </c>
      <c r="J43" s="177">
        <f t="shared" si="3"/>
        <v>1</v>
      </c>
      <c r="K43" s="177">
        <f t="shared" si="3"/>
        <v>1</v>
      </c>
      <c r="L43" s="177">
        <f t="shared" si="3"/>
        <v>1</v>
      </c>
      <c r="M43" s="177">
        <f t="shared" si="3"/>
        <v>1</v>
      </c>
      <c r="N43" s="177">
        <f t="shared" si="3"/>
        <v>1</v>
      </c>
      <c r="O43" s="177">
        <f t="shared" si="3"/>
        <v>1</v>
      </c>
      <c r="P43" s="177">
        <f t="shared" si="3"/>
        <v>1</v>
      </c>
      <c r="Q43" s="177">
        <f t="shared" si="3"/>
        <v>1</v>
      </c>
      <c r="R43" s="177">
        <f t="shared" si="3"/>
        <v>1</v>
      </c>
      <c r="S43" s="177">
        <f t="shared" si="3"/>
        <v>1</v>
      </c>
      <c r="T43" s="177">
        <f t="shared" si="3"/>
        <v>1</v>
      </c>
      <c r="U43" s="177">
        <f t="shared" si="3"/>
        <v>1</v>
      </c>
      <c r="V43" s="177">
        <f t="shared" si="3"/>
        <v>1</v>
      </c>
      <c r="W43" s="225">
        <f t="shared" si="3"/>
        <v>1</v>
      </c>
    </row>
    <row r="44" spans="1:23">
      <c r="A44" s="159"/>
      <c r="B44" s="161" t="s">
        <v>232</v>
      </c>
      <c r="C44" s="177">
        <v>0.01</v>
      </c>
      <c r="D44" s="177">
        <v>0.01</v>
      </c>
      <c r="E44" s="177">
        <v>0.01</v>
      </c>
      <c r="F44" s="177">
        <v>0.01</v>
      </c>
      <c r="G44" s="177">
        <v>0.01</v>
      </c>
      <c r="H44" s="177">
        <v>0.01</v>
      </c>
      <c r="I44" s="177">
        <v>0.01</v>
      </c>
      <c r="J44" s="177">
        <v>0.01</v>
      </c>
      <c r="K44" s="177">
        <v>0.01</v>
      </c>
      <c r="L44" s="177">
        <v>0.01</v>
      </c>
      <c r="M44" s="177">
        <v>0.01</v>
      </c>
      <c r="N44" s="177">
        <v>0.01</v>
      </c>
      <c r="O44" s="177">
        <v>0.01</v>
      </c>
      <c r="P44" s="177">
        <v>0.01</v>
      </c>
      <c r="Q44" s="177">
        <v>0.01</v>
      </c>
      <c r="R44" s="177">
        <v>0.01</v>
      </c>
      <c r="S44" s="177">
        <v>0.01</v>
      </c>
      <c r="T44" s="177">
        <v>0.01</v>
      </c>
      <c r="U44" s="177">
        <v>0.01</v>
      </c>
      <c r="V44" s="177">
        <v>0.01</v>
      </c>
      <c r="W44" s="225">
        <v>0.01</v>
      </c>
    </row>
    <row r="45" spans="1:23" ht="13.8" thickBot="1">
      <c r="A45" s="164"/>
      <c r="B45" s="165" t="s">
        <v>351</v>
      </c>
      <c r="C45" s="226">
        <v>1</v>
      </c>
      <c r="D45" s="226">
        <v>1</v>
      </c>
      <c r="E45" s="226">
        <v>1</v>
      </c>
      <c r="F45" s="226">
        <v>1</v>
      </c>
      <c r="G45" s="226">
        <v>1</v>
      </c>
      <c r="H45" s="226">
        <v>1</v>
      </c>
      <c r="I45" s="226">
        <v>1</v>
      </c>
      <c r="J45" s="226">
        <v>1</v>
      </c>
      <c r="K45" s="226">
        <v>1</v>
      </c>
      <c r="L45" s="226">
        <v>1</v>
      </c>
      <c r="M45" s="226">
        <v>1</v>
      </c>
      <c r="N45" s="226">
        <v>1</v>
      </c>
      <c r="O45" s="226">
        <v>1</v>
      </c>
      <c r="P45" s="226">
        <v>1</v>
      </c>
      <c r="Q45" s="226">
        <v>1</v>
      </c>
      <c r="R45" s="226">
        <v>1</v>
      </c>
      <c r="S45" s="226">
        <v>1</v>
      </c>
      <c r="T45" s="226">
        <v>1</v>
      </c>
      <c r="U45" s="226">
        <v>1</v>
      </c>
      <c r="V45" s="226">
        <v>1</v>
      </c>
      <c r="W45" s="226">
        <v>1</v>
      </c>
    </row>
    <row r="46" spans="1:23" ht="13.8" thickBot="1">
      <c r="A46" s="180"/>
      <c r="B46" s="180"/>
      <c r="C46" s="175"/>
      <c r="D46" s="175"/>
      <c r="E46" s="175"/>
      <c r="F46" s="175"/>
      <c r="G46" s="175"/>
      <c r="H46" s="175"/>
      <c r="I46" s="175"/>
      <c r="J46" s="175"/>
      <c r="K46" s="175"/>
      <c r="L46" s="175"/>
      <c r="M46" s="175"/>
      <c r="N46" s="175"/>
      <c r="O46" s="175"/>
      <c r="P46" s="175"/>
      <c r="Q46" s="175"/>
      <c r="R46" s="175"/>
      <c r="S46" s="175"/>
      <c r="T46" s="175"/>
      <c r="U46" s="175"/>
      <c r="V46" s="175"/>
      <c r="W46" s="175"/>
    </row>
    <row r="47" spans="1:23" ht="14.4" thickBot="1">
      <c r="A47" s="189" t="s">
        <v>240</v>
      </c>
      <c r="B47" s="190"/>
      <c r="C47" s="183"/>
      <c r="D47" s="183"/>
      <c r="E47" s="183"/>
      <c r="F47" s="183"/>
      <c r="G47" s="183"/>
      <c r="H47" s="183"/>
      <c r="I47" s="183"/>
      <c r="J47" s="183"/>
      <c r="K47" s="183"/>
      <c r="L47" s="183"/>
      <c r="M47" s="183"/>
      <c r="N47" s="183"/>
      <c r="O47" s="183"/>
      <c r="P47" s="183"/>
      <c r="Q47" s="183"/>
      <c r="R47" s="183"/>
      <c r="S47" s="183"/>
      <c r="T47" s="183"/>
      <c r="U47" s="183"/>
      <c r="V47" s="183"/>
      <c r="W47" s="184"/>
    </row>
    <row r="48" spans="1:23">
      <c r="A48" s="77" t="s">
        <v>212</v>
      </c>
      <c r="B48" s="77"/>
      <c r="F48" s="78"/>
      <c r="G48" s="78"/>
    </row>
    <row r="50" spans="1:23">
      <c r="A50" s="79"/>
      <c r="B50" s="210"/>
      <c r="C50" s="504" t="s">
        <v>213</v>
      </c>
      <c r="D50" s="504"/>
      <c r="E50" s="504"/>
      <c r="F50" s="504"/>
      <c r="G50" s="504"/>
      <c r="H50" s="504"/>
      <c r="I50" s="504"/>
      <c r="J50" s="504"/>
      <c r="K50" s="504"/>
      <c r="L50" s="504"/>
      <c r="M50" s="504"/>
      <c r="N50" s="504"/>
      <c r="O50" s="504"/>
      <c r="P50" s="504"/>
      <c r="Q50" s="504"/>
      <c r="R50" s="504"/>
      <c r="S50" s="504"/>
      <c r="T50" s="504"/>
      <c r="U50" s="504"/>
      <c r="V50" s="504"/>
      <c r="W50" s="504"/>
    </row>
    <row r="51" spans="1:23" ht="16.5" customHeight="1">
      <c r="A51" s="81" t="s">
        <v>214</v>
      </c>
      <c r="B51" s="82"/>
      <c r="C51" s="211">
        <v>2015</v>
      </c>
      <c r="D51" s="211">
        <v>2016</v>
      </c>
      <c r="E51" s="211">
        <v>2017</v>
      </c>
      <c r="F51" s="211">
        <v>2018</v>
      </c>
      <c r="G51" s="211">
        <v>2019</v>
      </c>
      <c r="H51" s="211">
        <v>2020</v>
      </c>
      <c r="I51" s="211">
        <v>2021</v>
      </c>
      <c r="J51" s="211">
        <v>2022</v>
      </c>
      <c r="K51" s="211">
        <v>2023</v>
      </c>
      <c r="L51" s="211">
        <v>2024</v>
      </c>
      <c r="M51" s="211">
        <v>2025</v>
      </c>
      <c r="N51" s="211">
        <v>2026</v>
      </c>
      <c r="O51" s="211">
        <v>2027</v>
      </c>
      <c r="P51" s="211">
        <v>2028</v>
      </c>
      <c r="Q51" s="211">
        <v>2029</v>
      </c>
      <c r="R51" s="211">
        <v>2030</v>
      </c>
      <c r="S51" s="211">
        <v>2031</v>
      </c>
      <c r="T51" s="211">
        <v>2032</v>
      </c>
      <c r="U51" s="211">
        <v>2033</v>
      </c>
      <c r="V51" s="211">
        <v>2034</v>
      </c>
      <c r="W51" s="211">
        <v>2035</v>
      </c>
    </row>
    <row r="52" spans="1:23">
      <c r="A52" s="84"/>
      <c r="B52" s="85"/>
      <c r="C52" s="84"/>
      <c r="D52" s="84"/>
      <c r="E52" s="84"/>
      <c r="F52" s="84"/>
      <c r="G52" s="84"/>
      <c r="H52" s="86"/>
      <c r="I52" s="84"/>
      <c r="J52" s="84"/>
      <c r="K52" s="84"/>
      <c r="L52" s="84"/>
      <c r="M52" s="84"/>
      <c r="N52" s="84"/>
      <c r="O52" s="84"/>
      <c r="P52" s="84"/>
      <c r="Q52" s="84"/>
      <c r="R52" s="84"/>
      <c r="S52" s="84"/>
      <c r="T52" s="84"/>
      <c r="U52" s="84"/>
      <c r="V52" s="84"/>
      <c r="W52" s="84"/>
    </row>
    <row r="53" spans="1:23">
      <c r="A53" s="169" t="s">
        <v>331</v>
      </c>
      <c r="B53" s="85"/>
      <c r="C53" s="88">
        <f>C65</f>
        <v>8.8623397395683617E-2</v>
      </c>
      <c r="D53" s="88">
        <f t="shared" ref="D53:W53" si="4">D65-C65</f>
        <v>2.1593198359325809</v>
      </c>
      <c r="E53" s="88">
        <f t="shared" si="4"/>
        <v>5.1417407182707651</v>
      </c>
      <c r="F53" s="88">
        <f t="shared" si="4"/>
        <v>8.2432559277821689</v>
      </c>
      <c r="G53" s="88">
        <f t="shared" si="4"/>
        <v>11.462780169198677</v>
      </c>
      <c r="H53" s="88">
        <f t="shared" si="4"/>
        <v>10.863901473921938</v>
      </c>
      <c r="I53" s="88">
        <f t="shared" si="4"/>
        <v>0.4559177228410789</v>
      </c>
      <c r="J53" s="88">
        <f t="shared" si="4"/>
        <v>0.51040011289970266</v>
      </c>
      <c r="K53" s="88">
        <f t="shared" si="4"/>
        <v>0.5056201929198707</v>
      </c>
      <c r="L53" s="88">
        <f t="shared" si="4"/>
        <v>0.53086009148541535</v>
      </c>
      <c r="M53" s="88">
        <f t="shared" si="4"/>
        <v>0.51006761887122565</v>
      </c>
      <c r="N53" s="88">
        <f t="shared" si="4"/>
        <v>0.50119660971090241</v>
      </c>
      <c r="O53" s="88">
        <f t="shared" si="4"/>
        <v>0.49450034176106072</v>
      </c>
      <c r="P53" s="88">
        <f t="shared" si="4"/>
        <v>0.49279326639743459</v>
      </c>
      <c r="Q53" s="88">
        <f t="shared" si="4"/>
        <v>0.48997401948795982</v>
      </c>
      <c r="R53" s="88">
        <f t="shared" si="4"/>
        <v>0.46918185261966272</v>
      </c>
      <c r="S53" s="88">
        <f t="shared" si="4"/>
        <v>0.48557740974811026</v>
      </c>
      <c r="T53" s="88">
        <f t="shared" si="4"/>
        <v>0.5054248932635943</v>
      </c>
      <c r="U53" s="88">
        <f t="shared" si="4"/>
        <v>0.5083334419316472</v>
      </c>
      <c r="V53" s="88">
        <f t="shared" si="4"/>
        <v>0.49682086308560969</v>
      </c>
      <c r="W53" s="88">
        <f t="shared" si="4"/>
        <v>0.50237768253926873</v>
      </c>
    </row>
    <row r="54" spans="1:23">
      <c r="A54" s="169" t="s">
        <v>329</v>
      </c>
      <c r="B54" s="85"/>
      <c r="C54" s="88">
        <f>C66</f>
        <v>0.62774906488609206</v>
      </c>
      <c r="D54" s="88">
        <f t="shared" ref="D54:W54" si="5">D66-C66</f>
        <v>15.295182171189118</v>
      </c>
      <c r="E54" s="88">
        <f t="shared" si="5"/>
        <v>36.420663421084583</v>
      </c>
      <c r="F54" s="88">
        <f t="shared" si="5"/>
        <v>58.389729488456993</v>
      </c>
      <c r="G54" s="88">
        <f t="shared" si="5"/>
        <v>81.194692865157293</v>
      </c>
      <c r="H54" s="88">
        <f t="shared" si="5"/>
        <v>76.952635440280432</v>
      </c>
      <c r="I54" s="88">
        <f t="shared" si="5"/>
        <v>3.229417203457615</v>
      </c>
      <c r="J54" s="88">
        <f t="shared" si="5"/>
        <v>3.6153341330396529</v>
      </c>
      <c r="K54" s="88">
        <f t="shared" si="5"/>
        <v>3.5814763665156875</v>
      </c>
      <c r="L54" s="88">
        <f t="shared" si="5"/>
        <v>3.7602589813550367</v>
      </c>
      <c r="M54" s="88">
        <f t="shared" si="5"/>
        <v>3.6129789670043806</v>
      </c>
      <c r="N54" s="88">
        <f t="shared" si="5"/>
        <v>3.5501426521190069</v>
      </c>
      <c r="O54" s="88">
        <f t="shared" si="5"/>
        <v>3.5027107541408213</v>
      </c>
      <c r="P54" s="88">
        <f t="shared" si="5"/>
        <v>3.4906189703152108</v>
      </c>
      <c r="Q54" s="88">
        <f t="shared" si="5"/>
        <v>3.4706493047063987</v>
      </c>
      <c r="R54" s="88">
        <f t="shared" si="5"/>
        <v>3.3233714560558951</v>
      </c>
      <c r="S54" s="88">
        <f t="shared" si="5"/>
        <v>3.4395066523824767</v>
      </c>
      <c r="T54" s="88">
        <f t="shared" si="5"/>
        <v>3.5800929939504726</v>
      </c>
      <c r="U54" s="88">
        <f t="shared" si="5"/>
        <v>3.6006952136824566</v>
      </c>
      <c r="V54" s="88">
        <f t="shared" si="5"/>
        <v>3.5191477801896554</v>
      </c>
      <c r="W54" s="88">
        <f t="shared" si="5"/>
        <v>3.5585085846533389</v>
      </c>
    </row>
    <row r="55" spans="1:23">
      <c r="A55" s="169" t="s">
        <v>330</v>
      </c>
      <c r="B55" s="85"/>
      <c r="C55" s="88">
        <f>C67</f>
        <v>0.78468633110761499</v>
      </c>
      <c r="D55" s="88">
        <f t="shared" ref="D55:W55" si="6">D67-C67</f>
        <v>19.118977713986396</v>
      </c>
      <c r="E55" s="88">
        <f t="shared" si="6"/>
        <v>45.525829276355729</v>
      </c>
      <c r="F55" s="88">
        <f t="shared" si="6"/>
        <v>72.987161860571234</v>
      </c>
      <c r="G55" s="88">
        <f t="shared" si="6"/>
        <v>101.49336608144665</v>
      </c>
      <c r="H55" s="88">
        <f t="shared" si="6"/>
        <v>96.190794300350547</v>
      </c>
      <c r="I55" s="88">
        <f t="shared" si="6"/>
        <v>4.0367715043219619</v>
      </c>
      <c r="J55" s="88">
        <f t="shared" si="6"/>
        <v>4.5191676662995519</v>
      </c>
      <c r="K55" s="88">
        <f t="shared" si="6"/>
        <v>4.4768454581446235</v>
      </c>
      <c r="L55" s="88">
        <f t="shared" si="6"/>
        <v>4.700323726693739</v>
      </c>
      <c r="M55" s="88">
        <f t="shared" si="6"/>
        <v>4.5162237087555468</v>
      </c>
      <c r="N55" s="88">
        <f t="shared" si="6"/>
        <v>4.4376783151487302</v>
      </c>
      <c r="O55" s="88">
        <f t="shared" si="6"/>
        <v>4.3783884426760551</v>
      </c>
      <c r="P55" s="88">
        <f t="shared" si="6"/>
        <v>4.3632737128939425</v>
      </c>
      <c r="Q55" s="88">
        <f t="shared" si="6"/>
        <v>4.3383116308830267</v>
      </c>
      <c r="R55" s="88">
        <f t="shared" si="6"/>
        <v>4.1542143200699684</v>
      </c>
      <c r="S55" s="88">
        <f t="shared" si="6"/>
        <v>4.2993833154780532</v>
      </c>
      <c r="T55" s="88">
        <f t="shared" si="6"/>
        <v>4.4751162424380482</v>
      </c>
      <c r="U55" s="88">
        <f t="shared" si="6"/>
        <v>4.5008690171030707</v>
      </c>
      <c r="V55" s="88">
        <f t="shared" si="6"/>
        <v>4.3989347252371545</v>
      </c>
      <c r="W55" s="88">
        <f t="shared" si="6"/>
        <v>4.4481357308166025</v>
      </c>
    </row>
    <row r="56" spans="1:23">
      <c r="A56" s="169" t="s">
        <v>332</v>
      </c>
      <c r="B56" s="85"/>
      <c r="C56" s="88">
        <f>C68</f>
        <v>0.50219925190887371</v>
      </c>
      <c r="D56" s="88">
        <f t="shared" ref="D56:W56" si="7">D68-C68</f>
        <v>12.236145736951295</v>
      </c>
      <c r="E56" s="88">
        <f t="shared" si="7"/>
        <v>29.13653073686767</v>
      </c>
      <c r="F56" s="88">
        <f t="shared" si="7"/>
        <v>46.711783590765613</v>
      </c>
      <c r="G56" s="88">
        <f t="shared" si="7"/>
        <v>64.955754292125832</v>
      </c>
      <c r="H56" s="88">
        <f t="shared" si="7"/>
        <v>61.562108352224357</v>
      </c>
      <c r="I56" s="88">
        <f t="shared" si="7"/>
        <v>2.5835337627660806</v>
      </c>
      <c r="J56" s="88">
        <f t="shared" si="7"/>
        <v>2.8922673064317053</v>
      </c>
      <c r="K56" s="88">
        <f t="shared" si="7"/>
        <v>2.8651810932125272</v>
      </c>
      <c r="L56" s="88">
        <f t="shared" si="7"/>
        <v>3.0082071850840748</v>
      </c>
      <c r="M56" s="88">
        <f t="shared" si="7"/>
        <v>2.8903831736034817</v>
      </c>
      <c r="N56" s="88">
        <f t="shared" si="7"/>
        <v>2.8401141216951942</v>
      </c>
      <c r="O56" s="88">
        <f t="shared" si="7"/>
        <v>2.8021686033126798</v>
      </c>
      <c r="P56" s="88">
        <f t="shared" si="7"/>
        <v>2.7924951762521459</v>
      </c>
      <c r="Q56" s="88">
        <f t="shared" si="7"/>
        <v>2.7765194437651246</v>
      </c>
      <c r="R56" s="88">
        <f t="shared" si="7"/>
        <v>2.6586971648447388</v>
      </c>
      <c r="S56" s="88">
        <f t="shared" si="7"/>
        <v>2.75160532190597</v>
      </c>
      <c r="T56" s="88">
        <f t="shared" si="7"/>
        <v>2.8640743951603724</v>
      </c>
      <c r="U56" s="88">
        <f t="shared" si="7"/>
        <v>2.8805561709459653</v>
      </c>
      <c r="V56" s="88">
        <f t="shared" si="7"/>
        <v>2.8153182241517811</v>
      </c>
      <c r="W56" s="88">
        <f t="shared" si="7"/>
        <v>2.8468068677226483</v>
      </c>
    </row>
    <row r="57" spans="1:23">
      <c r="A57" s="89"/>
      <c r="B57" s="90"/>
      <c r="C57" s="91"/>
      <c r="D57" s="92"/>
      <c r="E57" s="92"/>
      <c r="F57" s="92"/>
      <c r="G57" s="92"/>
      <c r="H57" s="92"/>
      <c r="I57" s="92"/>
      <c r="J57" s="92"/>
      <c r="K57" s="92"/>
      <c r="L57" s="92"/>
      <c r="M57" s="92"/>
      <c r="N57" s="92"/>
      <c r="O57" s="92"/>
      <c r="P57" s="92"/>
      <c r="Q57" s="92"/>
      <c r="R57" s="92"/>
      <c r="S57" s="92"/>
      <c r="T57" s="92"/>
      <c r="U57" s="92"/>
      <c r="V57" s="92"/>
      <c r="W57" s="92"/>
    </row>
    <row r="58" spans="1:23">
      <c r="A58" s="93" t="s">
        <v>216</v>
      </c>
      <c r="B58" s="94"/>
      <c r="C58" s="95">
        <f>SUM(C53:C56)</f>
        <v>2.0032580452982645</v>
      </c>
      <c r="D58" s="95">
        <f t="shared" ref="D58:W58" si="8">SUM(D53:D56)</f>
        <v>48.809625458059394</v>
      </c>
      <c r="E58" s="95">
        <f t="shared" si="8"/>
        <v>116.22476415257874</v>
      </c>
      <c r="F58" s="95">
        <f t="shared" si="8"/>
        <v>186.33193086757601</v>
      </c>
      <c r="G58" s="95">
        <f t="shared" si="8"/>
        <v>259.10659340792847</v>
      </c>
      <c r="H58" s="95">
        <f t="shared" si="8"/>
        <v>245.56943956677728</v>
      </c>
      <c r="I58" s="95">
        <f t="shared" si="8"/>
        <v>10.305640193386736</v>
      </c>
      <c r="J58" s="95">
        <f t="shared" si="8"/>
        <v>11.537169218670613</v>
      </c>
      <c r="K58" s="95">
        <f t="shared" si="8"/>
        <v>11.429123110792709</v>
      </c>
      <c r="L58" s="95">
        <f t="shared" si="8"/>
        <v>11.999649984618266</v>
      </c>
      <c r="M58" s="95">
        <f t="shared" si="8"/>
        <v>11.529653468234635</v>
      </c>
      <c r="N58" s="95">
        <f t="shared" si="8"/>
        <v>11.329131698673834</v>
      </c>
      <c r="O58" s="95">
        <f t="shared" si="8"/>
        <v>11.177768141890617</v>
      </c>
      <c r="P58" s="95">
        <f t="shared" si="8"/>
        <v>11.139181125858734</v>
      </c>
      <c r="Q58" s="95">
        <f t="shared" si="8"/>
        <v>11.07545439884251</v>
      </c>
      <c r="R58" s="95">
        <f t="shared" si="8"/>
        <v>10.605464793590265</v>
      </c>
      <c r="S58" s="95">
        <f t="shared" si="8"/>
        <v>10.97607269951461</v>
      </c>
      <c r="T58" s="95">
        <f t="shared" si="8"/>
        <v>11.424708524812488</v>
      </c>
      <c r="U58" s="95">
        <f t="shared" si="8"/>
        <v>11.49045384366314</v>
      </c>
      <c r="V58" s="95">
        <f t="shared" si="8"/>
        <v>11.230221592664201</v>
      </c>
      <c r="W58" s="95">
        <f t="shared" si="8"/>
        <v>11.355828865731858</v>
      </c>
    </row>
    <row r="59" spans="1:23">
      <c r="A59" s="96"/>
      <c r="B59" s="96"/>
      <c r="C59" s="97"/>
      <c r="D59" s="97"/>
      <c r="E59" s="97"/>
      <c r="F59" s="97"/>
      <c r="G59" s="97"/>
      <c r="H59" s="97"/>
      <c r="I59" s="97"/>
      <c r="J59" s="96"/>
      <c r="K59" s="96"/>
      <c r="L59" s="96"/>
    </row>
    <row r="60" spans="1:23">
      <c r="A60" s="98" t="s">
        <v>217</v>
      </c>
      <c r="B60" s="98"/>
      <c r="C60" s="99"/>
      <c r="D60" s="99"/>
      <c r="E60" s="99"/>
      <c r="F60" s="99"/>
      <c r="G60" s="99"/>
      <c r="H60" s="99"/>
      <c r="I60" s="99"/>
      <c r="J60" s="100"/>
      <c r="K60" s="100"/>
      <c r="L60" s="100"/>
    </row>
    <row r="61" spans="1:23">
      <c r="A61" s="98"/>
      <c r="B61" s="98"/>
      <c r="C61" s="99"/>
      <c r="D61" s="99"/>
      <c r="E61" s="99"/>
      <c r="F61" s="99"/>
      <c r="G61" s="99"/>
      <c r="H61" s="99"/>
      <c r="I61" s="99"/>
      <c r="J61" s="100"/>
      <c r="K61" s="100"/>
      <c r="L61" s="100"/>
    </row>
    <row r="62" spans="1:23">
      <c r="A62" s="509" t="s">
        <v>214</v>
      </c>
      <c r="B62" s="511"/>
      <c r="C62" s="504" t="s">
        <v>218</v>
      </c>
      <c r="D62" s="504"/>
      <c r="E62" s="504"/>
      <c r="F62" s="504"/>
      <c r="G62" s="504"/>
      <c r="H62" s="504"/>
      <c r="I62" s="504"/>
      <c r="J62" s="504"/>
      <c r="K62" s="504"/>
      <c r="L62" s="504"/>
      <c r="M62" s="504"/>
      <c r="N62" s="504"/>
      <c r="O62" s="504"/>
      <c r="P62" s="504"/>
      <c r="Q62" s="504"/>
      <c r="R62" s="504"/>
      <c r="S62" s="504"/>
      <c r="T62" s="504"/>
      <c r="U62" s="504"/>
      <c r="V62" s="504"/>
      <c r="W62" s="504"/>
    </row>
    <row r="63" spans="1:23">
      <c r="A63" s="510"/>
      <c r="B63" s="512"/>
      <c r="C63" s="211">
        <v>2015</v>
      </c>
      <c r="D63" s="211">
        <v>2016</v>
      </c>
      <c r="E63" s="211">
        <v>2017</v>
      </c>
      <c r="F63" s="211">
        <v>2018</v>
      </c>
      <c r="G63" s="211">
        <v>2019</v>
      </c>
      <c r="H63" s="211">
        <v>2020</v>
      </c>
      <c r="I63" s="211">
        <v>2021</v>
      </c>
      <c r="J63" s="211">
        <v>2022</v>
      </c>
      <c r="K63" s="211">
        <v>2023</v>
      </c>
      <c r="L63" s="211">
        <v>2024</v>
      </c>
      <c r="M63" s="211">
        <v>2025</v>
      </c>
      <c r="N63" s="211">
        <v>2026</v>
      </c>
      <c r="O63" s="211">
        <v>2027</v>
      </c>
      <c r="P63" s="211">
        <v>2028</v>
      </c>
      <c r="Q63" s="211">
        <v>2029</v>
      </c>
      <c r="R63" s="211">
        <v>2030</v>
      </c>
      <c r="S63" s="211">
        <v>2031</v>
      </c>
      <c r="T63" s="211">
        <v>2032</v>
      </c>
      <c r="U63" s="211">
        <v>2033</v>
      </c>
      <c r="V63" s="211">
        <v>2034</v>
      </c>
      <c r="W63" s="211">
        <v>2035</v>
      </c>
    </row>
    <row r="64" spans="1:23">
      <c r="A64" s="84"/>
      <c r="B64" s="87"/>
      <c r="C64" s="92"/>
      <c r="D64" s="92"/>
      <c r="E64" s="92"/>
      <c r="F64" s="92"/>
      <c r="G64" s="92"/>
      <c r="H64" s="92"/>
      <c r="I64" s="92"/>
      <c r="J64" s="92"/>
      <c r="K64" s="92"/>
      <c r="L64" s="92"/>
      <c r="M64" s="92"/>
      <c r="N64" s="92"/>
      <c r="O64" s="92"/>
      <c r="P64" s="92"/>
      <c r="Q64" s="92"/>
      <c r="R64" s="92"/>
      <c r="S64" s="92"/>
      <c r="T64" s="92"/>
      <c r="U64" s="92"/>
      <c r="V64" s="92"/>
      <c r="W64" s="92"/>
    </row>
    <row r="65" spans="1:23">
      <c r="A65" s="103" t="str">
        <f>A53</f>
        <v>a. Irrigation Pumping - AutoDR</v>
      </c>
      <c r="B65" s="87"/>
      <c r="C65" s="92">
        <f>'Ag-Ind-Capacity-Smart'!C72*$C$4*$C$5*C12*C10*(1-C11)</f>
        <v>8.8623397395683617E-2</v>
      </c>
      <c r="D65" s="92">
        <f>'Ag-Ind-Capacity-Smart'!D72*$C$4*$C$5*D12*D10*(1-D11)</f>
        <v>2.2479432333282645</v>
      </c>
      <c r="E65" s="92">
        <f>'Ag-Ind-Capacity-Smart'!E72*$C$4*$C$5*E12*E10*(1-E11)</f>
        <v>7.3896839515990296</v>
      </c>
      <c r="F65" s="92">
        <f>'Ag-Ind-Capacity-Smart'!F72*$C$4*$C$5*F12*F10*(1-F11)</f>
        <v>15.632939879381198</v>
      </c>
      <c r="G65" s="92">
        <f>'Ag-Ind-Capacity-Smart'!G72*$C$4*$C$5*G12*G10*(1-G11)</f>
        <v>27.095720048579874</v>
      </c>
      <c r="H65" s="92">
        <f>'Ag-Ind-Capacity-Smart'!H72*$C$4*$C$5*H12*H10*(1-H11)</f>
        <v>37.959621522501813</v>
      </c>
      <c r="I65" s="92">
        <f>'Ag-Ind-Capacity-Smart'!I72*$C$4*$C$5*I12*I10*(1-I11)</f>
        <v>38.415539245342892</v>
      </c>
      <c r="J65" s="92">
        <f>'Ag-Ind-Capacity-Smart'!J72*$C$4*$C$5*J12*J10*(1-J11)</f>
        <v>38.925939358242594</v>
      </c>
      <c r="K65" s="92">
        <f>'Ag-Ind-Capacity-Smart'!K72*$C$4*$C$5*K12*K10*(1-K11)</f>
        <v>39.431559551162465</v>
      </c>
      <c r="L65" s="92">
        <f>'Ag-Ind-Capacity-Smart'!L72*$C$4*$C$5*L12*L10*(1-L11)</f>
        <v>39.96241964264788</v>
      </c>
      <c r="M65" s="92">
        <f>'Ag-Ind-Capacity-Smart'!M72*$C$4*$C$5*M12*M10*(1-M11)</f>
        <v>40.472487261519106</v>
      </c>
      <c r="N65" s="92">
        <f>'Ag-Ind-Capacity-Smart'!N72*$C$4*$C$5*N12*N10*(1-N11)</f>
        <v>40.973683871230008</v>
      </c>
      <c r="O65" s="92">
        <f>'Ag-Ind-Capacity-Smart'!O72*$C$4*$C$5*O12*O10*(1-O11)</f>
        <v>41.468184212991069</v>
      </c>
      <c r="P65" s="92">
        <f>'Ag-Ind-Capacity-Smart'!P72*$C$4*$C$5*P12*P10*(1-P11)</f>
        <v>41.960977479388504</v>
      </c>
      <c r="Q65" s="92">
        <f>'Ag-Ind-Capacity-Smart'!Q72*$C$4*$C$5*Q12*Q10*(1-Q11)</f>
        <v>42.450951498876464</v>
      </c>
      <c r="R65" s="92">
        <f>'Ag-Ind-Capacity-Smart'!R72*$C$4*$C$5*R12*R10*(1-R11)</f>
        <v>42.920133351496126</v>
      </c>
      <c r="S65" s="92">
        <f>'Ag-Ind-Capacity-Smart'!S72*$C$4*$C$5*S12*S10*(1-S11)</f>
        <v>43.405710761244237</v>
      </c>
      <c r="T65" s="92">
        <f>'Ag-Ind-Capacity-Smart'!T72*$C$4*$C$5*T12*T10*(1-T11)</f>
        <v>43.911135654507831</v>
      </c>
      <c r="U65" s="92">
        <f>'Ag-Ind-Capacity-Smart'!U72*$C$4*$C$5*U12*U10*(1-U11)</f>
        <v>44.419469096439478</v>
      </c>
      <c r="V65" s="92">
        <f>'Ag-Ind-Capacity-Smart'!V72*$C$4*$C$5*V12*V10*(1-V11)</f>
        <v>44.916289959525088</v>
      </c>
      <c r="W65" s="92">
        <f>'Ag-Ind-Capacity-Smart'!W72*$C$4*$C$5*W12*W10*(1-W11)</f>
        <v>45.418667642064356</v>
      </c>
    </row>
    <row r="66" spans="1:23">
      <c r="A66" s="103" t="str">
        <f>+A54</f>
        <v>b. Curtailable/Interruptible - AutoDR</v>
      </c>
      <c r="B66" s="104"/>
      <c r="C66" s="92">
        <f>'Ag-Ind-Capacity-Smart'!C73*$C$15*$C$16*C23*C21*(1-C22)</f>
        <v>0.62774906488609206</v>
      </c>
      <c r="D66" s="92">
        <f>'Ag-Ind-Capacity-Smart'!D73*$C$15*$C$16*D23*D21*(1-D22)</f>
        <v>15.922931236075211</v>
      </c>
      <c r="E66" s="92">
        <f>'Ag-Ind-Capacity-Smart'!E73*$C$15*$C$16*E23*E21*(1-E22)</f>
        <v>52.343594657159798</v>
      </c>
      <c r="F66" s="92">
        <f>'Ag-Ind-Capacity-Smart'!F73*$C$15*$C$16*F23*F21*(1-F22)</f>
        <v>110.73332414561679</v>
      </c>
      <c r="G66" s="92">
        <f>'Ag-Ind-Capacity-Smart'!G73*$C$15*$C$16*G23*G21*(1-G22)</f>
        <v>191.92801701077408</v>
      </c>
      <c r="H66" s="92">
        <f>'Ag-Ind-Capacity-Smart'!H73*$C$15*$C$16*H23*H21*(1-H22)</f>
        <v>268.88065245105452</v>
      </c>
      <c r="I66" s="92">
        <f>'Ag-Ind-Capacity-Smart'!I73*$C$15*$C$16*I23*I21*(1-I22)</f>
        <v>272.11006965451213</v>
      </c>
      <c r="J66" s="92">
        <f>'Ag-Ind-Capacity-Smart'!J73*$C$15*$C$16*J23*J21*(1-J22)</f>
        <v>275.72540378755178</v>
      </c>
      <c r="K66" s="92">
        <f>'Ag-Ind-Capacity-Smart'!K73*$C$15*$C$16*K23*K21*(1-K22)</f>
        <v>279.30688015406747</v>
      </c>
      <c r="L66" s="92">
        <f>'Ag-Ind-Capacity-Smart'!L73*$C$15*$C$16*L23*L21*(1-L22)</f>
        <v>283.06713913542251</v>
      </c>
      <c r="M66" s="92">
        <f>'Ag-Ind-Capacity-Smart'!M73*$C$15*$C$16*M23*M21*(1-M22)</f>
        <v>286.68011810242689</v>
      </c>
      <c r="N66" s="92">
        <f>'Ag-Ind-Capacity-Smart'!N73*$C$15*$C$16*N23*N21*(1-N22)</f>
        <v>290.2302607545459</v>
      </c>
      <c r="O66" s="92">
        <f>'Ag-Ind-Capacity-Smart'!O73*$C$15*$C$16*O23*O21*(1-O22)</f>
        <v>293.73297150868672</v>
      </c>
      <c r="P66" s="92">
        <f>'Ag-Ind-Capacity-Smart'!P73*$C$15*$C$16*P23*P21*(1-P22)</f>
        <v>297.22359047900193</v>
      </c>
      <c r="Q66" s="92">
        <f>'Ag-Ind-Capacity-Smart'!Q73*$C$15*$C$16*Q23*Q21*(1-Q22)</f>
        <v>300.69423978370833</v>
      </c>
      <c r="R66" s="92">
        <f>'Ag-Ind-Capacity-Smart'!R73*$C$15*$C$16*R23*R21*(1-R22)</f>
        <v>304.01761123976422</v>
      </c>
      <c r="S66" s="92">
        <f>'Ag-Ind-Capacity-Smart'!S73*$C$15*$C$16*S23*S21*(1-S22)</f>
        <v>307.4571178921467</v>
      </c>
      <c r="T66" s="92">
        <f>'Ag-Ind-Capacity-Smart'!T73*$C$15*$C$16*T23*T21*(1-T22)</f>
        <v>311.03721088609717</v>
      </c>
      <c r="U66" s="92">
        <f>'Ag-Ind-Capacity-Smart'!U73*$C$15*$C$16*U23*U21*(1-U22)</f>
        <v>314.63790609977963</v>
      </c>
      <c r="V66" s="92">
        <f>'Ag-Ind-Capacity-Smart'!V73*$C$15*$C$16*V23*V21*(1-V22)</f>
        <v>318.15705387996928</v>
      </c>
      <c r="W66" s="92">
        <f>'Ag-Ind-Capacity-Smart'!W73*$C$15*$C$16*W23*W21*(1-W22)</f>
        <v>321.71556246462262</v>
      </c>
    </row>
    <row r="67" spans="1:23">
      <c r="A67" s="103" t="str">
        <f>+A55</f>
        <v>c. Load Aggregator - AutoDR</v>
      </c>
      <c r="B67" s="104"/>
      <c r="C67" s="92">
        <f>'Ag-Ind-Capacity-Smart'!C74*$C$26*$C$27*C34*C32*(1-C33)</f>
        <v>0.78468633110761499</v>
      </c>
      <c r="D67" s="92">
        <f>'Ag-Ind-Capacity-Smart'!D74*$C$26*$C$27*D34*D32*(1-D33)</f>
        <v>19.903664045094011</v>
      </c>
      <c r="E67" s="92">
        <f>'Ag-Ind-Capacity-Smart'!E74*$C$26*$C$27*E34*E32*(1-E33)</f>
        <v>65.429493321449741</v>
      </c>
      <c r="F67" s="92">
        <f>'Ag-Ind-Capacity-Smart'!F74*$C$26*$C$27*F34*F32*(1-F33)</f>
        <v>138.41665518202097</v>
      </c>
      <c r="G67" s="92">
        <f>'Ag-Ind-Capacity-Smart'!G74*$C$26*$C$27*G34*G32*(1-G33)</f>
        <v>239.91002126346763</v>
      </c>
      <c r="H67" s="92">
        <f>'Ag-Ind-Capacity-Smart'!H74*$C$26*$C$27*H34*H32*(1-H33)</f>
        <v>336.10081556381817</v>
      </c>
      <c r="I67" s="92">
        <f>'Ag-Ind-Capacity-Smart'!I74*$C$26*$C$27*I34*I32*(1-I33)</f>
        <v>340.13758706814014</v>
      </c>
      <c r="J67" s="92">
        <f>'Ag-Ind-Capacity-Smart'!J74*$C$26*$C$27*J34*J32*(1-J33)</f>
        <v>344.65675473443969</v>
      </c>
      <c r="K67" s="92">
        <f>'Ag-Ind-Capacity-Smart'!K74*$C$26*$C$27*K34*K32*(1-K33)</f>
        <v>349.13360019258431</v>
      </c>
      <c r="L67" s="92">
        <f>'Ag-Ind-Capacity-Smart'!L74*$C$26*$C$27*L34*L32*(1-L33)</f>
        <v>353.83392391927805</v>
      </c>
      <c r="M67" s="92">
        <f>'Ag-Ind-Capacity-Smart'!M74*$C$26*$C$27*M34*M32*(1-M33)</f>
        <v>358.3501476280336</v>
      </c>
      <c r="N67" s="92">
        <f>'Ag-Ind-Capacity-Smart'!N74*$C$26*$C$27*N34*N32*(1-N33)</f>
        <v>362.78782594318233</v>
      </c>
      <c r="O67" s="92">
        <f>'Ag-Ind-Capacity-Smart'!O74*$C$26*$C$27*O34*O32*(1-O33)</f>
        <v>367.16621438585838</v>
      </c>
      <c r="P67" s="92">
        <f>'Ag-Ind-Capacity-Smart'!P74*$C$26*$C$27*P34*P32*(1-P33)</f>
        <v>371.52948809875232</v>
      </c>
      <c r="Q67" s="92">
        <f>'Ag-Ind-Capacity-Smart'!Q74*$C$26*$C$27*Q34*Q32*(1-Q33)</f>
        <v>375.86779972963535</v>
      </c>
      <c r="R67" s="92">
        <f>'Ag-Ind-Capacity-Smart'!R74*$C$26*$C$27*R34*R32*(1-R33)</f>
        <v>380.02201404970532</v>
      </c>
      <c r="S67" s="92">
        <f>'Ag-Ind-Capacity-Smart'!S74*$C$26*$C$27*S34*S32*(1-S33)</f>
        <v>384.32139736518337</v>
      </c>
      <c r="T67" s="92">
        <f>'Ag-Ind-Capacity-Smart'!T74*$C$26*$C$27*T34*T32*(1-T33)</f>
        <v>388.79651360762142</v>
      </c>
      <c r="U67" s="92">
        <f>'Ag-Ind-Capacity-Smart'!U74*$C$26*$C$27*U34*U32*(1-U33)</f>
        <v>393.29738262472449</v>
      </c>
      <c r="V67" s="92">
        <f>'Ag-Ind-Capacity-Smart'!V74*$C$26*$C$27*V34*V32*(1-V33)</f>
        <v>397.69631734996165</v>
      </c>
      <c r="W67" s="92">
        <f>'Ag-Ind-Capacity-Smart'!W74*$C$26*$C$27*W34*W32*(1-W33)</f>
        <v>402.14445308077825</v>
      </c>
    </row>
    <row r="68" spans="1:23">
      <c r="A68" s="103" t="str">
        <f>A56</f>
        <v>d. Refrigerated Warehouses - Controls</v>
      </c>
      <c r="B68" s="104"/>
      <c r="C68" s="92">
        <f>'Ag-Ind-Capacity-Smart'!C75*$C$37*$C$38*C45*C43*(1-C44)</f>
        <v>0.50219925190887371</v>
      </c>
      <c r="D68" s="92">
        <f>'Ag-Ind-Capacity-Smart'!D75*$C$37*$C$38*D45*D43*(1-D44)</f>
        <v>12.738344988860169</v>
      </c>
      <c r="E68" s="92">
        <f>'Ag-Ind-Capacity-Smart'!E75*$C$37*$C$38*E45*E43*(1-E44)</f>
        <v>41.87487572572784</v>
      </c>
      <c r="F68" s="92">
        <f>'Ag-Ind-Capacity-Smart'!F75*$C$37*$C$38*F45*F43*(1-F44)</f>
        <v>88.586659316493453</v>
      </c>
      <c r="G68" s="92">
        <f>'Ag-Ind-Capacity-Smart'!G75*$C$37*$C$38*G45*G43*(1-G44)</f>
        <v>153.54241360861928</v>
      </c>
      <c r="H68" s="92">
        <f>'Ag-Ind-Capacity-Smart'!H75*$C$37*$C$38*H45*H43*(1-H44)</f>
        <v>215.10452196084364</v>
      </c>
      <c r="I68" s="92">
        <f>'Ag-Ind-Capacity-Smart'!I75*$C$37*$C$38*I45*I43*(1-I44)</f>
        <v>217.68805572360972</v>
      </c>
      <c r="J68" s="92">
        <f>'Ag-Ind-Capacity-Smart'!J75*$C$37*$C$38*J45*J43*(1-J44)</f>
        <v>220.58032303004143</v>
      </c>
      <c r="K68" s="92">
        <f>'Ag-Ind-Capacity-Smart'!K75*$C$37*$C$38*K45*K43*(1-K44)</f>
        <v>223.44550412325395</v>
      </c>
      <c r="L68" s="92">
        <f>'Ag-Ind-Capacity-Smart'!L75*$C$37*$C$38*L45*L43*(1-L44)</f>
        <v>226.45371130833803</v>
      </c>
      <c r="M68" s="92">
        <f>'Ag-Ind-Capacity-Smart'!M75*$C$37*$C$38*M45*M43*(1-M44)</f>
        <v>229.34409448194151</v>
      </c>
      <c r="N68" s="92">
        <f>'Ag-Ind-Capacity-Smart'!N75*$C$37*$C$38*N45*N43*(1-N44)</f>
        <v>232.1842086036367</v>
      </c>
      <c r="O68" s="92">
        <f>'Ag-Ind-Capacity-Smart'!O75*$C$37*$C$38*O45*O43*(1-O44)</f>
        <v>234.98637720694938</v>
      </c>
      <c r="P68" s="92">
        <f>'Ag-Ind-Capacity-Smart'!P75*$C$37*$C$38*P45*P43*(1-P44)</f>
        <v>237.77887238320153</v>
      </c>
      <c r="Q68" s="92">
        <f>'Ag-Ind-Capacity-Smart'!Q75*$C$37*$C$38*Q45*Q43*(1-Q44)</f>
        <v>240.55539182696666</v>
      </c>
      <c r="R68" s="92">
        <f>'Ag-Ind-Capacity-Smart'!R75*$C$37*$C$38*R45*R43*(1-R44)</f>
        <v>243.21408899181139</v>
      </c>
      <c r="S68" s="92">
        <f>'Ag-Ind-Capacity-Smart'!S75*$C$37*$C$38*S45*S43*(1-S44)</f>
        <v>245.96569431371736</v>
      </c>
      <c r="T68" s="92">
        <f>'Ag-Ind-Capacity-Smart'!T75*$C$37*$C$38*T45*T43*(1-T44)</f>
        <v>248.82976870887774</v>
      </c>
      <c r="U68" s="92">
        <f>'Ag-Ind-Capacity-Smart'!U75*$C$37*$C$38*U45*U43*(1-U44)</f>
        <v>251.7103248798237</v>
      </c>
      <c r="V68" s="92">
        <f>'Ag-Ind-Capacity-Smart'!V75*$C$37*$C$38*V45*V43*(1-V44)</f>
        <v>254.52564310397548</v>
      </c>
      <c r="W68" s="92">
        <f>'Ag-Ind-Capacity-Smart'!W75*$C$37*$C$38*W45*W43*(1-W44)</f>
        <v>257.37244997169813</v>
      </c>
    </row>
    <row r="69" spans="1:23">
      <c r="A69" s="87"/>
      <c r="B69" s="87"/>
      <c r="C69" s="105"/>
      <c r="D69" s="105"/>
      <c r="E69" s="105"/>
      <c r="F69" s="105"/>
      <c r="G69" s="105"/>
      <c r="H69" s="105"/>
      <c r="I69" s="105"/>
      <c r="J69" s="105"/>
      <c r="K69" s="105"/>
      <c r="L69" s="105"/>
      <c r="M69" s="105"/>
      <c r="N69" s="105"/>
      <c r="O69" s="105"/>
      <c r="P69" s="105"/>
      <c r="Q69" s="105"/>
      <c r="R69" s="105"/>
      <c r="S69" s="105"/>
      <c r="T69" s="105"/>
      <c r="U69" s="105"/>
      <c r="V69" s="105"/>
      <c r="W69" s="105"/>
    </row>
    <row r="70" spans="1:23">
      <c r="A70" s="93" t="s">
        <v>219</v>
      </c>
      <c r="B70" s="93"/>
      <c r="C70" s="95">
        <f>SUM(C65:C68)</f>
        <v>2.0032580452982645</v>
      </c>
      <c r="D70" s="95">
        <f t="shared" ref="D70:W70" si="9">SUM(D65:D68)</f>
        <v>50.812883503357661</v>
      </c>
      <c r="E70" s="95">
        <f t="shared" si="9"/>
        <v>167.03764765593641</v>
      </c>
      <c r="F70" s="95">
        <f t="shared" si="9"/>
        <v>353.36957852351242</v>
      </c>
      <c r="G70" s="95">
        <f t="shared" si="9"/>
        <v>612.47617193144083</v>
      </c>
      <c r="H70" s="95">
        <f t="shared" si="9"/>
        <v>858.04561149821814</v>
      </c>
      <c r="I70" s="95">
        <f t="shared" si="9"/>
        <v>868.35125169160483</v>
      </c>
      <c r="J70" s="95">
        <f t="shared" si="9"/>
        <v>879.8884209102755</v>
      </c>
      <c r="K70" s="95">
        <f t="shared" si="9"/>
        <v>891.31754402106822</v>
      </c>
      <c r="L70" s="95">
        <f t="shared" si="9"/>
        <v>903.31719400568647</v>
      </c>
      <c r="M70" s="95">
        <f t="shared" si="9"/>
        <v>914.84684747392112</v>
      </c>
      <c r="N70" s="95">
        <f t="shared" si="9"/>
        <v>926.17597917259491</v>
      </c>
      <c r="O70" s="95">
        <f t="shared" si="9"/>
        <v>937.35374731448542</v>
      </c>
      <c r="P70" s="95">
        <f t="shared" si="9"/>
        <v>948.49292844034426</v>
      </c>
      <c r="Q70" s="95">
        <f t="shared" si="9"/>
        <v>959.56838283918682</v>
      </c>
      <c r="R70" s="95">
        <f t="shared" si="9"/>
        <v>970.1738476327771</v>
      </c>
      <c r="S70" s="95">
        <f t="shared" si="9"/>
        <v>981.14992033229157</v>
      </c>
      <c r="T70" s="95">
        <f t="shared" si="9"/>
        <v>992.57462885710424</v>
      </c>
      <c r="U70" s="95">
        <f t="shared" si="9"/>
        <v>1004.0650827007673</v>
      </c>
      <c r="V70" s="95">
        <f t="shared" si="9"/>
        <v>1015.2953042934314</v>
      </c>
      <c r="W70" s="95">
        <f t="shared" si="9"/>
        <v>1026.6511331591635</v>
      </c>
    </row>
    <row r="72" spans="1:23">
      <c r="A72" s="77" t="s">
        <v>220</v>
      </c>
      <c r="B72" s="77"/>
      <c r="D72" s="223"/>
      <c r="E72" s="78"/>
      <c r="F72" s="78"/>
      <c r="G72" s="224"/>
      <c r="H72" s="78"/>
    </row>
    <row r="74" spans="1:23">
      <c r="A74" s="106"/>
      <c r="B74" s="502" t="s">
        <v>242</v>
      </c>
      <c r="C74" s="507" t="s">
        <v>221</v>
      </c>
      <c r="D74" s="508"/>
      <c r="E74" s="508"/>
      <c r="F74" s="508"/>
      <c r="G74" s="508"/>
      <c r="H74" s="508"/>
      <c r="I74" s="508"/>
      <c r="J74" s="508"/>
      <c r="K74" s="508"/>
      <c r="L74" s="508"/>
      <c r="M74" s="508"/>
      <c r="N74" s="508"/>
      <c r="O74" s="508"/>
      <c r="P74" s="508"/>
      <c r="Q74" s="508"/>
      <c r="R74" s="508"/>
      <c r="S74" s="508"/>
      <c r="T74" s="508"/>
      <c r="U74" s="508"/>
      <c r="V74" s="508"/>
      <c r="W74" s="508"/>
    </row>
    <row r="75" spans="1:23">
      <c r="A75" s="212" t="s">
        <v>214</v>
      </c>
      <c r="B75" s="506"/>
      <c r="C75" s="211">
        <v>2015</v>
      </c>
      <c r="D75" s="211">
        <v>2016</v>
      </c>
      <c r="E75" s="211">
        <v>2017</v>
      </c>
      <c r="F75" s="211">
        <v>2018</v>
      </c>
      <c r="G75" s="211">
        <v>2019</v>
      </c>
      <c r="H75" s="211">
        <v>2020</v>
      </c>
      <c r="I75" s="211">
        <v>2021</v>
      </c>
      <c r="J75" s="211">
        <v>2022</v>
      </c>
      <c r="K75" s="211">
        <v>2023</v>
      </c>
      <c r="L75" s="211">
        <v>2024</v>
      </c>
      <c r="M75" s="211">
        <v>2025</v>
      </c>
      <c r="N75" s="211">
        <v>2026</v>
      </c>
      <c r="O75" s="211">
        <v>2027</v>
      </c>
      <c r="P75" s="211">
        <v>2028</v>
      </c>
      <c r="Q75" s="211">
        <v>2029</v>
      </c>
      <c r="R75" s="211">
        <v>2030</v>
      </c>
      <c r="S75" s="211">
        <v>2031</v>
      </c>
      <c r="T75" s="211">
        <v>2032</v>
      </c>
      <c r="U75" s="211">
        <v>2033</v>
      </c>
      <c r="V75" s="211">
        <v>2034</v>
      </c>
      <c r="W75" s="211">
        <v>2035</v>
      </c>
    </row>
    <row r="76" spans="1:23">
      <c r="A76" s="118"/>
      <c r="B76" s="84"/>
      <c r="C76" s="84"/>
      <c r="D76" s="108"/>
      <c r="E76" s="84"/>
      <c r="F76" s="84"/>
      <c r="G76" s="84"/>
      <c r="H76" s="84"/>
      <c r="I76" s="84"/>
      <c r="J76" s="84"/>
      <c r="K76" s="84"/>
      <c r="L76" s="84"/>
      <c r="M76" s="84"/>
      <c r="N76" s="84"/>
      <c r="O76" s="84"/>
      <c r="P76" s="84"/>
      <c r="Q76" s="84"/>
      <c r="R76" s="84"/>
      <c r="S76" s="84"/>
      <c r="T76" s="84"/>
      <c r="U76" s="84"/>
      <c r="V76" s="84"/>
      <c r="W76" s="84"/>
    </row>
    <row r="77" spans="1:23">
      <c r="A77" s="103" t="str">
        <f>A53</f>
        <v>a. Irrigation Pumping - AutoDR</v>
      </c>
      <c r="B77" s="234">
        <f>KeyAssumptions!AD11</f>
        <v>25</v>
      </c>
      <c r="C77" s="192">
        <f>$B77/1000*C65*$C$6</f>
        <v>2.104805688147486E-3</v>
      </c>
      <c r="D77" s="192">
        <f t="shared" ref="D77:W77" si="10">$B77/1000*D65*$C$6</f>
        <v>5.3388651791546282E-2</v>
      </c>
      <c r="E77" s="192">
        <f t="shared" si="10"/>
        <v>0.17550499385047694</v>
      </c>
      <c r="F77" s="192">
        <f t="shared" si="10"/>
        <v>0.37128232213530343</v>
      </c>
      <c r="G77" s="192">
        <f t="shared" si="10"/>
        <v>0.64352335115377202</v>
      </c>
      <c r="H77" s="192">
        <f t="shared" si="10"/>
        <v>0.90154101115941809</v>
      </c>
      <c r="I77" s="192">
        <f t="shared" si="10"/>
        <v>0.91236905707689364</v>
      </c>
      <c r="J77" s="192">
        <f t="shared" si="10"/>
        <v>0.92449105975826162</v>
      </c>
      <c r="K77" s="192">
        <f t="shared" si="10"/>
        <v>0.93649953934010854</v>
      </c>
      <c r="L77" s="192">
        <f t="shared" si="10"/>
        <v>0.94910746651288724</v>
      </c>
      <c r="M77" s="192">
        <f t="shared" si="10"/>
        <v>0.96122157246107875</v>
      </c>
      <c r="N77" s="192">
        <f t="shared" si="10"/>
        <v>0.97312499194171265</v>
      </c>
      <c r="O77" s="192">
        <f t="shared" si="10"/>
        <v>0.98486937505853789</v>
      </c>
      <c r="P77" s="192">
        <f t="shared" si="10"/>
        <v>0.99657321513547692</v>
      </c>
      <c r="Q77" s="192">
        <f t="shared" si="10"/>
        <v>1.008210098098316</v>
      </c>
      <c r="R77" s="192">
        <f t="shared" si="10"/>
        <v>1.0193531670980329</v>
      </c>
      <c r="S77" s="192">
        <f t="shared" si="10"/>
        <v>1.0308856305795506</v>
      </c>
      <c r="T77" s="192">
        <f t="shared" si="10"/>
        <v>1.0428894717945609</v>
      </c>
      <c r="U77" s="192">
        <f t="shared" si="10"/>
        <v>1.0549623910404378</v>
      </c>
      <c r="V77" s="192">
        <f t="shared" si="10"/>
        <v>1.0667618865387209</v>
      </c>
      <c r="W77" s="192">
        <f t="shared" si="10"/>
        <v>1.0786933564990284</v>
      </c>
    </row>
    <row r="78" spans="1:23">
      <c r="A78" s="103" t="str">
        <f>+A54</f>
        <v>b. Curtailable/Interruptible - AutoDR</v>
      </c>
      <c r="B78" s="234">
        <f>KeyAssumptions!AD12</f>
        <v>500</v>
      </c>
      <c r="C78" s="192">
        <f>$B78/1000*C66*$C$17</f>
        <v>0.29818080582089374</v>
      </c>
      <c r="D78" s="192">
        <f>$B78/1000*D66*$C$17</f>
        <v>7.563392337135725</v>
      </c>
      <c r="E78" s="192">
        <f t="shared" ref="E78:W78" si="11">$B78/1000*E66*$C$17</f>
        <v>24.863207462150903</v>
      </c>
      <c r="F78" s="192">
        <f t="shared" si="11"/>
        <v>52.598328969167973</v>
      </c>
      <c r="G78" s="192">
        <f t="shared" si="11"/>
        <v>91.165808080117685</v>
      </c>
      <c r="H78" s="192">
        <f t="shared" si="11"/>
        <v>127.7183099142509</v>
      </c>
      <c r="I78" s="192">
        <f t="shared" si="11"/>
        <v>129.25228308589325</v>
      </c>
      <c r="J78" s="192">
        <f t="shared" si="11"/>
        <v>130.96956679908709</v>
      </c>
      <c r="K78" s="192">
        <f t="shared" si="11"/>
        <v>132.67076807318205</v>
      </c>
      <c r="L78" s="192">
        <f t="shared" si="11"/>
        <v>134.45689108932569</v>
      </c>
      <c r="M78" s="192">
        <f t="shared" si="11"/>
        <v>136.17305609865278</v>
      </c>
      <c r="N78" s="192">
        <f t="shared" si="11"/>
        <v>137.8593738584093</v>
      </c>
      <c r="O78" s="192">
        <f t="shared" si="11"/>
        <v>139.52316146662619</v>
      </c>
      <c r="P78" s="192">
        <f t="shared" si="11"/>
        <v>141.18120547752591</v>
      </c>
      <c r="Q78" s="192">
        <f t="shared" si="11"/>
        <v>142.82976389726144</v>
      </c>
      <c r="R78" s="192">
        <f t="shared" si="11"/>
        <v>144.40836533888799</v>
      </c>
      <c r="S78" s="192">
        <f t="shared" si="11"/>
        <v>146.04213099876966</v>
      </c>
      <c r="T78" s="192">
        <f t="shared" si="11"/>
        <v>147.74267517089615</v>
      </c>
      <c r="U78" s="192">
        <f t="shared" si="11"/>
        <v>149.45300539739532</v>
      </c>
      <c r="V78" s="192">
        <f t="shared" si="11"/>
        <v>151.12460059298542</v>
      </c>
      <c r="W78" s="192">
        <f t="shared" si="11"/>
        <v>152.81489217069574</v>
      </c>
    </row>
    <row r="79" spans="1:23">
      <c r="A79" s="103" t="str">
        <f>A55</f>
        <v>c. Load Aggregator - AutoDR</v>
      </c>
      <c r="B79" s="234">
        <f>KeyAssumptions!AD13</f>
        <v>100</v>
      </c>
      <c r="C79" s="192">
        <f>$B79/1000*C67*$C$28</f>
        <v>7.4545201455223434E-2</v>
      </c>
      <c r="D79" s="192">
        <f t="shared" ref="D79:W79" si="12">$B79/1000*D67*$C$28</f>
        <v>1.890848084283931</v>
      </c>
      <c r="E79" s="192">
        <f t="shared" si="12"/>
        <v>6.2158018655377258</v>
      </c>
      <c r="F79" s="192">
        <f t="shared" si="12"/>
        <v>13.149582242291993</v>
      </c>
      <c r="G79" s="192">
        <f t="shared" si="12"/>
        <v>22.791452020029425</v>
      </c>
      <c r="H79" s="192">
        <f t="shared" si="12"/>
        <v>31.929577478562727</v>
      </c>
      <c r="I79" s="192">
        <f t="shared" si="12"/>
        <v>32.313070771473313</v>
      </c>
      <c r="J79" s="192">
        <f t="shared" si="12"/>
        <v>32.742391699771773</v>
      </c>
      <c r="K79" s="192">
        <f t="shared" si="12"/>
        <v>33.167692018295512</v>
      </c>
      <c r="L79" s="192">
        <f t="shared" si="12"/>
        <v>33.614222772331416</v>
      </c>
      <c r="M79" s="192">
        <f t="shared" si="12"/>
        <v>34.043264024663195</v>
      </c>
      <c r="N79" s="192">
        <f t="shared" si="12"/>
        <v>34.464843464602325</v>
      </c>
      <c r="O79" s="192">
        <f t="shared" si="12"/>
        <v>34.880790366656548</v>
      </c>
      <c r="P79" s="192">
        <f t="shared" si="12"/>
        <v>35.29530136938147</v>
      </c>
      <c r="Q79" s="192">
        <f t="shared" si="12"/>
        <v>35.707440974315354</v>
      </c>
      <c r="R79" s="192">
        <f t="shared" si="12"/>
        <v>36.102091334722004</v>
      </c>
      <c r="S79" s="192">
        <f t="shared" si="12"/>
        <v>36.510532749692416</v>
      </c>
      <c r="T79" s="192">
        <f t="shared" si="12"/>
        <v>36.935668792724037</v>
      </c>
      <c r="U79" s="192">
        <f t="shared" si="12"/>
        <v>37.363251349348829</v>
      </c>
      <c r="V79" s="192">
        <f t="shared" si="12"/>
        <v>37.781150148246354</v>
      </c>
      <c r="W79" s="192">
        <f t="shared" si="12"/>
        <v>38.203723042673936</v>
      </c>
    </row>
    <row r="80" spans="1:23">
      <c r="A80" s="103" t="str">
        <f>A56</f>
        <v>d. Refrigerated Warehouses - Controls</v>
      </c>
      <c r="B80" s="234">
        <f>KeyAssumptions!AD14</f>
        <v>250</v>
      </c>
      <c r="C80" s="192">
        <f>$B80/1000*C68*$C$39</f>
        <v>0.11927232232835749</v>
      </c>
      <c r="D80" s="192">
        <f t="shared" ref="D80:W80" si="13">$B80/1000*D68*$C$39</f>
        <v>3.0253569348542899</v>
      </c>
      <c r="E80" s="192">
        <f t="shared" si="13"/>
        <v>9.945282984860361</v>
      </c>
      <c r="F80" s="192">
        <f t="shared" si="13"/>
        <v>21.039331587667196</v>
      </c>
      <c r="G80" s="192">
        <f t="shared" si="13"/>
        <v>36.466323232047081</v>
      </c>
      <c r="H80" s="192">
        <f t="shared" si="13"/>
        <v>51.087323965700364</v>
      </c>
      <c r="I80" s="192">
        <f t="shared" si="13"/>
        <v>51.700913234357309</v>
      </c>
      <c r="J80" s="192">
        <f t="shared" si="13"/>
        <v>52.387826719634838</v>
      </c>
      <c r="K80" s="192">
        <f t="shared" si="13"/>
        <v>53.068307229272811</v>
      </c>
      <c r="L80" s="192">
        <f t="shared" si="13"/>
        <v>53.782756435730278</v>
      </c>
      <c r="M80" s="192">
        <f t="shared" si="13"/>
        <v>54.469222439461106</v>
      </c>
      <c r="N80" s="192">
        <f t="shared" si="13"/>
        <v>55.143749543363718</v>
      </c>
      <c r="O80" s="192">
        <f t="shared" si="13"/>
        <v>55.809264586650478</v>
      </c>
      <c r="P80" s="192">
        <f t="shared" si="13"/>
        <v>56.472482191010364</v>
      </c>
      <c r="Q80" s="192">
        <f t="shared" si="13"/>
        <v>57.131905558904577</v>
      </c>
      <c r="R80" s="192">
        <f t="shared" si="13"/>
        <v>57.763346135555203</v>
      </c>
      <c r="S80" s="192">
        <f t="shared" si="13"/>
        <v>58.416852399507874</v>
      </c>
      <c r="T80" s="192">
        <f t="shared" si="13"/>
        <v>59.097070068358462</v>
      </c>
      <c r="U80" s="192">
        <f t="shared" si="13"/>
        <v>59.781202158958124</v>
      </c>
      <c r="V80" s="192">
        <f t="shared" si="13"/>
        <v>60.449840237194174</v>
      </c>
      <c r="W80" s="192">
        <f t="shared" si="13"/>
        <v>61.125956868278301</v>
      </c>
    </row>
    <row r="81" spans="1:23">
      <c r="A81" s="103"/>
      <c r="B81" s="89"/>
      <c r="C81" s="109"/>
      <c r="D81" s="109"/>
      <c r="E81" s="109"/>
      <c r="F81" s="109"/>
      <c r="G81" s="109"/>
      <c r="H81" s="109"/>
      <c r="I81" s="109"/>
      <c r="J81" s="109"/>
      <c r="K81" s="109"/>
      <c r="L81" s="109"/>
      <c r="M81" s="109"/>
      <c r="N81" s="109"/>
      <c r="O81" s="109"/>
      <c r="P81" s="109"/>
      <c r="Q81" s="109"/>
      <c r="R81" s="109"/>
      <c r="S81" s="109"/>
      <c r="T81" s="109"/>
      <c r="U81" s="109"/>
      <c r="V81" s="109"/>
      <c r="W81" s="109"/>
    </row>
    <row r="82" spans="1:23">
      <c r="A82" s="110" t="s">
        <v>269</v>
      </c>
      <c r="B82" s="111"/>
      <c r="C82" s="229">
        <f>SUM(C77:C80)</f>
        <v>0.49410313529262212</v>
      </c>
      <c r="D82" s="229">
        <f t="shared" ref="D82:W82" si="14">SUM(D77:D80)</f>
        <v>12.532986008065492</v>
      </c>
      <c r="E82" s="229">
        <f t="shared" si="14"/>
        <v>41.199797306399468</v>
      </c>
      <c r="F82" s="229">
        <f t="shared" si="14"/>
        <v>87.158525121262457</v>
      </c>
      <c r="G82" s="229">
        <f t="shared" si="14"/>
        <v>151.06710668334796</v>
      </c>
      <c r="H82" s="229">
        <f t="shared" si="14"/>
        <v>211.63675236967339</v>
      </c>
      <c r="I82" s="229">
        <f t="shared" si="14"/>
        <v>214.17863614880076</v>
      </c>
      <c r="J82" s="229">
        <f t="shared" si="14"/>
        <v>217.02427627825196</v>
      </c>
      <c r="K82" s="229">
        <f t="shared" si="14"/>
        <v>219.84326686009047</v>
      </c>
      <c r="L82" s="229">
        <f t="shared" si="14"/>
        <v>222.80297776390029</v>
      </c>
      <c r="M82" s="229">
        <f t="shared" si="14"/>
        <v>225.64676413523816</v>
      </c>
      <c r="N82" s="229">
        <f t="shared" si="14"/>
        <v>228.44109185831707</v>
      </c>
      <c r="O82" s="229">
        <f t="shared" si="14"/>
        <v>231.19808579499175</v>
      </c>
      <c r="P82" s="229">
        <f t="shared" si="14"/>
        <v>233.9455622530532</v>
      </c>
      <c r="Q82" s="229">
        <f t="shared" si="14"/>
        <v>236.67732052857968</v>
      </c>
      <c r="R82" s="229">
        <f t="shared" si="14"/>
        <v>239.29315597626322</v>
      </c>
      <c r="S82" s="229">
        <f t="shared" si="14"/>
        <v>242.00040177854953</v>
      </c>
      <c r="T82" s="229">
        <f t="shared" si="14"/>
        <v>244.81830350377322</v>
      </c>
      <c r="U82" s="229">
        <f t="shared" si="14"/>
        <v>247.65242129674272</v>
      </c>
      <c r="V82" s="229">
        <f t="shared" si="14"/>
        <v>250.42235286496467</v>
      </c>
      <c r="W82" s="229">
        <f t="shared" si="14"/>
        <v>253.22326543814702</v>
      </c>
    </row>
    <row r="83" spans="1:23">
      <c r="A83" s="113"/>
      <c r="B83" s="113"/>
      <c r="C83" s="114"/>
      <c r="D83" s="114"/>
      <c r="E83" s="115"/>
      <c r="F83" s="115"/>
      <c r="G83" s="115"/>
      <c r="H83" s="115"/>
      <c r="I83" s="115"/>
      <c r="J83" s="115"/>
      <c r="K83" s="115"/>
      <c r="L83" s="115"/>
      <c r="M83" s="115"/>
      <c r="N83" s="115"/>
      <c r="O83" s="115"/>
      <c r="P83" s="115"/>
      <c r="Q83" s="115"/>
      <c r="R83" s="115"/>
      <c r="S83" s="115"/>
      <c r="T83" s="115"/>
      <c r="U83" s="115"/>
      <c r="V83" s="115"/>
      <c r="W83" s="115"/>
    </row>
    <row r="84" spans="1:23">
      <c r="A84" s="77" t="s">
        <v>277</v>
      </c>
      <c r="B84" s="113"/>
      <c r="C84" s="100"/>
      <c r="D84" s="125"/>
      <c r="E84" s="124"/>
      <c r="F84" s="124"/>
      <c r="G84" s="124"/>
      <c r="H84" s="124"/>
      <c r="I84" s="124"/>
      <c r="J84" s="124"/>
      <c r="K84" s="124"/>
      <c r="L84" s="124"/>
      <c r="M84" s="124"/>
      <c r="N84" s="124"/>
      <c r="O84" s="124"/>
      <c r="P84" s="124"/>
      <c r="Q84" s="124"/>
      <c r="R84" s="124"/>
      <c r="S84" s="124"/>
      <c r="T84" s="124"/>
      <c r="U84" s="124"/>
      <c r="V84" s="124"/>
      <c r="W84" s="124"/>
    </row>
    <row r="85" spans="1:23">
      <c r="A85" s="116"/>
      <c r="B85" s="113"/>
      <c r="C85" s="100"/>
      <c r="D85" s="124"/>
      <c r="E85" s="124"/>
      <c r="F85" s="124"/>
      <c r="G85" s="124"/>
      <c r="H85" s="124"/>
      <c r="I85" s="124"/>
      <c r="J85" s="124"/>
      <c r="K85" s="124"/>
      <c r="L85" s="124"/>
      <c r="M85" s="124"/>
      <c r="N85" s="124"/>
      <c r="O85" s="124"/>
      <c r="P85" s="124"/>
      <c r="Q85" s="124"/>
      <c r="R85" s="124"/>
      <c r="S85" s="124"/>
      <c r="T85" s="124"/>
      <c r="U85" s="124"/>
      <c r="V85" s="124"/>
      <c r="W85" s="124"/>
    </row>
    <row r="86" spans="1:23" ht="12.75" customHeight="1">
      <c r="A86" s="500" t="s">
        <v>214</v>
      </c>
      <c r="B86" s="502" t="s">
        <v>308</v>
      </c>
      <c r="C86" s="504" t="s">
        <v>222</v>
      </c>
      <c r="D86" s="504"/>
      <c r="E86" s="504"/>
      <c r="F86" s="504"/>
      <c r="G86" s="504"/>
      <c r="H86" s="504"/>
      <c r="I86" s="504"/>
      <c r="J86" s="504"/>
      <c r="K86" s="504"/>
      <c r="L86" s="504"/>
      <c r="M86" s="504"/>
      <c r="N86" s="504"/>
      <c r="O86" s="504"/>
      <c r="P86" s="504"/>
      <c r="Q86" s="504"/>
      <c r="R86" s="504"/>
      <c r="S86" s="504"/>
      <c r="T86" s="504"/>
      <c r="U86" s="504"/>
      <c r="V86" s="504"/>
      <c r="W86" s="504"/>
    </row>
    <row r="87" spans="1:23">
      <c r="A87" s="501"/>
      <c r="B87" s="503"/>
      <c r="C87" s="211">
        <v>2015</v>
      </c>
      <c r="D87" s="211">
        <v>2016</v>
      </c>
      <c r="E87" s="211">
        <v>2017</v>
      </c>
      <c r="F87" s="211">
        <v>2018</v>
      </c>
      <c r="G87" s="211">
        <v>2019</v>
      </c>
      <c r="H87" s="211">
        <v>2020</v>
      </c>
      <c r="I87" s="211">
        <v>2021</v>
      </c>
      <c r="J87" s="211">
        <v>2022</v>
      </c>
      <c r="K87" s="211">
        <v>2023</v>
      </c>
      <c r="L87" s="211">
        <v>2024</v>
      </c>
      <c r="M87" s="211">
        <v>2025</v>
      </c>
      <c r="N87" s="211">
        <v>2026</v>
      </c>
      <c r="O87" s="211">
        <v>2027</v>
      </c>
      <c r="P87" s="211">
        <v>2028</v>
      </c>
      <c r="Q87" s="211">
        <v>2029</v>
      </c>
      <c r="R87" s="211">
        <v>2030</v>
      </c>
      <c r="S87" s="211">
        <v>2031</v>
      </c>
      <c r="T87" s="211">
        <v>2032</v>
      </c>
      <c r="U87" s="211">
        <v>2033</v>
      </c>
      <c r="V87" s="211">
        <v>2034</v>
      </c>
      <c r="W87" s="211">
        <v>2035</v>
      </c>
    </row>
    <row r="88" spans="1:23">
      <c r="A88" s="126"/>
      <c r="B88" s="127"/>
      <c r="C88" s="78"/>
      <c r="D88" s="84"/>
      <c r="E88" s="84"/>
      <c r="F88" s="84"/>
      <c r="G88" s="84"/>
      <c r="H88" s="84"/>
      <c r="I88" s="84"/>
      <c r="J88" s="84"/>
      <c r="K88" s="84"/>
      <c r="L88" s="84"/>
      <c r="M88" s="84"/>
      <c r="N88" s="84"/>
      <c r="O88" s="84"/>
      <c r="P88" s="84"/>
      <c r="Q88" s="84"/>
      <c r="R88" s="84"/>
      <c r="S88" s="84"/>
      <c r="T88" s="84"/>
      <c r="U88" s="84"/>
      <c r="V88" s="84"/>
      <c r="W88" s="84"/>
    </row>
    <row r="89" spans="1:23">
      <c r="A89" s="169" t="str">
        <f>A53</f>
        <v>a. Irrigation Pumping - AutoDR</v>
      </c>
      <c r="B89" s="235">
        <f>SUM(KeyAssumptions!Z11:AB11)</f>
        <v>5862.5</v>
      </c>
      <c r="C89" s="119">
        <f>MAX(0,($B$89*C53))</f>
        <v>519.55466723219524</v>
      </c>
      <c r="D89" s="119">
        <f t="shared" ref="D89:W89" si="15">MAX(0,($B$89*D53))</f>
        <v>12659.012538154755</v>
      </c>
      <c r="E89" s="119">
        <f t="shared" si="15"/>
        <v>30143.45496086236</v>
      </c>
      <c r="F89" s="119">
        <f t="shared" si="15"/>
        <v>48326.087876622965</v>
      </c>
      <c r="G89" s="119">
        <f t="shared" si="15"/>
        <v>67200.548741927239</v>
      </c>
      <c r="H89" s="119">
        <f t="shared" si="15"/>
        <v>63689.622390867364</v>
      </c>
      <c r="I89" s="119">
        <f t="shared" si="15"/>
        <v>2672.817650155825</v>
      </c>
      <c r="J89" s="119">
        <f t="shared" si="15"/>
        <v>2992.2206618745067</v>
      </c>
      <c r="K89" s="119">
        <f t="shared" si="15"/>
        <v>2964.1983809927419</v>
      </c>
      <c r="L89" s="119">
        <f t="shared" si="15"/>
        <v>3112.1672863332474</v>
      </c>
      <c r="M89" s="119">
        <f t="shared" si="15"/>
        <v>2990.2714156325605</v>
      </c>
      <c r="N89" s="119">
        <f t="shared" si="15"/>
        <v>2938.2651244301655</v>
      </c>
      <c r="O89" s="119">
        <f t="shared" si="15"/>
        <v>2899.0082535742185</v>
      </c>
      <c r="P89" s="119">
        <f t="shared" si="15"/>
        <v>2889.0005242549605</v>
      </c>
      <c r="Q89" s="119">
        <f t="shared" si="15"/>
        <v>2872.4726892481644</v>
      </c>
      <c r="R89" s="119">
        <f t="shared" si="15"/>
        <v>2750.5786109827727</v>
      </c>
      <c r="S89" s="119">
        <f t="shared" si="15"/>
        <v>2846.6975646482965</v>
      </c>
      <c r="T89" s="119">
        <f t="shared" si="15"/>
        <v>2963.0534367578216</v>
      </c>
      <c r="U89" s="119">
        <f t="shared" si="15"/>
        <v>2980.1048033242819</v>
      </c>
      <c r="V89" s="119">
        <f t="shared" si="15"/>
        <v>2912.6123098393869</v>
      </c>
      <c r="W89" s="119">
        <f t="shared" si="15"/>
        <v>2945.1891638864631</v>
      </c>
    </row>
    <row r="90" spans="1:23">
      <c r="A90" s="87" t="str">
        <f>+A54</f>
        <v>b. Curtailable/Interruptible - AutoDR</v>
      </c>
      <c r="B90" s="235">
        <f>SUM(KeyAssumptions!Z12:AB12)</f>
        <v>3750</v>
      </c>
      <c r="C90" s="119">
        <f t="shared" ref="C90:W90" si="16">MAX(0,($B$90*C54))</f>
        <v>2354.0589933228453</v>
      </c>
      <c r="D90" s="119">
        <f t="shared" si="16"/>
        <v>57356.933141959191</v>
      </c>
      <c r="E90" s="119">
        <f t="shared" si="16"/>
        <v>136577.48782906719</v>
      </c>
      <c r="F90" s="119">
        <f t="shared" si="16"/>
        <v>218961.48558171373</v>
      </c>
      <c r="G90" s="119">
        <f t="shared" si="16"/>
        <v>304480.09824433987</v>
      </c>
      <c r="H90" s="119">
        <f t="shared" si="16"/>
        <v>288572.38290105161</v>
      </c>
      <c r="I90" s="119">
        <f t="shared" si="16"/>
        <v>12110.314512966055</v>
      </c>
      <c r="J90" s="119">
        <f t="shared" si="16"/>
        <v>13557.502998898699</v>
      </c>
      <c r="K90" s="119">
        <f t="shared" si="16"/>
        <v>13430.536374433828</v>
      </c>
      <c r="L90" s="119">
        <f t="shared" si="16"/>
        <v>14100.971180081388</v>
      </c>
      <c r="M90" s="119">
        <f t="shared" si="16"/>
        <v>13548.671126266427</v>
      </c>
      <c r="N90" s="119">
        <f t="shared" si="16"/>
        <v>13313.034945446276</v>
      </c>
      <c r="O90" s="119">
        <f t="shared" si="16"/>
        <v>13135.165328028081</v>
      </c>
      <c r="P90" s="119">
        <f t="shared" si="16"/>
        <v>13089.82113868204</v>
      </c>
      <c r="Q90" s="119">
        <f t="shared" si="16"/>
        <v>13014.934892648995</v>
      </c>
      <c r="R90" s="119">
        <f t="shared" si="16"/>
        <v>12462.642960209607</v>
      </c>
      <c r="S90" s="119">
        <f t="shared" si="16"/>
        <v>12898.149946434287</v>
      </c>
      <c r="T90" s="119">
        <f t="shared" si="16"/>
        <v>13425.348727314273</v>
      </c>
      <c r="U90" s="119">
        <f t="shared" si="16"/>
        <v>13502.607051309213</v>
      </c>
      <c r="V90" s="119">
        <f t="shared" si="16"/>
        <v>13196.804175711208</v>
      </c>
      <c r="W90" s="119">
        <f t="shared" si="16"/>
        <v>13344.40719245002</v>
      </c>
    </row>
    <row r="91" spans="1:23">
      <c r="A91" s="87" t="str">
        <f>+A55</f>
        <v>c. Load Aggregator - AutoDR</v>
      </c>
      <c r="B91" s="235">
        <f>SUM(KeyAssumptions!Z13:AB13)</f>
        <v>3750</v>
      </c>
      <c r="C91" s="119">
        <f t="shared" ref="C91:W91" si="17">MAX(0,($B$91*C55))</f>
        <v>2942.5737416535562</v>
      </c>
      <c r="D91" s="119">
        <f t="shared" si="17"/>
        <v>71696.166427448989</v>
      </c>
      <c r="E91" s="119">
        <f t="shared" si="17"/>
        <v>170721.85978633398</v>
      </c>
      <c r="F91" s="119">
        <f t="shared" si="17"/>
        <v>273701.8569771421</v>
      </c>
      <c r="G91" s="119">
        <f t="shared" si="17"/>
        <v>380600.12280542497</v>
      </c>
      <c r="H91" s="119">
        <f t="shared" si="17"/>
        <v>360715.47862631455</v>
      </c>
      <c r="I91" s="119">
        <f t="shared" si="17"/>
        <v>15137.893141207356</v>
      </c>
      <c r="J91" s="119">
        <f t="shared" si="17"/>
        <v>16946.87874862332</v>
      </c>
      <c r="K91" s="119">
        <f t="shared" si="17"/>
        <v>16788.170468042339</v>
      </c>
      <c r="L91" s="119">
        <f t="shared" si="17"/>
        <v>17626.21397510152</v>
      </c>
      <c r="M91" s="119">
        <f t="shared" si="17"/>
        <v>16935.838907833302</v>
      </c>
      <c r="N91" s="119">
        <f t="shared" si="17"/>
        <v>16641.29368180774</v>
      </c>
      <c r="O91" s="119">
        <f t="shared" si="17"/>
        <v>16418.956660035208</v>
      </c>
      <c r="P91" s="119">
        <f t="shared" si="17"/>
        <v>16362.276423352285</v>
      </c>
      <c r="Q91" s="119">
        <f t="shared" si="17"/>
        <v>16268.66861581135</v>
      </c>
      <c r="R91" s="119">
        <f t="shared" si="17"/>
        <v>15578.303700262382</v>
      </c>
      <c r="S91" s="119">
        <f t="shared" si="17"/>
        <v>16122.6874330427</v>
      </c>
      <c r="T91" s="119">
        <f t="shared" si="17"/>
        <v>16781.685909142681</v>
      </c>
      <c r="U91" s="119">
        <f t="shared" si="17"/>
        <v>16878.258814136516</v>
      </c>
      <c r="V91" s="119">
        <f t="shared" si="17"/>
        <v>16496.00521963933</v>
      </c>
      <c r="W91" s="119">
        <f t="shared" si="17"/>
        <v>16680.508990562259</v>
      </c>
    </row>
    <row r="92" spans="1:23">
      <c r="A92" s="87" t="str">
        <f>A56</f>
        <v>d. Refrigerated Warehouses - Controls</v>
      </c>
      <c r="B92" s="235">
        <f>SUM(KeyAssumptions!Z14:AB14)</f>
        <v>7500</v>
      </c>
      <c r="C92" s="119">
        <f t="shared" ref="C92:W92" si="18">MAX(0,($B$91*C56))</f>
        <v>1883.2471946582764</v>
      </c>
      <c r="D92" s="119">
        <f t="shared" si="18"/>
        <v>45885.546513567358</v>
      </c>
      <c r="E92" s="119">
        <f t="shared" si="18"/>
        <v>109261.99026325376</v>
      </c>
      <c r="F92" s="119">
        <f t="shared" si="18"/>
        <v>175169.18846537106</v>
      </c>
      <c r="G92" s="119">
        <f t="shared" si="18"/>
        <v>243584.07859547186</v>
      </c>
      <c r="H92" s="119">
        <f t="shared" si="18"/>
        <v>230857.90632084134</v>
      </c>
      <c r="I92" s="119">
        <f t="shared" si="18"/>
        <v>9688.251610372803</v>
      </c>
      <c r="J92" s="119">
        <f t="shared" si="18"/>
        <v>10846.002399118895</v>
      </c>
      <c r="K92" s="119">
        <f t="shared" si="18"/>
        <v>10744.429099546976</v>
      </c>
      <c r="L92" s="119">
        <f t="shared" si="18"/>
        <v>11280.776944065281</v>
      </c>
      <c r="M92" s="119">
        <f t="shared" si="18"/>
        <v>10838.936901013056</v>
      </c>
      <c r="N92" s="119">
        <f t="shared" si="18"/>
        <v>10650.427956356978</v>
      </c>
      <c r="O92" s="119">
        <f t="shared" si="18"/>
        <v>10508.132262422549</v>
      </c>
      <c r="P92" s="119">
        <f t="shared" si="18"/>
        <v>10471.856910945547</v>
      </c>
      <c r="Q92" s="119">
        <f t="shared" si="18"/>
        <v>10411.947914119217</v>
      </c>
      <c r="R92" s="119">
        <f t="shared" si="18"/>
        <v>9970.1143681677713</v>
      </c>
      <c r="S92" s="119">
        <f t="shared" si="18"/>
        <v>10318.519957147388</v>
      </c>
      <c r="T92" s="119">
        <f t="shared" si="18"/>
        <v>10740.278981851397</v>
      </c>
      <c r="U92" s="119">
        <f t="shared" si="18"/>
        <v>10802.08564104737</v>
      </c>
      <c r="V92" s="119">
        <f t="shared" si="18"/>
        <v>10557.44334056918</v>
      </c>
      <c r="W92" s="119">
        <f t="shared" si="18"/>
        <v>10675.525753959932</v>
      </c>
    </row>
    <row r="93" spans="1:23">
      <c r="A93" s="87"/>
      <c r="B93" s="113"/>
      <c r="C93" s="120"/>
      <c r="D93" s="120"/>
      <c r="E93" s="120"/>
      <c r="F93" s="120"/>
      <c r="G93" s="120"/>
      <c r="H93" s="120"/>
      <c r="I93" s="120"/>
      <c r="J93" s="120"/>
      <c r="K93" s="120"/>
      <c r="L93" s="120"/>
      <c r="M93" s="120"/>
      <c r="N93" s="120"/>
      <c r="O93" s="120"/>
      <c r="P93" s="120"/>
      <c r="Q93" s="120"/>
      <c r="R93" s="120"/>
      <c r="S93" s="120"/>
      <c r="T93" s="120"/>
      <c r="U93" s="120"/>
      <c r="V93" s="120"/>
      <c r="W93" s="120"/>
    </row>
    <row r="94" spans="1:23">
      <c r="A94" s="129" t="s">
        <v>289</v>
      </c>
      <c r="B94" s="110"/>
      <c r="C94" s="122">
        <f>SUM(C89:C92)</f>
        <v>7699.4345968668731</v>
      </c>
      <c r="D94" s="122">
        <f t="shared" ref="D94:W94" si="19">SUM(D89:D92)</f>
        <v>187597.65862113031</v>
      </c>
      <c r="E94" s="122">
        <f t="shared" si="19"/>
        <v>446704.79283951729</v>
      </c>
      <c r="F94" s="122">
        <f t="shared" si="19"/>
        <v>716158.61890084983</v>
      </c>
      <c r="G94" s="122">
        <f t="shared" si="19"/>
        <v>995864.84838716383</v>
      </c>
      <c r="H94" s="122">
        <f t="shared" si="19"/>
        <v>943835.39023907483</v>
      </c>
      <c r="I94" s="122">
        <f t="shared" si="19"/>
        <v>39609.276914702037</v>
      </c>
      <c r="J94" s="122">
        <f t="shared" si="19"/>
        <v>44342.604808515418</v>
      </c>
      <c r="K94" s="122">
        <f t="shared" si="19"/>
        <v>43927.334323015886</v>
      </c>
      <c r="L94" s="122">
        <f t="shared" si="19"/>
        <v>46120.129385581429</v>
      </c>
      <c r="M94" s="122">
        <f t="shared" si="19"/>
        <v>44313.718350745345</v>
      </c>
      <c r="N94" s="122">
        <f t="shared" si="19"/>
        <v>43543.02170804116</v>
      </c>
      <c r="O94" s="122">
        <f t="shared" si="19"/>
        <v>42961.262504060054</v>
      </c>
      <c r="P94" s="122">
        <f t="shared" si="19"/>
        <v>42812.954997234832</v>
      </c>
      <c r="Q94" s="122">
        <f t="shared" si="19"/>
        <v>42568.024111827726</v>
      </c>
      <c r="R94" s="122">
        <f t="shared" si="19"/>
        <v>40761.639639622532</v>
      </c>
      <c r="S94" s="122">
        <f t="shared" si="19"/>
        <v>42186.05490127267</v>
      </c>
      <c r="T94" s="122">
        <f t="shared" si="19"/>
        <v>43910.367055066177</v>
      </c>
      <c r="U94" s="122">
        <f t="shared" si="19"/>
        <v>44163.056309817381</v>
      </c>
      <c r="V94" s="122">
        <f t="shared" si="19"/>
        <v>43162.865045759107</v>
      </c>
      <c r="W94" s="122">
        <f t="shared" si="19"/>
        <v>43645.631100858678</v>
      </c>
    </row>
    <row r="95" spans="1:23">
      <c r="A95" s="113"/>
      <c r="B95" s="113"/>
      <c r="C95" s="124"/>
      <c r="D95" s="124"/>
      <c r="E95" s="124"/>
      <c r="F95" s="124"/>
      <c r="G95" s="124"/>
      <c r="H95" s="124"/>
      <c r="I95" s="124"/>
      <c r="J95" s="124"/>
      <c r="K95" s="124"/>
      <c r="L95" s="124"/>
      <c r="M95" s="124"/>
      <c r="N95" s="124"/>
      <c r="O95" s="124"/>
      <c r="P95" s="124"/>
      <c r="Q95" s="124"/>
      <c r="R95" s="124"/>
      <c r="S95" s="124"/>
      <c r="T95" s="124"/>
      <c r="U95" s="124"/>
      <c r="V95" s="124"/>
      <c r="W95" s="124"/>
    </row>
    <row r="96" spans="1:23">
      <c r="A96" s="98" t="s">
        <v>278</v>
      </c>
      <c r="B96" s="98"/>
      <c r="C96" s="114"/>
      <c r="D96" s="130"/>
      <c r="E96" s="131"/>
      <c r="F96" s="132"/>
      <c r="G96" s="123"/>
      <c r="H96" s="133"/>
      <c r="I96" s="123"/>
      <c r="J96" s="78"/>
      <c r="L96" s="78"/>
    </row>
    <row r="97" spans="1:23">
      <c r="A97" s="113"/>
      <c r="B97" s="113"/>
      <c r="C97" s="114"/>
      <c r="D97" s="130"/>
      <c r="E97" s="131"/>
      <c r="F97" s="132"/>
      <c r="G97" s="123"/>
      <c r="H97" s="133"/>
      <c r="I97" s="123"/>
      <c r="J97" s="78"/>
      <c r="L97" s="78"/>
    </row>
    <row r="98" spans="1:23">
      <c r="A98" s="518" t="s">
        <v>214</v>
      </c>
      <c r="B98" s="497" t="s">
        <v>356</v>
      </c>
      <c r="C98" s="505" t="s">
        <v>223</v>
      </c>
      <c r="D98" s="505"/>
      <c r="E98" s="505"/>
      <c r="F98" s="505"/>
      <c r="G98" s="505"/>
      <c r="H98" s="505"/>
      <c r="I98" s="505"/>
      <c r="J98" s="505"/>
      <c r="K98" s="505"/>
      <c r="L98" s="505"/>
      <c r="M98" s="505"/>
      <c r="N98" s="505"/>
      <c r="O98" s="505"/>
      <c r="P98" s="505"/>
      <c r="Q98" s="505"/>
      <c r="R98" s="505"/>
      <c r="S98" s="505"/>
      <c r="T98" s="505"/>
      <c r="U98" s="505"/>
      <c r="V98" s="505"/>
      <c r="W98" s="505"/>
    </row>
    <row r="99" spans="1:23">
      <c r="A99" s="519"/>
      <c r="B99" s="497"/>
      <c r="C99" s="211">
        <v>2015</v>
      </c>
      <c r="D99" s="211">
        <v>2016</v>
      </c>
      <c r="E99" s="211">
        <v>2017</v>
      </c>
      <c r="F99" s="211">
        <v>2018</v>
      </c>
      <c r="G99" s="211">
        <v>2019</v>
      </c>
      <c r="H99" s="211">
        <v>2020</v>
      </c>
      <c r="I99" s="211">
        <v>2021</v>
      </c>
      <c r="J99" s="211">
        <v>2022</v>
      </c>
      <c r="K99" s="211">
        <v>2023</v>
      </c>
      <c r="L99" s="211">
        <v>2024</v>
      </c>
      <c r="M99" s="211">
        <v>2025</v>
      </c>
      <c r="N99" s="211">
        <v>2026</v>
      </c>
      <c r="O99" s="211">
        <v>2027</v>
      </c>
      <c r="P99" s="211">
        <v>2028</v>
      </c>
      <c r="Q99" s="211">
        <v>2029</v>
      </c>
      <c r="R99" s="211">
        <v>2030</v>
      </c>
      <c r="S99" s="211">
        <v>2031</v>
      </c>
      <c r="T99" s="211">
        <v>2032</v>
      </c>
      <c r="U99" s="211">
        <v>2033</v>
      </c>
      <c r="V99" s="211">
        <v>2034</v>
      </c>
      <c r="W99" s="211">
        <v>2035</v>
      </c>
    </row>
    <row r="100" spans="1:23">
      <c r="A100" s="134"/>
      <c r="B100" s="247"/>
      <c r="C100" s="135"/>
      <c r="D100" s="136"/>
      <c r="E100" s="136"/>
      <c r="F100" s="136"/>
      <c r="G100" s="136"/>
      <c r="H100" s="136"/>
      <c r="I100" s="136"/>
      <c r="J100" s="136"/>
      <c r="K100" s="136"/>
      <c r="L100" s="136"/>
      <c r="M100" s="136"/>
      <c r="N100" s="136"/>
      <c r="O100" s="136"/>
      <c r="P100" s="136"/>
      <c r="Q100" s="136"/>
      <c r="R100" s="136"/>
      <c r="S100" s="136"/>
      <c r="T100" s="136"/>
      <c r="U100" s="136"/>
      <c r="V100" s="136"/>
      <c r="W100" s="136"/>
    </row>
    <row r="101" spans="1:23">
      <c r="A101" s="253" t="str">
        <f>A53</f>
        <v>a. Irrigation Pumping - AutoDR</v>
      </c>
      <c r="B101" s="248">
        <f>KeyAssumptions!AC11</f>
        <v>30</v>
      </c>
      <c r="C101" s="140">
        <f>$B101*C77*1000</f>
        <v>63.144170644424584</v>
      </c>
      <c r="D101" s="140">
        <f t="shared" ref="D101:W104" si="20">$B101*D77*1000</f>
        <v>1601.6595537463884</v>
      </c>
      <c r="E101" s="140">
        <f t="shared" si="20"/>
        <v>5265.1498155143081</v>
      </c>
      <c r="F101" s="140">
        <f t="shared" si="20"/>
        <v>11138.469664059103</v>
      </c>
      <c r="G101" s="140">
        <f t="shared" si="20"/>
        <v>19305.700534613159</v>
      </c>
      <c r="H101" s="140">
        <f t="shared" si="20"/>
        <v>27046.230334782544</v>
      </c>
      <c r="I101" s="140">
        <f t="shared" si="20"/>
        <v>27371.071712306806</v>
      </c>
      <c r="J101" s="140">
        <f t="shared" si="20"/>
        <v>27734.731792747847</v>
      </c>
      <c r="K101" s="140">
        <f t="shared" si="20"/>
        <v>28094.986180203257</v>
      </c>
      <c r="L101" s="140">
        <f t="shared" si="20"/>
        <v>28473.223995386619</v>
      </c>
      <c r="M101" s="140">
        <f t="shared" si="20"/>
        <v>28836.64717383236</v>
      </c>
      <c r="N101" s="140">
        <f t="shared" si="20"/>
        <v>29193.749758251379</v>
      </c>
      <c r="O101" s="140">
        <f t="shared" si="20"/>
        <v>29546.081251756135</v>
      </c>
      <c r="P101" s="140">
        <f t="shared" si="20"/>
        <v>29897.196454064306</v>
      </c>
      <c r="Q101" s="140">
        <f t="shared" si="20"/>
        <v>30246.302942949482</v>
      </c>
      <c r="R101" s="140">
        <f t="shared" si="20"/>
        <v>30580.59501294099</v>
      </c>
      <c r="S101" s="140">
        <f t="shared" si="20"/>
        <v>30926.568917386518</v>
      </c>
      <c r="T101" s="140">
        <f t="shared" si="20"/>
        <v>31286.684153836828</v>
      </c>
      <c r="U101" s="140">
        <f t="shared" si="20"/>
        <v>31648.871731213134</v>
      </c>
      <c r="V101" s="140">
        <f t="shared" si="20"/>
        <v>32002.85659616163</v>
      </c>
      <c r="W101" s="140">
        <f t="shared" si="20"/>
        <v>32360.800694970854</v>
      </c>
    </row>
    <row r="102" spans="1:23">
      <c r="A102" s="138" t="str">
        <f>A54</f>
        <v>b. Curtailable/Interruptible - AutoDR</v>
      </c>
      <c r="B102" s="248">
        <f>KeyAssumptions!AC12</f>
        <v>30</v>
      </c>
      <c r="C102" s="140">
        <f t="shared" ref="C102:R104" si="21">$B102*C78*1000</f>
        <v>8945.4241746268126</v>
      </c>
      <c r="D102" s="140">
        <f t="shared" si="21"/>
        <v>226901.77011407175</v>
      </c>
      <c r="E102" s="140">
        <f t="shared" si="21"/>
        <v>745896.22386452707</v>
      </c>
      <c r="F102" s="140">
        <f t="shared" si="21"/>
        <v>1577949.8690750392</v>
      </c>
      <c r="G102" s="140">
        <f t="shared" si="21"/>
        <v>2734974.242403531</v>
      </c>
      <c r="H102" s="140">
        <f t="shared" si="21"/>
        <v>3831549.2974275267</v>
      </c>
      <c r="I102" s="140">
        <f t="shared" si="21"/>
        <v>3877568.492576798</v>
      </c>
      <c r="J102" s="140">
        <f t="shared" si="21"/>
        <v>3929087.0039726128</v>
      </c>
      <c r="K102" s="140">
        <f t="shared" si="21"/>
        <v>3980123.0421954617</v>
      </c>
      <c r="L102" s="140">
        <f t="shared" si="21"/>
        <v>4033706.7326797708</v>
      </c>
      <c r="M102" s="140">
        <f t="shared" si="21"/>
        <v>4085191.6829595836</v>
      </c>
      <c r="N102" s="140">
        <f t="shared" si="21"/>
        <v>4135781.2157522785</v>
      </c>
      <c r="O102" s="140">
        <f t="shared" si="21"/>
        <v>4185694.8439987856</v>
      </c>
      <c r="P102" s="140">
        <f t="shared" si="21"/>
        <v>4235436.1643257774</v>
      </c>
      <c r="Q102" s="140">
        <f t="shared" si="21"/>
        <v>4284892.9169178437</v>
      </c>
      <c r="R102" s="140">
        <f t="shared" si="21"/>
        <v>4332250.9601666396</v>
      </c>
      <c r="S102" s="140">
        <f t="shared" si="20"/>
        <v>4381263.9299630905</v>
      </c>
      <c r="T102" s="140">
        <f t="shared" si="20"/>
        <v>4432280.2551268842</v>
      </c>
      <c r="U102" s="140">
        <f t="shared" si="20"/>
        <v>4483590.1619218597</v>
      </c>
      <c r="V102" s="140">
        <f t="shared" si="20"/>
        <v>4533738.0177895632</v>
      </c>
      <c r="W102" s="140">
        <f t="shared" si="20"/>
        <v>4584446.7651208723</v>
      </c>
    </row>
    <row r="103" spans="1:23">
      <c r="A103" s="138" t="str">
        <f>A55</f>
        <v>c. Load Aggregator - AutoDR</v>
      </c>
      <c r="B103" s="248">
        <f>KeyAssumptions!AC13</f>
        <v>75</v>
      </c>
      <c r="C103" s="140">
        <f t="shared" si="21"/>
        <v>5590.8901091417574</v>
      </c>
      <c r="D103" s="140">
        <f t="shared" si="20"/>
        <v>141813.60632129482</v>
      </c>
      <c r="E103" s="140">
        <f t="shared" si="20"/>
        <v>466185.13991532946</v>
      </c>
      <c r="F103" s="140">
        <f t="shared" si="20"/>
        <v>986218.66817189951</v>
      </c>
      <c r="G103" s="140">
        <f t="shared" si="20"/>
        <v>1709358.9015022069</v>
      </c>
      <c r="H103" s="140">
        <f t="shared" si="20"/>
        <v>2394718.3108922043</v>
      </c>
      <c r="I103" s="140">
        <f t="shared" si="20"/>
        <v>2423480.3078604988</v>
      </c>
      <c r="J103" s="140">
        <f t="shared" si="20"/>
        <v>2455679.3774828832</v>
      </c>
      <c r="K103" s="140">
        <f t="shared" si="20"/>
        <v>2487576.9013721631</v>
      </c>
      <c r="L103" s="140">
        <f t="shared" si="20"/>
        <v>2521066.7079248559</v>
      </c>
      <c r="M103" s="140">
        <f t="shared" si="20"/>
        <v>2553244.8018497396</v>
      </c>
      <c r="N103" s="140">
        <f t="shared" si="20"/>
        <v>2584863.2598451744</v>
      </c>
      <c r="O103" s="140">
        <f t="shared" si="20"/>
        <v>2616059.2774992408</v>
      </c>
      <c r="P103" s="140">
        <f t="shared" si="20"/>
        <v>2647147.60270361</v>
      </c>
      <c r="Q103" s="140">
        <f t="shared" si="20"/>
        <v>2678058.0730736516</v>
      </c>
      <c r="R103" s="140">
        <f t="shared" si="20"/>
        <v>2707656.8501041504</v>
      </c>
      <c r="S103" s="140">
        <f t="shared" si="20"/>
        <v>2738289.9562269314</v>
      </c>
      <c r="T103" s="140">
        <f t="shared" si="20"/>
        <v>2770175.1594543029</v>
      </c>
      <c r="U103" s="140">
        <f t="shared" si="20"/>
        <v>2802243.8512011622</v>
      </c>
      <c r="V103" s="140">
        <f t="shared" si="20"/>
        <v>2833586.2611184767</v>
      </c>
      <c r="W103" s="140">
        <f t="shared" si="20"/>
        <v>2865279.2282005451</v>
      </c>
    </row>
    <row r="104" spans="1:23">
      <c r="A104" s="138" t="str">
        <f>A56</f>
        <v>d. Refrigerated Warehouses - Controls</v>
      </c>
      <c r="B104" s="248">
        <f>KeyAssumptions!AC14</f>
        <v>30</v>
      </c>
      <c r="C104" s="140">
        <f t="shared" si="21"/>
        <v>3578.1696698507249</v>
      </c>
      <c r="D104" s="140">
        <f t="shared" si="20"/>
        <v>90760.708045628708</v>
      </c>
      <c r="E104" s="140">
        <f t="shared" si="20"/>
        <v>298358.48954581079</v>
      </c>
      <c r="F104" s="140">
        <f t="shared" si="20"/>
        <v>631179.94763001578</v>
      </c>
      <c r="G104" s="140">
        <f t="shared" si="20"/>
        <v>1093989.6969614124</v>
      </c>
      <c r="H104" s="140">
        <f t="shared" si="20"/>
        <v>1532619.718971011</v>
      </c>
      <c r="I104" s="140">
        <f t="shared" si="20"/>
        <v>1551027.3970307191</v>
      </c>
      <c r="J104" s="140">
        <f t="shared" si="20"/>
        <v>1571634.801589045</v>
      </c>
      <c r="K104" s="140">
        <f t="shared" si="20"/>
        <v>1592049.2168781844</v>
      </c>
      <c r="L104" s="140">
        <f t="shared" si="20"/>
        <v>1613482.6930719083</v>
      </c>
      <c r="M104" s="140">
        <f t="shared" si="20"/>
        <v>1634076.6731838332</v>
      </c>
      <c r="N104" s="140">
        <f t="shared" si="20"/>
        <v>1654312.4863009115</v>
      </c>
      <c r="O104" s="140">
        <f t="shared" si="20"/>
        <v>1674277.9375995144</v>
      </c>
      <c r="P104" s="140">
        <f t="shared" si="20"/>
        <v>1694174.4657303109</v>
      </c>
      <c r="Q104" s="140">
        <f t="shared" si="20"/>
        <v>1713957.1667671374</v>
      </c>
      <c r="R104" s="140">
        <f t="shared" si="20"/>
        <v>1732900.384066656</v>
      </c>
      <c r="S104" s="140">
        <f t="shared" si="20"/>
        <v>1752505.5719852361</v>
      </c>
      <c r="T104" s="140">
        <f t="shared" si="20"/>
        <v>1772912.102050754</v>
      </c>
      <c r="U104" s="140">
        <f t="shared" si="20"/>
        <v>1793436.0647687437</v>
      </c>
      <c r="V104" s="140">
        <f t="shared" si="20"/>
        <v>1813495.2071158253</v>
      </c>
      <c r="W104" s="140">
        <f t="shared" si="20"/>
        <v>1833778.7060483489</v>
      </c>
    </row>
    <row r="105" spans="1:23">
      <c r="A105" s="144"/>
      <c r="B105" s="250"/>
      <c r="C105" s="137"/>
      <c r="D105" s="137"/>
      <c r="E105" s="137"/>
      <c r="F105" s="137"/>
      <c r="G105" s="137"/>
      <c r="H105" s="137"/>
      <c r="I105" s="137"/>
      <c r="J105" s="137"/>
      <c r="K105" s="137"/>
      <c r="L105" s="137"/>
      <c r="M105" s="137"/>
      <c r="N105" s="137"/>
      <c r="O105" s="137"/>
      <c r="P105" s="137"/>
      <c r="Q105" s="137"/>
      <c r="R105" s="137"/>
      <c r="S105" s="137"/>
      <c r="T105" s="137"/>
      <c r="U105" s="137"/>
      <c r="V105" s="137"/>
      <c r="W105" s="137"/>
    </row>
    <row r="106" spans="1:23">
      <c r="A106" s="146" t="s">
        <v>224</v>
      </c>
      <c r="B106" s="147"/>
      <c r="C106" s="148">
        <f>SUM(C101:C104)</f>
        <v>18177.62812426372</v>
      </c>
      <c r="D106" s="148">
        <f t="shared" ref="D106:W106" si="22">SUM(D101:D104)</f>
        <v>461077.74403474166</v>
      </c>
      <c r="E106" s="148">
        <f t="shared" si="22"/>
        <v>1515705.0031411815</v>
      </c>
      <c r="F106" s="148">
        <f t="shared" si="22"/>
        <v>3206486.9545410136</v>
      </c>
      <c r="G106" s="148">
        <f t="shared" si="22"/>
        <v>5557628.5414017634</v>
      </c>
      <c r="H106" s="148">
        <f t="shared" si="22"/>
        <v>7785933.5576255247</v>
      </c>
      <c r="I106" s="148">
        <f t="shared" si="22"/>
        <v>7879447.2691803221</v>
      </c>
      <c r="J106" s="148">
        <f t="shared" si="22"/>
        <v>7984135.9148372887</v>
      </c>
      <c r="K106" s="148">
        <f t="shared" si="22"/>
        <v>8087844.1466260115</v>
      </c>
      <c r="L106" s="148">
        <f t="shared" si="22"/>
        <v>8196729.3576719211</v>
      </c>
      <c r="M106" s="148">
        <f t="shared" si="22"/>
        <v>8301349.8051669886</v>
      </c>
      <c r="N106" s="148">
        <f t="shared" si="22"/>
        <v>8404150.7116566151</v>
      </c>
      <c r="O106" s="148">
        <f t="shared" si="22"/>
        <v>8505578.1403492969</v>
      </c>
      <c r="P106" s="148">
        <f t="shared" si="22"/>
        <v>8606655.4292137623</v>
      </c>
      <c r="Q106" s="148">
        <f t="shared" si="22"/>
        <v>8707154.4597015828</v>
      </c>
      <c r="R106" s="148">
        <f t="shared" si="22"/>
        <v>8803388.7893503867</v>
      </c>
      <c r="S106" s="148">
        <f t="shared" si="22"/>
        <v>8902986.0270926431</v>
      </c>
      <c r="T106" s="148">
        <f t="shared" si="22"/>
        <v>9006654.2007857785</v>
      </c>
      <c r="U106" s="148">
        <f t="shared" si="22"/>
        <v>9110918.9496229775</v>
      </c>
      <c r="V106" s="148">
        <f t="shared" si="22"/>
        <v>9212822.3426200263</v>
      </c>
      <c r="W106" s="148">
        <f t="shared" si="22"/>
        <v>9315865.5000647362</v>
      </c>
    </row>
    <row r="107" spans="1:23">
      <c r="A107" s="123"/>
      <c r="B107" s="123"/>
      <c r="C107" s="149"/>
      <c r="D107" s="149"/>
      <c r="E107" s="149"/>
      <c r="F107" s="149"/>
      <c r="G107" s="149"/>
      <c r="H107" s="149"/>
      <c r="I107" s="149"/>
      <c r="J107" s="149"/>
      <c r="K107" s="149"/>
      <c r="L107" s="149"/>
      <c r="M107" s="149"/>
      <c r="N107" s="149"/>
      <c r="O107" s="149"/>
      <c r="P107" s="149"/>
      <c r="Q107" s="149"/>
      <c r="R107" s="149"/>
      <c r="S107" s="149"/>
      <c r="T107" s="149"/>
      <c r="U107" s="149"/>
      <c r="V107" s="149"/>
      <c r="W107" s="149"/>
    </row>
    <row r="108" spans="1:23">
      <c r="A108" s="98" t="s">
        <v>312</v>
      </c>
      <c r="B108" s="98"/>
      <c r="C108" s="114"/>
      <c r="D108" s="130"/>
      <c r="E108" s="131"/>
      <c r="F108" s="193"/>
      <c r="G108" s="123"/>
      <c r="H108" s="133"/>
      <c r="I108" s="123"/>
      <c r="J108" s="78"/>
      <c r="L108" s="78"/>
    </row>
    <row r="109" spans="1:23">
      <c r="A109" s="113"/>
      <c r="B109" s="113"/>
      <c r="C109" s="114"/>
      <c r="D109" s="130"/>
      <c r="E109" s="131"/>
      <c r="F109" s="132"/>
      <c r="G109" s="123"/>
      <c r="H109" s="133"/>
      <c r="I109" s="123"/>
      <c r="J109" s="78"/>
      <c r="L109" s="78"/>
    </row>
    <row r="110" spans="1:23">
      <c r="A110" s="513" t="s">
        <v>214</v>
      </c>
      <c r="B110" s="514"/>
      <c r="C110" s="209">
        <v>2015</v>
      </c>
      <c r="D110" s="209">
        <v>2016</v>
      </c>
      <c r="E110" s="209">
        <v>2017</v>
      </c>
      <c r="F110" s="209">
        <v>2018</v>
      </c>
      <c r="G110" s="209">
        <v>2019</v>
      </c>
      <c r="H110" s="209">
        <v>2020</v>
      </c>
      <c r="I110" s="209">
        <v>2021</v>
      </c>
      <c r="J110" s="209">
        <v>2022</v>
      </c>
      <c r="K110" s="209">
        <v>2023</v>
      </c>
      <c r="L110" s="209">
        <v>2024</v>
      </c>
      <c r="M110" s="209">
        <v>2025</v>
      </c>
      <c r="N110" s="209">
        <v>2026</v>
      </c>
      <c r="O110" s="209">
        <v>2027</v>
      </c>
      <c r="P110" s="209">
        <v>2028</v>
      </c>
      <c r="Q110" s="209">
        <v>2029</v>
      </c>
      <c r="R110" s="209">
        <v>2030</v>
      </c>
      <c r="S110" s="209">
        <v>2031</v>
      </c>
      <c r="T110" s="209">
        <v>2032</v>
      </c>
      <c r="U110" s="209">
        <v>2033</v>
      </c>
      <c r="V110" s="209">
        <v>2034</v>
      </c>
      <c r="W110" s="209">
        <v>2035</v>
      </c>
    </row>
    <row r="111" spans="1:23">
      <c r="A111" s="146" t="str">
        <f>A94</f>
        <v xml:space="preserve">TOTAL ENABLEMENT COST </v>
      </c>
      <c r="B111" s="150"/>
      <c r="C111" s="151">
        <f>C94</f>
        <v>7699.4345968668731</v>
      </c>
      <c r="D111" s="151">
        <f t="shared" ref="D111:W111" si="23">D94</f>
        <v>187597.65862113031</v>
      </c>
      <c r="E111" s="151">
        <f t="shared" si="23"/>
        <v>446704.79283951729</v>
      </c>
      <c r="F111" s="151">
        <f t="shared" si="23"/>
        <v>716158.61890084983</v>
      </c>
      <c r="G111" s="151">
        <f t="shared" si="23"/>
        <v>995864.84838716383</v>
      </c>
      <c r="H111" s="151">
        <f t="shared" si="23"/>
        <v>943835.39023907483</v>
      </c>
      <c r="I111" s="151">
        <f t="shared" si="23"/>
        <v>39609.276914702037</v>
      </c>
      <c r="J111" s="151">
        <f t="shared" si="23"/>
        <v>44342.604808515418</v>
      </c>
      <c r="K111" s="151">
        <f t="shared" si="23"/>
        <v>43927.334323015886</v>
      </c>
      <c r="L111" s="151">
        <f t="shared" si="23"/>
        <v>46120.129385581429</v>
      </c>
      <c r="M111" s="151">
        <f t="shared" si="23"/>
        <v>44313.718350745345</v>
      </c>
      <c r="N111" s="151">
        <f t="shared" si="23"/>
        <v>43543.02170804116</v>
      </c>
      <c r="O111" s="151">
        <f t="shared" si="23"/>
        <v>42961.262504060054</v>
      </c>
      <c r="P111" s="151">
        <f t="shared" si="23"/>
        <v>42812.954997234832</v>
      </c>
      <c r="Q111" s="151">
        <f t="shared" si="23"/>
        <v>42568.024111827726</v>
      </c>
      <c r="R111" s="151">
        <f t="shared" si="23"/>
        <v>40761.639639622532</v>
      </c>
      <c r="S111" s="151">
        <f t="shared" si="23"/>
        <v>42186.05490127267</v>
      </c>
      <c r="T111" s="151">
        <f t="shared" si="23"/>
        <v>43910.367055066177</v>
      </c>
      <c r="U111" s="151">
        <f t="shared" si="23"/>
        <v>44163.056309817381</v>
      </c>
      <c r="V111" s="151">
        <f t="shared" si="23"/>
        <v>43162.865045759107</v>
      </c>
      <c r="W111" s="151">
        <f t="shared" si="23"/>
        <v>43645.631100858678</v>
      </c>
    </row>
    <row r="112" spans="1:23">
      <c r="A112" s="146" t="str">
        <f>A106</f>
        <v>TOTAL IMPLEMENTATION COST</v>
      </c>
      <c r="B112" s="150"/>
      <c r="C112" s="151">
        <f>C106</f>
        <v>18177.62812426372</v>
      </c>
      <c r="D112" s="151">
        <f t="shared" ref="D112:W112" si="24">D106</f>
        <v>461077.74403474166</v>
      </c>
      <c r="E112" s="151">
        <f t="shared" si="24"/>
        <v>1515705.0031411815</v>
      </c>
      <c r="F112" s="151">
        <f t="shared" si="24"/>
        <v>3206486.9545410136</v>
      </c>
      <c r="G112" s="151">
        <f t="shared" si="24"/>
        <v>5557628.5414017634</v>
      </c>
      <c r="H112" s="151">
        <f t="shared" si="24"/>
        <v>7785933.5576255247</v>
      </c>
      <c r="I112" s="151">
        <f t="shared" si="24"/>
        <v>7879447.2691803221</v>
      </c>
      <c r="J112" s="151">
        <f t="shared" si="24"/>
        <v>7984135.9148372887</v>
      </c>
      <c r="K112" s="151">
        <f t="shared" si="24"/>
        <v>8087844.1466260115</v>
      </c>
      <c r="L112" s="151">
        <f t="shared" si="24"/>
        <v>8196729.3576719211</v>
      </c>
      <c r="M112" s="151">
        <f t="shared" si="24"/>
        <v>8301349.8051669886</v>
      </c>
      <c r="N112" s="151">
        <f t="shared" si="24"/>
        <v>8404150.7116566151</v>
      </c>
      <c r="O112" s="151">
        <f t="shared" si="24"/>
        <v>8505578.1403492969</v>
      </c>
      <c r="P112" s="151">
        <f t="shared" si="24"/>
        <v>8606655.4292137623</v>
      </c>
      <c r="Q112" s="151">
        <f t="shared" si="24"/>
        <v>8707154.4597015828</v>
      </c>
      <c r="R112" s="151">
        <f t="shared" si="24"/>
        <v>8803388.7893503867</v>
      </c>
      <c r="S112" s="151">
        <f t="shared" si="24"/>
        <v>8902986.0270926431</v>
      </c>
      <c r="T112" s="151">
        <f t="shared" si="24"/>
        <v>9006654.2007857785</v>
      </c>
      <c r="U112" s="151">
        <f t="shared" si="24"/>
        <v>9110918.9496229775</v>
      </c>
      <c r="V112" s="151">
        <f t="shared" si="24"/>
        <v>9212822.3426200263</v>
      </c>
      <c r="W112" s="151">
        <f t="shared" si="24"/>
        <v>9315865.5000647362</v>
      </c>
    </row>
    <row r="113" spans="1:23">
      <c r="A113" s="152" t="s">
        <v>226</v>
      </c>
      <c r="B113" s="150"/>
      <c r="C113" s="153">
        <f>SUM(C111:C112)</f>
        <v>25877.062721130591</v>
      </c>
      <c r="D113" s="153">
        <f t="shared" ref="D113:W113" si="25">SUM(D111:D112)</f>
        <v>648675.40265587193</v>
      </c>
      <c r="E113" s="153">
        <f t="shared" si="25"/>
        <v>1962409.7959806989</v>
      </c>
      <c r="F113" s="153">
        <f t="shared" si="25"/>
        <v>3922645.5734418635</v>
      </c>
      <c r="G113" s="153">
        <f t="shared" si="25"/>
        <v>6553493.3897889275</v>
      </c>
      <c r="H113" s="153">
        <f t="shared" si="25"/>
        <v>8729768.9478645995</v>
      </c>
      <c r="I113" s="153">
        <f t="shared" si="25"/>
        <v>7919056.5460950239</v>
      </c>
      <c r="J113" s="153">
        <f t="shared" si="25"/>
        <v>8028478.5196458045</v>
      </c>
      <c r="K113" s="153">
        <f t="shared" si="25"/>
        <v>8131771.4809490275</v>
      </c>
      <c r="L113" s="153">
        <f t="shared" si="25"/>
        <v>8242849.4870575024</v>
      </c>
      <c r="M113" s="153">
        <f t="shared" si="25"/>
        <v>8345663.5235177344</v>
      </c>
      <c r="N113" s="153">
        <f t="shared" si="25"/>
        <v>8447693.7333646566</v>
      </c>
      <c r="O113" s="153">
        <f t="shared" si="25"/>
        <v>8548539.4028533567</v>
      </c>
      <c r="P113" s="153">
        <f t="shared" si="25"/>
        <v>8649468.3842109963</v>
      </c>
      <c r="Q113" s="153">
        <f t="shared" si="25"/>
        <v>8749722.4838134106</v>
      </c>
      <c r="R113" s="153">
        <f t="shared" si="25"/>
        <v>8844150.4289900102</v>
      </c>
      <c r="S113" s="153">
        <f t="shared" si="25"/>
        <v>8945172.0819939151</v>
      </c>
      <c r="T113" s="153">
        <f t="shared" si="25"/>
        <v>9050564.5678408444</v>
      </c>
      <c r="U113" s="153">
        <f t="shared" si="25"/>
        <v>9155082.0059327949</v>
      </c>
      <c r="V113" s="153">
        <f t="shared" si="25"/>
        <v>9255985.2076657861</v>
      </c>
      <c r="W113" s="153">
        <f t="shared" si="25"/>
        <v>9359511.1311655957</v>
      </c>
    </row>
  </sheetData>
  <mergeCells count="14">
    <mergeCell ref="A1:W1"/>
    <mergeCell ref="C50:W50"/>
    <mergeCell ref="A62:A63"/>
    <mergeCell ref="B62:B63"/>
    <mergeCell ref="C62:W62"/>
    <mergeCell ref="A110:B110"/>
    <mergeCell ref="B74:B75"/>
    <mergeCell ref="C74:W74"/>
    <mergeCell ref="A86:A87"/>
    <mergeCell ref="B86:B87"/>
    <mergeCell ref="C86:W86"/>
    <mergeCell ref="A98:A99"/>
    <mergeCell ref="B98:B99"/>
    <mergeCell ref="C98:W98"/>
  </mergeCell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sqref="A1:A4"/>
    </sheetView>
  </sheetViews>
  <sheetFormatPr defaultRowHeight="14.4"/>
  <cols>
    <col min="1" max="1" width="21.6640625" bestFit="1" customWidth="1"/>
  </cols>
  <sheetData>
    <row r="1" spans="1:1">
      <c r="A1" t="s">
        <v>5</v>
      </c>
    </row>
    <row r="2" spans="1:1">
      <c r="A2" t="s">
        <v>6</v>
      </c>
    </row>
    <row r="3" spans="1:1">
      <c r="A3" t="s">
        <v>7</v>
      </c>
    </row>
    <row r="4" spans="1:1">
      <c r="A4" t="s">
        <v>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AO23"/>
  <sheetViews>
    <sheetView workbookViewId="0">
      <selection activeCell="D19" sqref="D19"/>
    </sheetView>
  </sheetViews>
  <sheetFormatPr defaultRowHeight="14.4"/>
  <cols>
    <col min="1" max="1" width="52.6640625" bestFit="1" customWidth="1"/>
  </cols>
  <sheetData>
    <row r="1" spans="1:41" s="70" customFormat="1" ht="15" thickBot="1">
      <c r="A1" s="282" t="s">
        <v>369</v>
      </c>
    </row>
    <row r="2" spans="1:41">
      <c r="A2" s="71" t="s">
        <v>211</v>
      </c>
      <c r="B2" s="54">
        <v>2011</v>
      </c>
      <c r="C2" s="54">
        <f>B2+1</f>
        <v>2012</v>
      </c>
      <c r="D2" s="54">
        <f t="shared" ref="D2:X2" si="0">C2+1</f>
        <v>2013</v>
      </c>
      <c r="E2" s="54">
        <f t="shared" si="0"/>
        <v>2014</v>
      </c>
      <c r="F2" s="54">
        <f t="shared" si="0"/>
        <v>2015</v>
      </c>
      <c r="G2" s="54">
        <f t="shared" si="0"/>
        <v>2016</v>
      </c>
      <c r="H2" s="54">
        <f t="shared" si="0"/>
        <v>2017</v>
      </c>
      <c r="I2" s="54">
        <f t="shared" si="0"/>
        <v>2018</v>
      </c>
      <c r="J2" s="54">
        <f t="shared" si="0"/>
        <v>2019</v>
      </c>
      <c r="K2" s="54">
        <f t="shared" si="0"/>
        <v>2020</v>
      </c>
      <c r="L2" s="54">
        <f t="shared" si="0"/>
        <v>2021</v>
      </c>
      <c r="M2" s="54">
        <f t="shared" si="0"/>
        <v>2022</v>
      </c>
      <c r="N2" s="54">
        <f t="shared" si="0"/>
        <v>2023</v>
      </c>
      <c r="O2" s="54">
        <f t="shared" si="0"/>
        <v>2024</v>
      </c>
      <c r="P2" s="54">
        <f t="shared" si="0"/>
        <v>2025</v>
      </c>
      <c r="Q2" s="54">
        <f t="shared" si="0"/>
        <v>2026</v>
      </c>
      <c r="R2" s="54">
        <f t="shared" si="0"/>
        <v>2027</v>
      </c>
      <c r="S2" s="54">
        <f t="shared" si="0"/>
        <v>2028</v>
      </c>
      <c r="T2" s="54">
        <f t="shared" si="0"/>
        <v>2029</v>
      </c>
      <c r="U2" s="54">
        <f>T2+1</f>
        <v>2030</v>
      </c>
      <c r="V2" s="54">
        <f t="shared" si="0"/>
        <v>2031</v>
      </c>
      <c r="W2" s="54">
        <f t="shared" si="0"/>
        <v>2032</v>
      </c>
      <c r="X2" s="54">
        <f t="shared" si="0"/>
        <v>2033</v>
      </c>
      <c r="Y2" s="54">
        <f>X2+1</f>
        <v>2034</v>
      </c>
      <c r="Z2" s="54">
        <f t="shared" ref="Z2:AO2" si="1">Y2+1</f>
        <v>2035</v>
      </c>
      <c r="AA2" s="54">
        <f t="shared" si="1"/>
        <v>2036</v>
      </c>
      <c r="AB2" s="54">
        <f t="shared" si="1"/>
        <v>2037</v>
      </c>
      <c r="AC2" s="54">
        <f t="shared" si="1"/>
        <v>2038</v>
      </c>
      <c r="AD2" s="54">
        <f t="shared" si="1"/>
        <v>2039</v>
      </c>
      <c r="AE2" s="54">
        <f t="shared" si="1"/>
        <v>2040</v>
      </c>
      <c r="AF2" s="54">
        <f t="shared" si="1"/>
        <v>2041</v>
      </c>
      <c r="AG2" s="54">
        <f t="shared" si="1"/>
        <v>2042</v>
      </c>
      <c r="AH2" s="54">
        <f t="shared" si="1"/>
        <v>2043</v>
      </c>
      <c r="AI2" s="54">
        <f t="shared" si="1"/>
        <v>2044</v>
      </c>
      <c r="AJ2" s="54">
        <f t="shared" si="1"/>
        <v>2045</v>
      </c>
      <c r="AK2" s="54">
        <f t="shared" si="1"/>
        <v>2046</v>
      </c>
      <c r="AL2" s="54">
        <f t="shared" si="1"/>
        <v>2047</v>
      </c>
      <c r="AM2" s="54">
        <f t="shared" si="1"/>
        <v>2048</v>
      </c>
      <c r="AN2" s="54">
        <f t="shared" si="1"/>
        <v>2049</v>
      </c>
      <c r="AO2" s="54">
        <f t="shared" si="1"/>
        <v>2050</v>
      </c>
    </row>
    <row r="3" spans="1:41">
      <c r="A3" t="s">
        <v>186</v>
      </c>
      <c r="B3">
        <v>1.4132860000000001E-2</v>
      </c>
      <c r="C3">
        <v>1.4254139000000001E-2</v>
      </c>
      <c r="D3">
        <v>1.4375417999999999E-2</v>
      </c>
      <c r="E3">
        <v>1.4496696999999999E-2</v>
      </c>
      <c r="F3">
        <v>1.4617976E-2</v>
      </c>
      <c r="G3">
        <v>1.4739255E-2</v>
      </c>
      <c r="H3">
        <v>1.4860534E-2</v>
      </c>
      <c r="I3">
        <v>1.4981813E-2</v>
      </c>
      <c r="J3">
        <v>1.5103092E-2</v>
      </c>
      <c r="K3">
        <v>1.5224371E-2</v>
      </c>
      <c r="L3">
        <v>1.5345648999999999E-2</v>
      </c>
      <c r="M3">
        <v>1.5466928E-2</v>
      </c>
      <c r="N3">
        <v>1.5588207E-2</v>
      </c>
      <c r="O3">
        <v>1.5709486000000002E-2</v>
      </c>
      <c r="P3">
        <v>1.5830765E-2</v>
      </c>
      <c r="Q3">
        <v>1.5952043999999999E-2</v>
      </c>
      <c r="R3">
        <v>1.6073323E-2</v>
      </c>
      <c r="S3">
        <v>1.6194601999999999E-2</v>
      </c>
      <c r="T3">
        <v>1.6315881000000001E-2</v>
      </c>
      <c r="U3">
        <v>1.6437159999999999E-2</v>
      </c>
      <c r="V3">
        <v>1.6558439000000001E-2</v>
      </c>
      <c r="W3">
        <v>1.6679718E-2</v>
      </c>
      <c r="X3">
        <v>1.6800997000000002E-2</v>
      </c>
      <c r="Y3">
        <v>1.6922275000000001E-2</v>
      </c>
      <c r="Z3">
        <v>1.7043553999999999E-2</v>
      </c>
      <c r="AA3">
        <v>1.7164833000000001E-2</v>
      </c>
      <c r="AB3">
        <v>1.7286111999999999E-2</v>
      </c>
      <c r="AC3">
        <v>1.7407391000000001E-2</v>
      </c>
      <c r="AD3">
        <v>1.752867E-2</v>
      </c>
      <c r="AE3">
        <v>1.7649949000000002E-2</v>
      </c>
      <c r="AF3">
        <v>1.7771228E-2</v>
      </c>
      <c r="AG3">
        <v>1.7892506999999998E-2</v>
      </c>
      <c r="AH3">
        <v>1.8013786E-2</v>
      </c>
      <c r="AI3">
        <v>1.8135064999999999E-2</v>
      </c>
      <c r="AJ3">
        <v>1.8256344000000001E-2</v>
      </c>
      <c r="AK3">
        <v>1.8377622999999999E-2</v>
      </c>
      <c r="AL3">
        <v>1.8498902000000001E-2</v>
      </c>
      <c r="AM3">
        <v>1.862018E-2</v>
      </c>
      <c r="AN3">
        <v>1.8741458999999999E-2</v>
      </c>
      <c r="AO3">
        <v>1.8862738E-2</v>
      </c>
    </row>
    <row r="4" spans="1:41">
      <c r="A4" t="s">
        <v>187</v>
      </c>
      <c r="B4">
        <v>0.29833430500000002</v>
      </c>
      <c r="C4">
        <v>0.297697832</v>
      </c>
      <c r="D4">
        <v>0.29706136</v>
      </c>
      <c r="E4">
        <v>0.29642488700000003</v>
      </c>
      <c r="F4">
        <v>0.29578841500000003</v>
      </c>
      <c r="G4">
        <v>0.295151942</v>
      </c>
      <c r="H4">
        <v>0.29451547</v>
      </c>
      <c r="I4">
        <v>0.29387899699999998</v>
      </c>
      <c r="J4">
        <v>0.29324252499999998</v>
      </c>
      <c r="K4">
        <v>0.29260605200000001</v>
      </c>
      <c r="L4">
        <v>0.292735309</v>
      </c>
      <c r="M4">
        <v>0.29286456599999999</v>
      </c>
      <c r="N4">
        <v>0.29299382299999999</v>
      </c>
      <c r="O4">
        <v>0.29312307999999998</v>
      </c>
      <c r="P4">
        <v>0.29325233699999997</v>
      </c>
      <c r="Q4">
        <v>0.29338159400000002</v>
      </c>
      <c r="R4">
        <v>0.29351085100000002</v>
      </c>
      <c r="S4">
        <v>0.29364010800000001</v>
      </c>
      <c r="T4">
        <v>0.293769365</v>
      </c>
      <c r="U4">
        <v>0.293898622</v>
      </c>
      <c r="V4">
        <v>0.29182184900000002</v>
      </c>
      <c r="W4">
        <v>0.29176792099999999</v>
      </c>
      <c r="X4">
        <v>0.29173613999999998</v>
      </c>
      <c r="Y4">
        <v>0.29172240199999999</v>
      </c>
      <c r="Z4">
        <v>0.29172150600000002</v>
      </c>
      <c r="AA4">
        <v>0.29172700000000001</v>
      </c>
      <c r="AB4">
        <v>0.29173102299999998</v>
      </c>
      <c r="AC4">
        <v>0.291724125</v>
      </c>
      <c r="AD4">
        <v>0.29169507300000003</v>
      </c>
      <c r="AE4">
        <v>0.29163065500000002</v>
      </c>
      <c r="AF4">
        <v>0.29046062299999997</v>
      </c>
      <c r="AG4">
        <v>0.29025933199999998</v>
      </c>
      <c r="AH4">
        <v>0.29005804000000002</v>
      </c>
      <c r="AI4">
        <v>0.289856748</v>
      </c>
      <c r="AJ4">
        <v>0.28965545700000001</v>
      </c>
      <c r="AK4">
        <v>0.28945416499999999</v>
      </c>
      <c r="AL4">
        <v>0.28925287399999999</v>
      </c>
      <c r="AM4">
        <v>0.28905158199999997</v>
      </c>
      <c r="AN4">
        <v>0.28885029099999998</v>
      </c>
      <c r="AO4">
        <v>0.28864899900000002</v>
      </c>
    </row>
    <row r="5" spans="1:41">
      <c r="A5" t="s">
        <v>188</v>
      </c>
      <c r="B5">
        <v>4.0637231000000003E-2</v>
      </c>
      <c r="C5">
        <v>4.0637231000000003E-2</v>
      </c>
      <c r="D5">
        <v>4.0637231000000003E-2</v>
      </c>
      <c r="E5">
        <v>4.0637231000000003E-2</v>
      </c>
      <c r="F5">
        <v>4.0637231000000003E-2</v>
      </c>
      <c r="G5">
        <v>4.0637231000000003E-2</v>
      </c>
      <c r="H5">
        <v>4.0637231000000003E-2</v>
      </c>
      <c r="I5">
        <v>4.0637231000000003E-2</v>
      </c>
      <c r="J5">
        <v>4.0637231000000003E-2</v>
      </c>
      <c r="K5">
        <v>4.0637231000000003E-2</v>
      </c>
      <c r="L5">
        <v>4.0637231000000003E-2</v>
      </c>
      <c r="M5">
        <v>4.0637231000000003E-2</v>
      </c>
      <c r="N5">
        <v>4.0637231000000003E-2</v>
      </c>
      <c r="O5">
        <v>4.0637231000000003E-2</v>
      </c>
      <c r="P5">
        <v>4.0637231000000003E-2</v>
      </c>
      <c r="Q5">
        <v>4.0637231000000003E-2</v>
      </c>
      <c r="R5">
        <v>4.0637231000000003E-2</v>
      </c>
      <c r="S5">
        <v>4.0637231000000003E-2</v>
      </c>
      <c r="T5">
        <v>4.0637231000000003E-2</v>
      </c>
      <c r="U5">
        <v>4.0637231000000003E-2</v>
      </c>
      <c r="V5">
        <v>4.0637231000000003E-2</v>
      </c>
      <c r="W5">
        <v>4.0637231000000003E-2</v>
      </c>
      <c r="X5">
        <v>4.0637231000000003E-2</v>
      </c>
      <c r="Y5">
        <v>4.0637231000000003E-2</v>
      </c>
      <c r="Z5">
        <v>4.0637231000000003E-2</v>
      </c>
      <c r="AA5">
        <v>4.0637231000000003E-2</v>
      </c>
      <c r="AB5">
        <v>4.0637231000000003E-2</v>
      </c>
      <c r="AC5">
        <v>4.0637231000000003E-2</v>
      </c>
      <c r="AD5">
        <v>4.0637231000000003E-2</v>
      </c>
      <c r="AE5">
        <v>4.0637231000000003E-2</v>
      </c>
      <c r="AF5">
        <v>4.0637231000000003E-2</v>
      </c>
      <c r="AG5">
        <v>4.0637231000000003E-2</v>
      </c>
      <c r="AH5">
        <v>4.0637231000000003E-2</v>
      </c>
      <c r="AI5">
        <v>4.0637231000000003E-2</v>
      </c>
      <c r="AJ5">
        <v>4.0637231000000003E-2</v>
      </c>
      <c r="AK5">
        <v>4.0637231000000003E-2</v>
      </c>
      <c r="AL5">
        <v>4.0637231000000003E-2</v>
      </c>
      <c r="AM5">
        <v>4.0637231000000003E-2</v>
      </c>
      <c r="AN5">
        <v>4.0637231000000003E-2</v>
      </c>
      <c r="AO5">
        <v>4.0637231000000003E-2</v>
      </c>
    </row>
    <row r="6" spans="1:41">
      <c r="A6" t="s">
        <v>189</v>
      </c>
      <c r="B6">
        <v>0.23562187000000001</v>
      </c>
      <c r="C6">
        <v>0.24146292599999999</v>
      </c>
      <c r="D6">
        <v>0.24730398200000001</v>
      </c>
      <c r="E6">
        <v>0.25314503799999999</v>
      </c>
      <c r="F6">
        <v>0.258986094</v>
      </c>
      <c r="G6">
        <v>0.26482715000000001</v>
      </c>
      <c r="H6">
        <v>0.27066820600000002</v>
      </c>
      <c r="I6">
        <v>0.27650926199999998</v>
      </c>
      <c r="J6">
        <v>0.28235031900000002</v>
      </c>
      <c r="K6">
        <v>0.28819137500000003</v>
      </c>
      <c r="L6">
        <v>0.29403243099999998</v>
      </c>
      <c r="M6">
        <v>0.29987348699999999</v>
      </c>
      <c r="N6">
        <v>0.30571454300000001</v>
      </c>
      <c r="O6">
        <v>0.31155559900000002</v>
      </c>
      <c r="P6">
        <v>0.31739665500000003</v>
      </c>
      <c r="Q6">
        <v>0.32323771099999998</v>
      </c>
      <c r="R6">
        <v>0.32907876699999999</v>
      </c>
      <c r="S6">
        <v>0.33491982300000001</v>
      </c>
      <c r="T6">
        <v>0.34076087900000002</v>
      </c>
      <c r="U6">
        <v>0.34660193500000003</v>
      </c>
      <c r="V6">
        <v>0.35244299099999998</v>
      </c>
      <c r="W6">
        <v>0.35828404699999999</v>
      </c>
      <c r="X6">
        <v>0.36412510300000001</v>
      </c>
      <c r="Y6">
        <v>0.36996615900000002</v>
      </c>
      <c r="Z6">
        <v>0.37580721499999997</v>
      </c>
      <c r="AA6">
        <v>0.38164827099999998</v>
      </c>
      <c r="AB6">
        <v>0.38748932699999999</v>
      </c>
      <c r="AC6">
        <v>0.39333038300000001</v>
      </c>
      <c r="AD6">
        <v>0.39917143900000002</v>
      </c>
      <c r="AE6">
        <v>0.40501249499999997</v>
      </c>
      <c r="AF6">
        <v>0.41085355099999998</v>
      </c>
      <c r="AG6">
        <v>0.41669460699999999</v>
      </c>
      <c r="AH6">
        <v>0.42253566300000001</v>
      </c>
      <c r="AI6">
        <v>0.42837671900000002</v>
      </c>
      <c r="AJ6">
        <v>0.43421777499999997</v>
      </c>
      <c r="AK6">
        <v>0.44005883099999998</v>
      </c>
      <c r="AL6">
        <v>0.44589988699999999</v>
      </c>
      <c r="AM6">
        <v>0.45174094300000001</v>
      </c>
      <c r="AN6">
        <v>0.45758199900000002</v>
      </c>
      <c r="AO6">
        <v>0.46342305499999997</v>
      </c>
    </row>
    <row r="7" spans="1:41">
      <c r="A7" t="s">
        <v>190</v>
      </c>
      <c r="B7">
        <v>0.125309438</v>
      </c>
      <c r="C7">
        <v>0.12604669199999999</v>
      </c>
      <c r="D7">
        <v>0.12678394700000001</v>
      </c>
      <c r="E7">
        <v>0.127521201</v>
      </c>
      <c r="F7">
        <v>0.12825845599999999</v>
      </c>
      <c r="G7">
        <v>0.12899571100000001</v>
      </c>
      <c r="H7">
        <v>0.12973296500000001</v>
      </c>
      <c r="I7">
        <v>0.13047022</v>
      </c>
      <c r="J7">
        <v>0.13120747499999999</v>
      </c>
      <c r="K7">
        <v>0.13194472900000001</v>
      </c>
      <c r="L7">
        <v>0.13215938999999999</v>
      </c>
      <c r="M7">
        <v>0.13237404999999999</v>
      </c>
      <c r="N7">
        <v>0.132588711</v>
      </c>
      <c r="O7">
        <v>0.132803371</v>
      </c>
      <c r="P7">
        <v>0.13301803200000001</v>
      </c>
      <c r="Q7">
        <v>0.13323269200000001</v>
      </c>
      <c r="R7">
        <v>0.13344735199999999</v>
      </c>
      <c r="S7">
        <v>0.133662013</v>
      </c>
      <c r="T7">
        <v>0.133876673</v>
      </c>
      <c r="U7">
        <v>0.13409133400000001</v>
      </c>
      <c r="V7">
        <v>0.135811563</v>
      </c>
      <c r="W7">
        <v>0.13615124300000001</v>
      </c>
      <c r="X7">
        <v>0.136475809</v>
      </c>
      <c r="Y7">
        <v>0.13678805999999999</v>
      </c>
      <c r="Z7">
        <v>0.13709154800000001</v>
      </c>
      <c r="AA7">
        <v>0.13739067299999999</v>
      </c>
      <c r="AB7">
        <v>0.137690803</v>
      </c>
      <c r="AC7">
        <v>0.137998387</v>
      </c>
      <c r="AD7">
        <v>0.13832109000000001</v>
      </c>
      <c r="AE7">
        <v>0.138667929</v>
      </c>
      <c r="AF7">
        <v>0.139769327</v>
      </c>
      <c r="AG7">
        <v>0.14020958</v>
      </c>
      <c r="AH7">
        <v>0.140649833</v>
      </c>
      <c r="AI7">
        <v>0.141090085</v>
      </c>
      <c r="AJ7">
        <v>0.14153033800000001</v>
      </c>
      <c r="AK7">
        <v>0.14197059100000001</v>
      </c>
      <c r="AL7">
        <v>0.14241084400000001</v>
      </c>
      <c r="AM7">
        <v>0.14285109700000001</v>
      </c>
      <c r="AN7">
        <v>0.14329135000000001</v>
      </c>
      <c r="AO7">
        <v>0.14373160200000001</v>
      </c>
    </row>
    <row r="8" spans="1:41">
      <c r="A8" t="s">
        <v>191</v>
      </c>
      <c r="B8">
        <v>0</v>
      </c>
      <c r="C8">
        <v>0</v>
      </c>
      <c r="D8">
        <v>0</v>
      </c>
      <c r="E8">
        <v>0</v>
      </c>
      <c r="F8">
        <v>0</v>
      </c>
      <c r="G8">
        <v>0</v>
      </c>
      <c r="H8">
        <v>0</v>
      </c>
      <c r="I8">
        <v>0</v>
      </c>
      <c r="J8">
        <v>0</v>
      </c>
      <c r="K8">
        <v>0</v>
      </c>
      <c r="L8">
        <v>0</v>
      </c>
      <c r="M8">
        <v>0</v>
      </c>
      <c r="N8">
        <v>0</v>
      </c>
      <c r="O8">
        <v>0</v>
      </c>
      <c r="P8">
        <v>0</v>
      </c>
      <c r="Q8">
        <v>0</v>
      </c>
      <c r="R8">
        <v>0</v>
      </c>
      <c r="S8">
        <v>0</v>
      </c>
      <c r="T8">
        <v>0</v>
      </c>
      <c r="U8">
        <v>0</v>
      </c>
      <c r="V8">
        <v>0</v>
      </c>
      <c r="W8">
        <v>0</v>
      </c>
      <c r="X8">
        <v>0</v>
      </c>
      <c r="Y8">
        <v>0</v>
      </c>
      <c r="Z8">
        <v>0</v>
      </c>
      <c r="AA8">
        <v>0</v>
      </c>
      <c r="AB8">
        <v>0</v>
      </c>
      <c r="AC8">
        <v>0</v>
      </c>
      <c r="AD8">
        <v>0</v>
      </c>
      <c r="AE8">
        <v>0</v>
      </c>
      <c r="AF8">
        <v>0</v>
      </c>
      <c r="AG8">
        <v>0</v>
      </c>
      <c r="AH8">
        <v>0</v>
      </c>
      <c r="AI8">
        <v>0</v>
      </c>
      <c r="AJ8">
        <v>0</v>
      </c>
      <c r="AK8">
        <v>0</v>
      </c>
      <c r="AL8">
        <v>0</v>
      </c>
      <c r="AM8">
        <v>0</v>
      </c>
      <c r="AN8">
        <v>0</v>
      </c>
      <c r="AO8">
        <v>0</v>
      </c>
    </row>
    <row r="9" spans="1:41">
      <c r="A9" t="s">
        <v>192</v>
      </c>
      <c r="B9">
        <v>0.13558973199999999</v>
      </c>
      <c r="C9">
        <v>0.13383613799999999</v>
      </c>
      <c r="D9">
        <v>0.132082544</v>
      </c>
      <c r="E9">
        <v>0.130328951</v>
      </c>
      <c r="F9">
        <v>0.128575357</v>
      </c>
      <c r="G9">
        <v>0.126821764</v>
      </c>
      <c r="H9">
        <v>0.12506817000000001</v>
      </c>
      <c r="I9">
        <v>0.12331457699999999</v>
      </c>
      <c r="J9">
        <v>0.121560983</v>
      </c>
      <c r="K9">
        <v>0.11980739</v>
      </c>
      <c r="L9">
        <v>0.118053796</v>
      </c>
      <c r="M9">
        <v>0.11630020200000001</v>
      </c>
      <c r="N9">
        <v>0.11454660899999999</v>
      </c>
      <c r="O9">
        <v>0.112793015</v>
      </c>
      <c r="P9">
        <v>0.111039422</v>
      </c>
      <c r="Q9">
        <v>0.109285828</v>
      </c>
      <c r="R9">
        <v>0.107532235</v>
      </c>
      <c r="S9">
        <v>0.10577864100000001</v>
      </c>
      <c r="T9">
        <v>0.10402504799999999</v>
      </c>
      <c r="U9">
        <v>0.102271454</v>
      </c>
      <c r="V9">
        <v>0.100517861</v>
      </c>
      <c r="W9">
        <v>9.8764267000000003E-2</v>
      </c>
      <c r="X9">
        <v>9.7010673000000006E-2</v>
      </c>
      <c r="Y9">
        <v>9.5257079999999994E-2</v>
      </c>
      <c r="Z9">
        <v>9.3503485999999997E-2</v>
      </c>
      <c r="AA9">
        <v>9.1749892999999999E-2</v>
      </c>
      <c r="AB9">
        <v>8.9996299000000002E-2</v>
      </c>
      <c r="AC9">
        <v>8.8242706000000004E-2</v>
      </c>
      <c r="AD9">
        <v>8.6489112000000007E-2</v>
      </c>
      <c r="AE9">
        <v>8.4735518999999995E-2</v>
      </c>
      <c r="AF9">
        <v>8.2981924999999998E-2</v>
      </c>
      <c r="AG9">
        <v>8.1228331000000001E-2</v>
      </c>
      <c r="AH9">
        <v>7.9474738000000003E-2</v>
      </c>
      <c r="AI9">
        <v>7.7721144000000006E-2</v>
      </c>
      <c r="AJ9">
        <v>7.5967550999999994E-2</v>
      </c>
      <c r="AK9">
        <v>7.4213956999999997E-2</v>
      </c>
      <c r="AL9">
        <v>7.2460363999999999E-2</v>
      </c>
      <c r="AM9">
        <v>7.0706770000000002E-2</v>
      </c>
      <c r="AN9">
        <v>6.8953177000000004E-2</v>
      </c>
      <c r="AO9">
        <v>6.7199582999999993E-2</v>
      </c>
    </row>
    <row r="10" spans="1:41">
      <c r="A10" t="s">
        <v>193</v>
      </c>
      <c r="B10">
        <v>0.21593546699999999</v>
      </c>
      <c r="C10">
        <v>0.218389536</v>
      </c>
      <c r="D10">
        <v>0.220843606</v>
      </c>
      <c r="E10">
        <v>0.223297675</v>
      </c>
      <c r="F10">
        <v>0.225751745</v>
      </c>
      <c r="G10">
        <v>0.22820581500000001</v>
      </c>
      <c r="H10">
        <v>0.23065988400000001</v>
      </c>
      <c r="I10">
        <v>0.23311395400000001</v>
      </c>
      <c r="J10">
        <v>0.23556802299999999</v>
      </c>
      <c r="K10">
        <v>0.23802209299999999</v>
      </c>
      <c r="L10">
        <v>0.23859646100000001</v>
      </c>
      <c r="M10">
        <v>0.239170828</v>
      </c>
      <c r="N10">
        <v>0.23974519599999999</v>
      </c>
      <c r="O10">
        <v>0.24031956400000001</v>
      </c>
      <c r="P10">
        <v>0.24089393200000001</v>
      </c>
      <c r="Q10">
        <v>0.2414683</v>
      </c>
      <c r="R10">
        <v>0.24204266799999999</v>
      </c>
      <c r="S10">
        <v>0.24261703500000001</v>
      </c>
      <c r="T10">
        <v>0.243191403</v>
      </c>
      <c r="U10">
        <v>0.24376577099999999</v>
      </c>
      <c r="V10">
        <v>0.24975547000000001</v>
      </c>
      <c r="W10">
        <v>0.25077951700000001</v>
      </c>
      <c r="X10">
        <v>0.25174919899999998</v>
      </c>
      <c r="Y10">
        <v>0.252674589</v>
      </c>
      <c r="Z10">
        <v>0.25356845500000003</v>
      </c>
      <c r="AA10">
        <v>0.254446634</v>
      </c>
      <c r="AB10">
        <v>0.25532842300000003</v>
      </c>
      <c r="AC10">
        <v>0.25623702399999998</v>
      </c>
      <c r="AD10">
        <v>0.25720000599999998</v>
      </c>
      <c r="AE10">
        <v>0.25824980400000003</v>
      </c>
      <c r="AF10">
        <v>0.26201364799999999</v>
      </c>
      <c r="AG10">
        <v>0.26339944100000001</v>
      </c>
      <c r="AH10">
        <v>0.26478523500000001</v>
      </c>
      <c r="AI10">
        <v>0.26617102799999998</v>
      </c>
      <c r="AJ10">
        <v>0.26755682200000003</v>
      </c>
      <c r="AK10">
        <v>0.268942615</v>
      </c>
      <c r="AL10">
        <v>0.27032840899999999</v>
      </c>
      <c r="AM10">
        <v>0.27171420200000002</v>
      </c>
      <c r="AN10">
        <v>0.27309999600000001</v>
      </c>
      <c r="AO10">
        <v>0.27448578899999998</v>
      </c>
    </row>
    <row r="11" spans="1:41">
      <c r="A11" t="s">
        <v>194</v>
      </c>
      <c r="B11">
        <v>5.6947609000000003E-2</v>
      </c>
      <c r="C11">
        <v>5.6947609000000003E-2</v>
      </c>
      <c r="D11">
        <v>5.6947609000000003E-2</v>
      </c>
      <c r="E11">
        <v>5.6947609000000003E-2</v>
      </c>
      <c r="F11">
        <v>5.6947609000000003E-2</v>
      </c>
      <c r="G11">
        <v>5.6947609000000003E-2</v>
      </c>
      <c r="H11">
        <v>5.6947609000000003E-2</v>
      </c>
      <c r="I11">
        <v>5.6947609000000003E-2</v>
      </c>
      <c r="J11">
        <v>5.6947609000000003E-2</v>
      </c>
      <c r="K11">
        <v>5.6947609000000003E-2</v>
      </c>
      <c r="L11">
        <v>5.6947609000000003E-2</v>
      </c>
      <c r="M11">
        <v>5.6947609000000003E-2</v>
      </c>
      <c r="N11">
        <v>5.6947609000000003E-2</v>
      </c>
      <c r="O11">
        <v>5.6947609000000003E-2</v>
      </c>
      <c r="P11">
        <v>5.6947609000000003E-2</v>
      </c>
      <c r="Q11">
        <v>5.6947609000000003E-2</v>
      </c>
      <c r="R11">
        <v>5.6947609000000003E-2</v>
      </c>
      <c r="S11">
        <v>5.6947609000000003E-2</v>
      </c>
      <c r="T11">
        <v>5.6947609000000003E-2</v>
      </c>
      <c r="U11">
        <v>5.6947609000000003E-2</v>
      </c>
      <c r="V11">
        <v>5.6947609000000003E-2</v>
      </c>
      <c r="W11">
        <v>5.6947609000000003E-2</v>
      </c>
      <c r="X11">
        <v>5.6947609000000003E-2</v>
      </c>
      <c r="Y11">
        <v>5.6947609000000003E-2</v>
      </c>
      <c r="Z11">
        <v>5.6947609000000003E-2</v>
      </c>
      <c r="AA11">
        <v>5.6947609000000003E-2</v>
      </c>
      <c r="AB11">
        <v>5.6947609000000003E-2</v>
      </c>
      <c r="AC11">
        <v>5.6947609000000003E-2</v>
      </c>
      <c r="AD11">
        <v>5.6947609000000003E-2</v>
      </c>
      <c r="AE11">
        <v>5.6947609000000003E-2</v>
      </c>
      <c r="AF11">
        <v>5.6947609000000003E-2</v>
      </c>
      <c r="AG11">
        <v>5.6947609000000003E-2</v>
      </c>
      <c r="AH11">
        <v>5.6947609000000003E-2</v>
      </c>
      <c r="AI11">
        <v>5.6947609000000003E-2</v>
      </c>
      <c r="AJ11">
        <v>5.6947609000000003E-2</v>
      </c>
      <c r="AK11">
        <v>5.6947609000000003E-2</v>
      </c>
      <c r="AL11">
        <v>5.6947609000000003E-2</v>
      </c>
      <c r="AM11">
        <v>5.6947609000000003E-2</v>
      </c>
      <c r="AN11">
        <v>5.6947609000000003E-2</v>
      </c>
      <c r="AO11">
        <v>5.6947609000000003E-2</v>
      </c>
    </row>
    <row r="12" spans="1:41">
      <c r="A12" t="s">
        <v>195</v>
      </c>
      <c r="B12">
        <v>3.4552284000000003E-2</v>
      </c>
      <c r="C12">
        <v>3.4061632000000001E-2</v>
      </c>
      <c r="D12">
        <v>3.357098E-2</v>
      </c>
      <c r="E12">
        <v>3.3080327999999999E-2</v>
      </c>
      <c r="F12">
        <v>3.2589675999999998E-2</v>
      </c>
      <c r="G12">
        <v>3.2099022999999997E-2</v>
      </c>
      <c r="H12">
        <v>3.1608371000000003E-2</v>
      </c>
      <c r="I12">
        <v>3.1117718999999999E-2</v>
      </c>
      <c r="J12">
        <v>3.0627067000000001E-2</v>
      </c>
      <c r="K12">
        <v>3.0136415E-2</v>
      </c>
      <c r="L12">
        <v>2.9645762999999999E-2</v>
      </c>
      <c r="M12">
        <v>2.9155111000000001E-2</v>
      </c>
      <c r="N12">
        <v>2.8664459E-2</v>
      </c>
      <c r="O12">
        <v>2.8173806999999999E-2</v>
      </c>
      <c r="P12">
        <v>2.7683154000000001E-2</v>
      </c>
      <c r="Q12">
        <v>2.7192502E-2</v>
      </c>
      <c r="R12">
        <v>2.6701849999999999E-2</v>
      </c>
      <c r="S12">
        <v>2.6211198000000002E-2</v>
      </c>
      <c r="T12">
        <v>2.5720546E-2</v>
      </c>
      <c r="U12">
        <v>2.5229893999999999E-2</v>
      </c>
      <c r="V12">
        <v>2.4739242000000002E-2</v>
      </c>
      <c r="W12">
        <v>2.424859E-2</v>
      </c>
      <c r="X12">
        <v>2.3757937999999999E-2</v>
      </c>
      <c r="Y12">
        <v>2.3267284999999999E-2</v>
      </c>
      <c r="Z12">
        <v>2.2776633000000001E-2</v>
      </c>
      <c r="AA12">
        <v>2.2285981E-2</v>
      </c>
      <c r="AB12">
        <v>2.1795328999999999E-2</v>
      </c>
      <c r="AC12">
        <v>2.1304677000000001E-2</v>
      </c>
      <c r="AD12">
        <v>2.0814025E-2</v>
      </c>
      <c r="AE12">
        <v>2.0323372999999999E-2</v>
      </c>
      <c r="AF12">
        <v>1.9832721000000001E-2</v>
      </c>
      <c r="AG12">
        <v>1.9342069E-2</v>
      </c>
      <c r="AH12">
        <v>1.8851415999999999E-2</v>
      </c>
      <c r="AI12">
        <v>1.8360764000000002E-2</v>
      </c>
      <c r="AJ12">
        <v>1.7870112E-2</v>
      </c>
      <c r="AK12">
        <v>1.7379459999999999E-2</v>
      </c>
      <c r="AL12">
        <v>1.6888808000000002E-2</v>
      </c>
      <c r="AM12">
        <v>1.6398156000000001E-2</v>
      </c>
      <c r="AN12">
        <v>1.5907503999999999E-2</v>
      </c>
      <c r="AO12">
        <v>1.5416852E-2</v>
      </c>
    </row>
    <row r="13" spans="1:41">
      <c r="A13" t="s">
        <v>196</v>
      </c>
      <c r="B13">
        <v>0.13001270700000001</v>
      </c>
      <c r="C13">
        <v>0.127653509</v>
      </c>
      <c r="D13">
        <v>0.12529431099999999</v>
      </c>
      <c r="E13">
        <v>0.122935113</v>
      </c>
      <c r="F13">
        <v>0.12057591500000001</v>
      </c>
      <c r="G13">
        <v>0.118216716</v>
      </c>
      <c r="H13">
        <v>0.11585751800000001</v>
      </c>
      <c r="I13">
        <v>0.11349832</v>
      </c>
      <c r="J13">
        <v>0.11113912200000001</v>
      </c>
      <c r="K13">
        <v>0.108779924</v>
      </c>
      <c r="L13">
        <v>0.10801839000000001</v>
      </c>
      <c r="M13">
        <v>0.107256856</v>
      </c>
      <c r="N13">
        <v>0.106495321</v>
      </c>
      <c r="O13">
        <v>0.105733787</v>
      </c>
      <c r="P13">
        <v>0.104972253</v>
      </c>
      <c r="Q13">
        <v>0.10421071899999999</v>
      </c>
      <c r="R13">
        <v>0.103449185</v>
      </c>
      <c r="S13">
        <v>0.10268765000000001</v>
      </c>
      <c r="T13">
        <v>0.101926116</v>
      </c>
      <c r="U13">
        <v>0.101164582</v>
      </c>
      <c r="V13">
        <v>9.5800254000000001E-2</v>
      </c>
      <c r="W13">
        <v>9.4656511999999998E-2</v>
      </c>
      <c r="X13">
        <v>9.3558979E-2</v>
      </c>
      <c r="Y13">
        <v>9.2499091000000006E-2</v>
      </c>
      <c r="Z13">
        <v>9.1465996999999993E-2</v>
      </c>
      <c r="AA13">
        <v>9.0446236999999999E-2</v>
      </c>
      <c r="AB13">
        <v>8.9423407999999996E-2</v>
      </c>
      <c r="AC13">
        <v>8.8377789999999998E-2</v>
      </c>
      <c r="AD13">
        <v>8.7285952E-2</v>
      </c>
      <c r="AE13">
        <v>8.6120322999999999E-2</v>
      </c>
      <c r="AF13">
        <v>8.2647873999999996E-2</v>
      </c>
      <c r="AG13">
        <v>8.1196664000000002E-2</v>
      </c>
      <c r="AH13">
        <v>7.9745452999999994E-2</v>
      </c>
      <c r="AI13">
        <v>7.8294242999999999E-2</v>
      </c>
      <c r="AJ13">
        <v>7.6843032000000006E-2</v>
      </c>
      <c r="AK13">
        <v>7.5391821999999997E-2</v>
      </c>
      <c r="AL13">
        <v>7.3940611000000003E-2</v>
      </c>
      <c r="AM13">
        <v>7.2489400999999995E-2</v>
      </c>
      <c r="AN13">
        <v>7.1038191000000001E-2</v>
      </c>
      <c r="AO13">
        <v>6.9586980000000007E-2</v>
      </c>
    </row>
    <row r="14" spans="1:41">
      <c r="A14" t="s">
        <v>197</v>
      </c>
      <c r="B14">
        <v>0.487958954</v>
      </c>
      <c r="C14">
        <v>0.487958954</v>
      </c>
      <c r="D14">
        <v>0.487958954</v>
      </c>
      <c r="E14">
        <v>0.487958954</v>
      </c>
      <c r="F14">
        <v>0.487958954</v>
      </c>
      <c r="G14">
        <v>0.487958954</v>
      </c>
      <c r="H14">
        <v>0.487958954</v>
      </c>
      <c r="I14">
        <v>0.487958954</v>
      </c>
      <c r="J14">
        <v>0.487958954</v>
      </c>
      <c r="K14">
        <v>0.487958954</v>
      </c>
      <c r="L14">
        <v>0.487958954</v>
      </c>
      <c r="M14">
        <v>0.487958954</v>
      </c>
      <c r="N14">
        <v>0.487958954</v>
      </c>
      <c r="O14">
        <v>0.487958954</v>
      </c>
      <c r="P14">
        <v>0.487958954</v>
      </c>
      <c r="Q14">
        <v>0.487958954</v>
      </c>
      <c r="R14">
        <v>0.487958954</v>
      </c>
      <c r="S14">
        <v>0.487958954</v>
      </c>
      <c r="T14">
        <v>0.487958954</v>
      </c>
      <c r="U14">
        <v>0.487958954</v>
      </c>
      <c r="V14">
        <v>0.487958954</v>
      </c>
      <c r="W14">
        <v>0.487958954</v>
      </c>
      <c r="X14">
        <v>0.487958954</v>
      </c>
      <c r="Y14">
        <v>0.487958954</v>
      </c>
      <c r="Z14">
        <v>0.487958954</v>
      </c>
      <c r="AA14">
        <v>0.487958954</v>
      </c>
      <c r="AB14">
        <v>0.487958954</v>
      </c>
      <c r="AC14">
        <v>0.487958954</v>
      </c>
      <c r="AD14">
        <v>0.487958954</v>
      </c>
      <c r="AE14">
        <v>0.487958954</v>
      </c>
      <c r="AF14">
        <v>0.487958954</v>
      </c>
      <c r="AG14">
        <v>0.487958954</v>
      </c>
      <c r="AH14">
        <v>0.487958954</v>
      </c>
      <c r="AI14">
        <v>0.487958954</v>
      </c>
      <c r="AJ14">
        <v>0.487958954</v>
      </c>
      <c r="AK14">
        <v>0.487958954</v>
      </c>
      <c r="AL14">
        <v>0.487958954</v>
      </c>
      <c r="AM14">
        <v>0.487958954</v>
      </c>
      <c r="AN14">
        <v>0.487958954</v>
      </c>
      <c r="AO14">
        <v>0.487958954</v>
      </c>
    </row>
    <row r="15" spans="1:41">
      <c r="A15" t="s">
        <v>198</v>
      </c>
      <c r="B15">
        <v>0.31395943399999998</v>
      </c>
      <c r="C15">
        <v>0.31116685399999999</v>
      </c>
      <c r="D15">
        <v>0.308374274</v>
      </c>
      <c r="E15">
        <v>0.30558169400000001</v>
      </c>
      <c r="F15">
        <v>0.30278911400000003</v>
      </c>
      <c r="G15">
        <v>0.29999653300000001</v>
      </c>
      <c r="H15">
        <v>0.29720395300000002</v>
      </c>
      <c r="I15">
        <v>0.29441137299999998</v>
      </c>
      <c r="J15">
        <v>0.29161879299999999</v>
      </c>
      <c r="K15">
        <v>0.28882621200000003</v>
      </c>
      <c r="L15">
        <v>0.28603363199999998</v>
      </c>
      <c r="M15">
        <v>0.28324105199999999</v>
      </c>
      <c r="N15">
        <v>0.280448472</v>
      </c>
      <c r="O15">
        <v>0.27765589099999999</v>
      </c>
      <c r="P15">
        <v>0.274863311</v>
      </c>
      <c r="Q15">
        <v>0.27207073100000001</v>
      </c>
      <c r="R15">
        <v>0.26927815100000002</v>
      </c>
      <c r="S15">
        <v>0.26648557</v>
      </c>
      <c r="T15">
        <v>0.26369299000000002</v>
      </c>
      <c r="U15">
        <v>0.26090041000000003</v>
      </c>
      <c r="V15">
        <v>0.25810782999999998</v>
      </c>
      <c r="W15">
        <v>0.25531524999999999</v>
      </c>
      <c r="X15">
        <v>0.25252266899999998</v>
      </c>
      <c r="Y15">
        <v>0.24973008899999999</v>
      </c>
      <c r="Z15">
        <v>0.246937509</v>
      </c>
      <c r="AA15">
        <v>0.24414492900000001</v>
      </c>
      <c r="AB15">
        <v>0.24135234799999999</v>
      </c>
      <c r="AC15">
        <v>0.23855976800000001</v>
      </c>
      <c r="AD15">
        <v>0.23576718799999999</v>
      </c>
      <c r="AE15">
        <v>0.232974608</v>
      </c>
      <c r="AF15">
        <v>0.23018202700000001</v>
      </c>
      <c r="AG15">
        <v>0.22738944699999999</v>
      </c>
      <c r="AH15">
        <v>0.22459686700000001</v>
      </c>
      <c r="AI15">
        <v>0.22180428699999999</v>
      </c>
      <c r="AJ15">
        <v>0.219011706</v>
      </c>
      <c r="AK15">
        <v>0.21621912600000001</v>
      </c>
      <c r="AL15">
        <v>0.21342654599999999</v>
      </c>
      <c r="AM15">
        <v>0.21063396600000001</v>
      </c>
      <c r="AN15">
        <v>0.20784138599999999</v>
      </c>
      <c r="AO15">
        <v>0.205048805</v>
      </c>
    </row>
    <row r="16" spans="1:41">
      <c r="A16" t="s">
        <v>199</v>
      </c>
      <c r="B16">
        <v>6.5357450999999997E-2</v>
      </c>
      <c r="C16">
        <v>6.4588814999999994E-2</v>
      </c>
      <c r="D16">
        <v>6.3820178000000005E-2</v>
      </c>
      <c r="E16">
        <v>6.3051541000000003E-2</v>
      </c>
      <c r="F16">
        <v>6.2282904E-2</v>
      </c>
      <c r="G16">
        <v>6.1514266999999997E-2</v>
      </c>
      <c r="H16">
        <v>6.0745631000000001E-2</v>
      </c>
      <c r="I16">
        <v>5.9976993999999999E-2</v>
      </c>
      <c r="J16">
        <v>5.9208357000000003E-2</v>
      </c>
      <c r="K16">
        <v>5.8439720000000001E-2</v>
      </c>
      <c r="L16">
        <v>5.8215678999999999E-2</v>
      </c>
      <c r="M16">
        <v>5.7991636999999999E-2</v>
      </c>
      <c r="N16">
        <v>5.7767595999999997E-2</v>
      </c>
      <c r="O16">
        <v>5.7543553999999997E-2</v>
      </c>
      <c r="P16">
        <v>5.7319513000000002E-2</v>
      </c>
      <c r="Q16">
        <v>5.7095471000000002E-2</v>
      </c>
      <c r="R16">
        <v>5.6871430000000001E-2</v>
      </c>
      <c r="S16">
        <v>5.6647388E-2</v>
      </c>
      <c r="T16">
        <v>5.6423346999999999E-2</v>
      </c>
      <c r="U16">
        <v>5.6199304999999998E-2</v>
      </c>
      <c r="V16">
        <v>5.4406310999999999E-2</v>
      </c>
      <c r="W16">
        <v>5.4051986000000003E-2</v>
      </c>
      <c r="X16">
        <v>5.3713413000000002E-2</v>
      </c>
      <c r="Y16">
        <v>5.3387671999999997E-2</v>
      </c>
      <c r="Z16">
        <v>5.3071063000000002E-2</v>
      </c>
      <c r="AA16">
        <v>5.2759001E-2</v>
      </c>
      <c r="AB16">
        <v>5.2445892000000001E-2</v>
      </c>
      <c r="AC16">
        <v>5.2125014999999997E-2</v>
      </c>
      <c r="AD16">
        <v>5.1788382000000001E-2</v>
      </c>
      <c r="AE16">
        <v>5.1426596999999998E-2</v>
      </c>
      <c r="AF16">
        <v>5.0278486999999997E-2</v>
      </c>
      <c r="AG16">
        <v>4.9819356000000002E-2</v>
      </c>
      <c r="AH16">
        <v>4.9360224000000001E-2</v>
      </c>
      <c r="AI16">
        <v>4.8901093E-2</v>
      </c>
      <c r="AJ16">
        <v>4.8441961999999998E-2</v>
      </c>
      <c r="AK16">
        <v>4.7982830999999997E-2</v>
      </c>
      <c r="AL16">
        <v>4.7523699000000003E-2</v>
      </c>
      <c r="AM16">
        <v>4.7064568000000001E-2</v>
      </c>
      <c r="AN16">
        <v>4.6605437E-2</v>
      </c>
      <c r="AO16">
        <v>4.6146305999999998E-2</v>
      </c>
    </row>
    <row r="17" spans="1:41">
      <c r="A17" t="s">
        <v>200</v>
      </c>
      <c r="B17">
        <v>1.3545744E-2</v>
      </c>
      <c r="C17">
        <v>1.3545744E-2</v>
      </c>
      <c r="D17">
        <v>1.3545744E-2</v>
      </c>
      <c r="E17">
        <v>1.3545744E-2</v>
      </c>
      <c r="F17">
        <v>1.3545744E-2</v>
      </c>
      <c r="G17">
        <v>1.3545744E-2</v>
      </c>
      <c r="H17">
        <v>1.3545744E-2</v>
      </c>
      <c r="I17">
        <v>1.3545744E-2</v>
      </c>
      <c r="J17">
        <v>1.3545744E-2</v>
      </c>
      <c r="K17">
        <v>1.3545744E-2</v>
      </c>
      <c r="L17">
        <v>1.3545744E-2</v>
      </c>
      <c r="M17">
        <v>1.3545744E-2</v>
      </c>
      <c r="N17">
        <v>1.3545744E-2</v>
      </c>
      <c r="O17">
        <v>1.3545744E-2</v>
      </c>
      <c r="P17">
        <v>1.3545744E-2</v>
      </c>
      <c r="Q17">
        <v>1.3545744E-2</v>
      </c>
      <c r="R17">
        <v>1.3545744E-2</v>
      </c>
      <c r="S17">
        <v>1.3545744E-2</v>
      </c>
      <c r="T17">
        <v>1.3545744E-2</v>
      </c>
      <c r="U17">
        <v>1.3545744E-2</v>
      </c>
      <c r="V17">
        <v>1.3545744E-2</v>
      </c>
      <c r="W17">
        <v>1.3545744E-2</v>
      </c>
      <c r="X17">
        <v>1.3545744E-2</v>
      </c>
      <c r="Y17">
        <v>1.3545744E-2</v>
      </c>
      <c r="Z17">
        <v>1.3545744E-2</v>
      </c>
      <c r="AA17">
        <v>1.3545744E-2</v>
      </c>
      <c r="AB17">
        <v>1.3545744E-2</v>
      </c>
      <c r="AC17">
        <v>1.3545744E-2</v>
      </c>
      <c r="AD17">
        <v>1.3545744E-2</v>
      </c>
      <c r="AE17">
        <v>1.3545744E-2</v>
      </c>
      <c r="AF17">
        <v>1.3545744E-2</v>
      </c>
      <c r="AG17">
        <v>1.3545744E-2</v>
      </c>
      <c r="AH17">
        <v>1.3545744E-2</v>
      </c>
      <c r="AI17">
        <v>1.3545744E-2</v>
      </c>
      <c r="AJ17">
        <v>1.3545744E-2</v>
      </c>
      <c r="AK17">
        <v>1.3545744E-2</v>
      </c>
      <c r="AL17">
        <v>1.3545744E-2</v>
      </c>
      <c r="AM17">
        <v>1.3545744E-2</v>
      </c>
      <c r="AN17">
        <v>1.3545744E-2</v>
      </c>
      <c r="AO17">
        <v>1.3545744E-2</v>
      </c>
    </row>
    <row r="18" spans="1:41">
      <c r="A18" t="s">
        <v>201</v>
      </c>
      <c r="B18">
        <v>0.25794168299999998</v>
      </c>
      <c r="C18">
        <v>0.25709628600000001</v>
      </c>
      <c r="D18">
        <v>0.25625088899999998</v>
      </c>
      <c r="E18">
        <v>0.25540549200000001</v>
      </c>
      <c r="F18">
        <v>0.25456009499999999</v>
      </c>
      <c r="G18">
        <v>0.25371469800000002</v>
      </c>
      <c r="H18">
        <v>0.25286930099999999</v>
      </c>
      <c r="I18">
        <v>0.25202390400000002</v>
      </c>
      <c r="J18">
        <v>0.251178507</v>
      </c>
      <c r="K18">
        <v>0.250333109</v>
      </c>
      <c r="L18">
        <v>0.249487712</v>
      </c>
      <c r="M18">
        <v>0.248642315</v>
      </c>
      <c r="N18">
        <v>0.247796918</v>
      </c>
      <c r="O18">
        <v>0.24695152100000001</v>
      </c>
      <c r="P18">
        <v>0.24610612400000001</v>
      </c>
      <c r="Q18">
        <v>0.24526072700000001</v>
      </c>
      <c r="R18">
        <v>0.24441532999999999</v>
      </c>
      <c r="S18">
        <v>0.24356993299999999</v>
      </c>
      <c r="T18">
        <v>0.24272453599999999</v>
      </c>
      <c r="U18">
        <v>0.24187913799999999</v>
      </c>
      <c r="V18">
        <v>0.241033741</v>
      </c>
      <c r="W18">
        <v>0.240188344</v>
      </c>
      <c r="X18">
        <v>0.239342947</v>
      </c>
      <c r="Y18">
        <v>0.23849755</v>
      </c>
      <c r="Z18">
        <v>0.237652153</v>
      </c>
      <c r="AA18">
        <v>0.23680675600000001</v>
      </c>
      <c r="AB18">
        <v>0.23596135900000001</v>
      </c>
      <c r="AC18">
        <v>0.23511596200000001</v>
      </c>
      <c r="AD18">
        <v>0.23427056499999999</v>
      </c>
      <c r="AE18">
        <v>0.23342516699999999</v>
      </c>
      <c r="AF18">
        <v>0.23257976999999999</v>
      </c>
      <c r="AG18">
        <v>0.23173437299999999</v>
      </c>
      <c r="AH18">
        <v>0.230888976</v>
      </c>
      <c r="AI18">
        <v>0.230043579</v>
      </c>
      <c r="AJ18">
        <v>0.229198182</v>
      </c>
      <c r="AK18">
        <v>0.228352785</v>
      </c>
      <c r="AL18">
        <v>0.227507388</v>
      </c>
      <c r="AM18">
        <v>0.22666199100000001</v>
      </c>
      <c r="AN18">
        <v>0.22581659400000001</v>
      </c>
      <c r="AO18">
        <v>0.22497119700000001</v>
      </c>
    </row>
    <row r="19" spans="1:41">
      <c r="A19" t="s">
        <v>202</v>
      </c>
      <c r="B19">
        <v>2.2872052E-2</v>
      </c>
      <c r="C19">
        <v>2.2855215000000002E-2</v>
      </c>
      <c r="D19">
        <v>2.2838377E-2</v>
      </c>
      <c r="E19">
        <v>2.2821540000000001E-2</v>
      </c>
      <c r="F19">
        <v>2.2804702E-2</v>
      </c>
      <c r="G19">
        <v>2.2787865000000001E-2</v>
      </c>
      <c r="H19">
        <v>2.2771027999999999E-2</v>
      </c>
      <c r="I19">
        <v>2.2754190000000001E-2</v>
      </c>
      <c r="J19">
        <v>2.2737352999999998E-2</v>
      </c>
      <c r="K19">
        <v>2.2720516E-2</v>
      </c>
      <c r="L19">
        <v>2.2686978999999999E-2</v>
      </c>
      <c r="M19">
        <v>2.2653441999999999E-2</v>
      </c>
      <c r="N19">
        <v>2.2619904999999999E-2</v>
      </c>
      <c r="O19">
        <v>2.2586368999999999E-2</v>
      </c>
      <c r="P19">
        <v>2.2552831999999998E-2</v>
      </c>
      <c r="Q19">
        <v>2.2519295000000002E-2</v>
      </c>
      <c r="R19">
        <v>2.2485758000000002E-2</v>
      </c>
      <c r="S19">
        <v>2.2452222000000001E-2</v>
      </c>
      <c r="T19">
        <v>2.2418685000000001E-2</v>
      </c>
      <c r="U19">
        <v>2.2385148000000001E-2</v>
      </c>
      <c r="V19">
        <v>2.2399721000000001E-2</v>
      </c>
      <c r="W19">
        <v>2.237018E-2</v>
      </c>
      <c r="X19">
        <v>2.2340155E-2</v>
      </c>
      <c r="Y19">
        <v>2.2309737E-2</v>
      </c>
      <c r="Z19">
        <v>2.2279038000000001E-2</v>
      </c>
      <c r="AA19">
        <v>2.2248200999999999E-2</v>
      </c>
      <c r="AB19">
        <v>2.2217395000000001E-2</v>
      </c>
      <c r="AC19">
        <v>2.2186827999999999E-2</v>
      </c>
      <c r="AD19">
        <v>2.2156743E-2</v>
      </c>
      <c r="AE19">
        <v>2.212743E-2</v>
      </c>
      <c r="AF19">
        <v>2.2122229E-2</v>
      </c>
      <c r="AG19">
        <v>2.2095901000000001E-2</v>
      </c>
      <c r="AH19">
        <v>2.2069572999999999E-2</v>
      </c>
      <c r="AI19">
        <v>2.2043245E-2</v>
      </c>
      <c r="AJ19">
        <v>2.2016917E-2</v>
      </c>
      <c r="AK19">
        <v>2.1990589000000001E-2</v>
      </c>
      <c r="AL19">
        <v>2.1964260999999999E-2</v>
      </c>
      <c r="AM19">
        <v>2.1937933E-2</v>
      </c>
      <c r="AN19">
        <v>2.1911605000000001E-2</v>
      </c>
      <c r="AO19">
        <v>2.1885277000000002E-2</v>
      </c>
    </row>
    <row r="20" spans="1:41">
      <c r="A20" t="s">
        <v>203</v>
      </c>
      <c r="B20">
        <v>0</v>
      </c>
      <c r="C20">
        <v>0</v>
      </c>
      <c r="D20">
        <v>0</v>
      </c>
      <c r="E20">
        <v>0</v>
      </c>
      <c r="F20">
        <v>0</v>
      </c>
      <c r="G20">
        <v>0</v>
      </c>
      <c r="H20">
        <v>0</v>
      </c>
      <c r="I20">
        <v>0</v>
      </c>
      <c r="J20">
        <v>0</v>
      </c>
      <c r="K20">
        <v>0</v>
      </c>
      <c r="L20">
        <v>0</v>
      </c>
      <c r="M20">
        <v>0</v>
      </c>
      <c r="N20">
        <v>0</v>
      </c>
      <c r="O20">
        <v>0</v>
      </c>
      <c r="P20">
        <v>0</v>
      </c>
      <c r="Q20">
        <v>0</v>
      </c>
      <c r="R20">
        <v>0</v>
      </c>
      <c r="S20">
        <v>0</v>
      </c>
      <c r="T20">
        <v>0</v>
      </c>
      <c r="U20">
        <v>0</v>
      </c>
      <c r="V20">
        <v>0</v>
      </c>
      <c r="W20">
        <v>0</v>
      </c>
      <c r="X20">
        <v>0</v>
      </c>
      <c r="Y20">
        <v>0</v>
      </c>
      <c r="Z20">
        <v>0</v>
      </c>
      <c r="AA20">
        <v>0</v>
      </c>
      <c r="AB20">
        <v>0</v>
      </c>
      <c r="AC20">
        <v>0</v>
      </c>
      <c r="AD20">
        <v>0</v>
      </c>
      <c r="AE20">
        <v>0</v>
      </c>
      <c r="AF20">
        <v>0</v>
      </c>
      <c r="AG20">
        <v>0</v>
      </c>
      <c r="AH20">
        <v>0</v>
      </c>
      <c r="AI20">
        <v>0</v>
      </c>
      <c r="AJ20">
        <v>0</v>
      </c>
      <c r="AK20">
        <v>0</v>
      </c>
      <c r="AL20">
        <v>0</v>
      </c>
      <c r="AM20">
        <v>0</v>
      </c>
      <c r="AN20">
        <v>0</v>
      </c>
      <c r="AO20">
        <v>0</v>
      </c>
    </row>
    <row r="21" spans="1:41">
      <c r="A21" t="s">
        <v>204</v>
      </c>
      <c r="B21">
        <v>0</v>
      </c>
      <c r="C21">
        <v>0</v>
      </c>
      <c r="D21">
        <v>0</v>
      </c>
      <c r="E21">
        <v>0</v>
      </c>
      <c r="F21">
        <v>0</v>
      </c>
      <c r="G21">
        <v>0</v>
      </c>
      <c r="H21">
        <v>0</v>
      </c>
      <c r="I21">
        <v>0</v>
      </c>
      <c r="J21">
        <v>0</v>
      </c>
      <c r="K21">
        <v>0</v>
      </c>
      <c r="L21">
        <v>0</v>
      </c>
      <c r="M21">
        <v>0</v>
      </c>
      <c r="N21">
        <v>0</v>
      </c>
      <c r="O21">
        <v>0</v>
      </c>
      <c r="P21">
        <v>0</v>
      </c>
      <c r="Q21">
        <v>0</v>
      </c>
      <c r="R21">
        <v>0</v>
      </c>
      <c r="S21">
        <v>0</v>
      </c>
      <c r="T21">
        <v>0</v>
      </c>
      <c r="U21">
        <v>0</v>
      </c>
      <c r="V21">
        <v>0</v>
      </c>
      <c r="W21">
        <v>0</v>
      </c>
      <c r="X21">
        <v>0</v>
      </c>
      <c r="Y21">
        <v>0</v>
      </c>
      <c r="Z21">
        <v>0</v>
      </c>
      <c r="AA21">
        <v>0</v>
      </c>
      <c r="AB21">
        <v>0</v>
      </c>
      <c r="AC21">
        <v>0</v>
      </c>
      <c r="AD21">
        <v>0</v>
      </c>
      <c r="AE21">
        <v>0</v>
      </c>
      <c r="AF21">
        <v>0</v>
      </c>
      <c r="AG21">
        <v>0</v>
      </c>
      <c r="AH21">
        <v>0</v>
      </c>
      <c r="AI21">
        <v>0</v>
      </c>
      <c r="AJ21">
        <v>0</v>
      </c>
      <c r="AK21">
        <v>0</v>
      </c>
      <c r="AL21">
        <v>0</v>
      </c>
      <c r="AM21">
        <v>0</v>
      </c>
      <c r="AN21">
        <v>0</v>
      </c>
      <c r="AO21">
        <v>0</v>
      </c>
    </row>
    <row r="22" spans="1:41">
      <c r="A22" t="s">
        <v>205</v>
      </c>
      <c r="B22">
        <v>0</v>
      </c>
      <c r="C22">
        <v>0</v>
      </c>
      <c r="D22">
        <v>0</v>
      </c>
      <c r="E22">
        <v>0</v>
      </c>
      <c r="F22">
        <v>0</v>
      </c>
      <c r="G22">
        <v>0</v>
      </c>
      <c r="H22">
        <v>0</v>
      </c>
      <c r="I22">
        <v>0</v>
      </c>
      <c r="J22">
        <v>0</v>
      </c>
      <c r="K22">
        <v>0</v>
      </c>
      <c r="L22">
        <v>0</v>
      </c>
      <c r="M22">
        <v>0</v>
      </c>
      <c r="N22">
        <v>0</v>
      </c>
      <c r="O22">
        <v>0</v>
      </c>
      <c r="P22">
        <v>0</v>
      </c>
      <c r="Q22">
        <v>0</v>
      </c>
      <c r="R22">
        <v>0</v>
      </c>
      <c r="S22">
        <v>0</v>
      </c>
      <c r="T22">
        <v>0</v>
      </c>
      <c r="U22">
        <v>0</v>
      </c>
      <c r="V22">
        <v>0</v>
      </c>
      <c r="W22">
        <v>0</v>
      </c>
      <c r="X22">
        <v>0</v>
      </c>
      <c r="Y22">
        <v>0</v>
      </c>
      <c r="Z22">
        <v>0</v>
      </c>
      <c r="AA22">
        <v>0</v>
      </c>
      <c r="AB22">
        <v>0</v>
      </c>
      <c r="AC22">
        <v>0</v>
      </c>
      <c r="AD22">
        <v>0</v>
      </c>
      <c r="AE22">
        <v>0</v>
      </c>
      <c r="AF22">
        <v>0</v>
      </c>
      <c r="AG22">
        <v>0</v>
      </c>
      <c r="AH22">
        <v>0</v>
      </c>
      <c r="AI22">
        <v>0</v>
      </c>
      <c r="AJ22">
        <v>0</v>
      </c>
      <c r="AK22">
        <v>0</v>
      </c>
      <c r="AL22">
        <v>0</v>
      </c>
      <c r="AM22">
        <v>0</v>
      </c>
      <c r="AN22">
        <v>0</v>
      </c>
      <c r="AO22">
        <v>0</v>
      </c>
    </row>
    <row r="23" spans="1:41">
      <c r="A23" t="s">
        <v>314</v>
      </c>
      <c r="B23">
        <v>0.15178092000000001</v>
      </c>
      <c r="C23">
        <v>0.15178092000000001</v>
      </c>
      <c r="D23">
        <v>0.15178092000000001</v>
      </c>
      <c r="E23">
        <v>0.15178092000000001</v>
      </c>
      <c r="F23">
        <v>0.15178092000000001</v>
      </c>
      <c r="G23">
        <v>0.15178092000000001</v>
      </c>
      <c r="H23">
        <v>0.15178092000000001</v>
      </c>
      <c r="I23">
        <v>0.15178092000000001</v>
      </c>
      <c r="J23">
        <v>0.15178092000000001</v>
      </c>
      <c r="K23">
        <v>0.15178092000000001</v>
      </c>
      <c r="L23">
        <v>0.15178092000000001</v>
      </c>
      <c r="M23">
        <v>0.15178092000000001</v>
      </c>
      <c r="N23">
        <v>0.15178092000000001</v>
      </c>
      <c r="O23">
        <v>0.15178092000000001</v>
      </c>
      <c r="P23">
        <v>0.15178092000000001</v>
      </c>
      <c r="Q23">
        <v>0.15178092000000001</v>
      </c>
      <c r="R23">
        <v>0.15178092000000001</v>
      </c>
      <c r="S23">
        <v>0.15178092000000001</v>
      </c>
      <c r="T23">
        <v>0.15178092000000001</v>
      </c>
      <c r="U23">
        <v>0.15178092000000001</v>
      </c>
      <c r="V23">
        <v>0.15178092000000001</v>
      </c>
      <c r="W23">
        <v>0.15178092000000001</v>
      </c>
      <c r="X23">
        <v>0.15178092000000001</v>
      </c>
      <c r="Y23">
        <v>0.15178092000000001</v>
      </c>
      <c r="Z23">
        <v>0.15178092000000001</v>
      </c>
      <c r="AA23">
        <v>0.15178092000000001</v>
      </c>
      <c r="AB23">
        <v>0.15178092000000001</v>
      </c>
      <c r="AC23">
        <v>0.15178092000000001</v>
      </c>
      <c r="AD23">
        <v>0.15178092000000001</v>
      </c>
      <c r="AE23">
        <v>0.15178092000000001</v>
      </c>
      <c r="AF23">
        <v>0.15178092000000001</v>
      </c>
      <c r="AG23">
        <v>0.15178092000000001</v>
      </c>
      <c r="AH23">
        <v>0.15178092000000001</v>
      </c>
      <c r="AI23">
        <v>0.15178092000000001</v>
      </c>
      <c r="AJ23">
        <v>0.15178092000000001</v>
      </c>
      <c r="AK23">
        <v>0.15178092000000001</v>
      </c>
      <c r="AL23">
        <v>0.15178092000000001</v>
      </c>
      <c r="AM23">
        <v>0.15178092000000001</v>
      </c>
      <c r="AN23">
        <v>0.15178092000000001</v>
      </c>
      <c r="AO23">
        <v>0.15178092000000001</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J257"/>
  <sheetViews>
    <sheetView workbookViewId="0"/>
  </sheetViews>
  <sheetFormatPr defaultRowHeight="14.4"/>
  <cols>
    <col min="2" max="3" width="12.5546875" bestFit="1" customWidth="1"/>
    <col min="4" max="4" width="16.33203125" customWidth="1"/>
    <col min="5" max="5" width="12.5546875" bestFit="1" customWidth="1"/>
    <col min="6" max="6" width="11.5546875" bestFit="1" customWidth="1"/>
    <col min="7" max="7" width="15.5546875" bestFit="1" customWidth="1"/>
    <col min="8" max="8" width="12.5546875" bestFit="1" customWidth="1"/>
    <col min="9" max="9" width="11.5546875" bestFit="1" customWidth="1"/>
    <col min="10" max="10" width="15.5546875" bestFit="1" customWidth="1"/>
  </cols>
  <sheetData>
    <row r="1" spans="1:10" s="70" customFormat="1" ht="15" thickBot="1">
      <c r="A1" s="282" t="s">
        <v>369</v>
      </c>
      <c r="B1" s="283"/>
      <c r="C1" s="283"/>
      <c r="D1" s="284"/>
    </row>
    <row r="2" spans="1:10">
      <c r="A2" s="61"/>
      <c r="B2" s="395" t="s">
        <v>180</v>
      </c>
      <c r="C2" s="395"/>
      <c r="D2" s="395"/>
      <c r="E2" s="396" t="s">
        <v>181</v>
      </c>
      <c r="F2" s="396"/>
      <c r="G2" s="396"/>
      <c r="H2" s="396" t="s">
        <v>184</v>
      </c>
      <c r="I2" s="396"/>
      <c r="J2" s="396"/>
    </row>
    <row r="3" spans="1:10">
      <c r="A3" s="57" t="s">
        <v>182</v>
      </c>
      <c r="B3" s="59" t="s">
        <v>3</v>
      </c>
      <c r="C3" s="59" t="s">
        <v>4</v>
      </c>
      <c r="D3" s="59" t="s">
        <v>183</v>
      </c>
      <c r="E3" s="59" t="s">
        <v>3</v>
      </c>
      <c r="F3" s="59" t="s">
        <v>4</v>
      </c>
      <c r="G3" s="59" t="s">
        <v>183</v>
      </c>
      <c r="H3" s="64" t="s">
        <v>3</v>
      </c>
      <c r="I3" s="64" t="s">
        <v>4</v>
      </c>
      <c r="J3" s="64" t="s">
        <v>183</v>
      </c>
    </row>
    <row r="4" spans="1:10">
      <c r="A4" s="58">
        <v>2011</v>
      </c>
      <c r="B4" s="60">
        <v>67589620.938434899</v>
      </c>
      <c r="C4" s="60">
        <v>61025192.007822327</v>
      </c>
      <c r="D4" s="60">
        <v>45576604.453742757</v>
      </c>
      <c r="E4" s="60">
        <v>66361337.366384834</v>
      </c>
      <c r="F4" s="60">
        <v>59916201.606874757</v>
      </c>
      <c r="G4" s="60">
        <v>44748356.066740446</v>
      </c>
      <c r="H4" s="65">
        <v>64618903.518131681</v>
      </c>
      <c r="I4" s="65">
        <v>58342996.154998772</v>
      </c>
      <c r="J4" s="65">
        <v>43573409.126869567</v>
      </c>
    </row>
    <row r="5" spans="1:10">
      <c r="A5" s="58">
        <v>2012</v>
      </c>
      <c r="B5" s="60">
        <v>68481491.489715561</v>
      </c>
      <c r="C5" s="60">
        <v>62436143.392574497</v>
      </c>
      <c r="D5" s="60">
        <v>45886653.778709903</v>
      </c>
      <c r="E5" s="60">
        <v>67038270.202467538</v>
      </c>
      <c r="F5" s="60">
        <v>61120325.508389451</v>
      </c>
      <c r="G5" s="60">
        <v>44919610.069623053</v>
      </c>
      <c r="H5" s="65">
        <v>65020046.233294405</v>
      </c>
      <c r="I5" s="65">
        <v>59280264.516777605</v>
      </c>
      <c r="J5" s="65">
        <v>43567280.520327985</v>
      </c>
    </row>
    <row r="6" spans="1:10">
      <c r="A6" s="58">
        <v>2013</v>
      </c>
      <c r="B6" s="60">
        <v>69385130.609442055</v>
      </c>
      <c r="C6" s="60">
        <v>63879717.105002075</v>
      </c>
      <c r="D6" s="60">
        <v>46191505.27647081</v>
      </c>
      <c r="E6" s="60">
        <v>67722108.234900281</v>
      </c>
      <c r="F6" s="60">
        <v>62348648.446747497</v>
      </c>
      <c r="G6" s="60">
        <v>45084387.568198003</v>
      </c>
      <c r="H6" s="65">
        <v>65423679.171428554</v>
      </c>
      <c r="I6" s="65">
        <v>60232589.90407598</v>
      </c>
      <c r="J6" s="65">
        <v>43554262.92505867</v>
      </c>
    </row>
    <row r="7" spans="1:10">
      <c r="A7" s="58">
        <v>2014</v>
      </c>
      <c r="B7" s="60">
        <v>70300693.588315561</v>
      </c>
      <c r="C7" s="60">
        <v>65356667.399485804</v>
      </c>
      <c r="D7" s="60">
        <v>46490837.297977269</v>
      </c>
      <c r="E7" s="60">
        <v>68412921.90159671</v>
      </c>
      <c r="F7" s="60">
        <v>63601656.745144881</v>
      </c>
      <c r="G7" s="60">
        <v>45242427.334102303</v>
      </c>
      <c r="H7" s="65">
        <v>65829817.791397542</v>
      </c>
      <c r="I7" s="65">
        <v>61200214.204945095</v>
      </c>
      <c r="J7" s="65">
        <v>43534184.260225065</v>
      </c>
    </row>
    <row r="8" spans="1:10">
      <c r="A8" s="58">
        <v>2015</v>
      </c>
      <c r="B8" s="60">
        <v>71228337.766156629</v>
      </c>
      <c r="C8" s="60">
        <v>66867765.969372675</v>
      </c>
      <c r="D8" s="60">
        <v>46784317.524535999</v>
      </c>
      <c r="E8" s="60">
        <v>69110782.358987242</v>
      </c>
      <c r="F8" s="60">
        <v>64879846.500317484</v>
      </c>
      <c r="G8" s="60">
        <v>45393461.193309322</v>
      </c>
      <c r="H8" s="65">
        <v>66238477.648030676</v>
      </c>
      <c r="I8" s="65">
        <v>62183383.193318509</v>
      </c>
      <c r="J8" s="65">
        <v>43506869.145271085</v>
      </c>
    </row>
    <row r="9" spans="1:10">
      <c r="A9" s="58">
        <v>2016</v>
      </c>
      <c r="B9" s="60">
        <v>72168222.558944151</v>
      </c>
      <c r="C9" s="60">
        <v>68413802.350178778</v>
      </c>
      <c r="D9" s="60">
        <v>47071602.669843368</v>
      </c>
      <c r="E9" s="60">
        <v>69815761.489348501</v>
      </c>
      <c r="F9" s="60">
        <v>66183723.778957807</v>
      </c>
      <c r="G9" s="60">
        <v>45537213.864939131</v>
      </c>
      <c r="H9" s="65">
        <v>66649674.392718881</v>
      </c>
      <c r="I9" s="65">
        <v>63182346.591437958</v>
      </c>
      <c r="J9" s="65">
        <v>43472138.842356391</v>
      </c>
    </row>
    <row r="10" spans="1:10">
      <c r="A10" s="58">
        <v>2017</v>
      </c>
      <c r="B10" s="60">
        <v>73120509.486210972</v>
      </c>
      <c r="C10" s="60">
        <v>69995584.332114577</v>
      </c>
      <c r="D10" s="60">
        <v>47352338.17432522</v>
      </c>
      <c r="E10" s="60">
        <v>70527931.908207446</v>
      </c>
      <c r="F10" s="60">
        <v>67513804.818079367</v>
      </c>
      <c r="G10" s="60">
        <v>45673402.796557553</v>
      </c>
      <c r="H10" s="65">
        <v>67063423.774014175</v>
      </c>
      <c r="I10" s="65">
        <v>64197358.133282237</v>
      </c>
      <c r="J10" s="65">
        <v>43429811.197828919</v>
      </c>
    </row>
    <row r="11" spans="1:10">
      <c r="A11" s="58">
        <v>2018</v>
      </c>
      <c r="B11" s="60">
        <v>74085362.19880113</v>
      </c>
      <c r="C11" s="60">
        <v>71613938.382148117</v>
      </c>
      <c r="D11" s="60">
        <v>47626157.891591243</v>
      </c>
      <c r="E11" s="60">
        <v>71247366.971821085</v>
      </c>
      <c r="F11" s="60">
        <v>68870616.229407549</v>
      </c>
      <c r="G11" s="60">
        <v>45801737.99588988</v>
      </c>
      <c r="H11" s="65">
        <v>67479741.638232797</v>
      </c>
      <c r="I11" s="65">
        <v>65228675.629014857</v>
      </c>
      <c r="J11" s="65">
        <v>43379700.582718693</v>
      </c>
    </row>
    <row r="12" spans="1:10">
      <c r="A12" s="58">
        <v>2019</v>
      </c>
      <c r="B12" s="60">
        <v>75062946.506993338</v>
      </c>
      <c r="C12" s="60">
        <v>73269710.075826645</v>
      </c>
      <c r="D12" s="60">
        <v>47892683.766808614</v>
      </c>
      <c r="E12" s="60">
        <v>71974140.784732372</v>
      </c>
      <c r="F12" s="60">
        <v>70254695.207878053</v>
      </c>
      <c r="G12" s="60">
        <v>45921921.858873509</v>
      </c>
      <c r="H12" s="65">
        <v>67898643.93006207</v>
      </c>
      <c r="I12" s="65">
        <v>66276561.030467153</v>
      </c>
      <c r="J12" s="65">
        <v>43321617.832236834</v>
      </c>
    </row>
    <row r="13" spans="1:10">
      <c r="A13" s="58">
        <v>2020</v>
      </c>
      <c r="B13" s="60">
        <v>75795311.851512372</v>
      </c>
      <c r="C13" s="60">
        <v>74694983.989000916</v>
      </c>
      <c r="D13" s="60">
        <v>47932464.159486711</v>
      </c>
      <c r="E13" s="60">
        <v>73014600</v>
      </c>
      <c r="F13" s="60">
        <v>71954640</v>
      </c>
      <c r="G13" s="60">
        <v>46173960</v>
      </c>
      <c r="H13" s="65">
        <v>68473774.509624198</v>
      </c>
      <c r="I13" s="65">
        <v>67479734.111824021</v>
      </c>
      <c r="J13" s="65">
        <v>43302371.378551789</v>
      </c>
    </row>
    <row r="14" spans="1:10">
      <c r="A14" s="58">
        <v>2021</v>
      </c>
      <c r="B14" s="60">
        <v>77646291.923808932</v>
      </c>
      <c r="C14" s="60">
        <v>75985518.699069455</v>
      </c>
      <c r="D14" s="60">
        <v>48957827.337121598</v>
      </c>
      <c r="E14" s="60">
        <v>74358117.56582579</v>
      </c>
      <c r="F14" s="60">
        <v>72767674.962120622</v>
      </c>
      <c r="G14" s="60">
        <v>46884555.472053602</v>
      </c>
      <c r="H14" s="65">
        <v>69184112.323747784</v>
      </c>
      <c r="I14" s="65">
        <v>67704336.297387198</v>
      </c>
      <c r="J14" s="65">
        <v>43622222.538865015</v>
      </c>
    </row>
    <row r="15" spans="1:10">
      <c r="A15" s="58">
        <v>2022</v>
      </c>
      <c r="B15" s="60">
        <v>79542474.359475285</v>
      </c>
      <c r="C15" s="60">
        <v>77298350.486517876</v>
      </c>
      <c r="D15" s="60">
        <v>50003195.511166818</v>
      </c>
      <c r="E15" s="60">
        <v>75726356.755130723</v>
      </c>
      <c r="F15" s="60">
        <v>73589896.626441821</v>
      </c>
      <c r="G15" s="60">
        <v>47604249.838427432</v>
      </c>
      <c r="H15" s="65">
        <v>69901819.08771804</v>
      </c>
      <c r="I15" s="65">
        <v>67929686.05764702</v>
      </c>
      <c r="J15" s="65">
        <v>43942740.712754905</v>
      </c>
    </row>
    <row r="16" spans="1:10">
      <c r="A16" s="58">
        <v>2023</v>
      </c>
      <c r="B16" s="60">
        <v>81484963.035146728</v>
      </c>
      <c r="C16" s="60">
        <v>78633864.586749628</v>
      </c>
      <c r="D16" s="60">
        <v>51068917.162763946</v>
      </c>
      <c r="E16" s="60">
        <v>77119772.462352395</v>
      </c>
      <c r="F16" s="60">
        <v>74421408.795999482</v>
      </c>
      <c r="G16" s="60">
        <v>48333129.509948082</v>
      </c>
      <c r="H16" s="65">
        <v>70626971.246038929</v>
      </c>
      <c r="I16" s="65">
        <v>68155785.880860403</v>
      </c>
      <c r="J16" s="65">
        <v>44263908.452227458</v>
      </c>
    </row>
    <row r="17" spans="1:10">
      <c r="A17" s="58">
        <v>2024</v>
      </c>
      <c r="B17" s="60">
        <v>83474888.784978822</v>
      </c>
      <c r="C17" s="60">
        <v>79992452.891032204</v>
      </c>
      <c r="D17" s="60">
        <v>52155345.749127135</v>
      </c>
      <c r="E17" s="60">
        <v>78538827.952290803</v>
      </c>
      <c r="F17" s="60">
        <v>75262316.446728036</v>
      </c>
      <c r="G17" s="60">
        <v>49071281.030805588</v>
      </c>
      <c r="H17" s="65">
        <v>71359646.036239505</v>
      </c>
      <c r="I17" s="65">
        <v>68382638.263566151</v>
      </c>
      <c r="J17" s="65">
        <v>44585707.938375004</v>
      </c>
    </row>
    <row r="18" spans="1:10">
      <c r="A18" s="58">
        <v>2025</v>
      </c>
      <c r="B18" s="60">
        <v>85513410.058970824</v>
      </c>
      <c r="C18" s="60">
        <v>81374514.061493143</v>
      </c>
      <c r="D18" s="60">
        <v>53262839.740602069</v>
      </c>
      <c r="E18" s="60">
        <v>79983995.014128715</v>
      </c>
      <c r="F18" s="60">
        <v>76112725.740713477</v>
      </c>
      <c r="G18" s="60">
        <v>49818791.056429595</v>
      </c>
      <c r="H18" s="65">
        <v>72099921.497100651</v>
      </c>
      <c r="I18" s="65">
        <v>68610245.710612714</v>
      </c>
      <c r="J18" s="65">
        <v>44908120.976134539</v>
      </c>
    </row>
    <row r="19" spans="1:10">
      <c r="A19" s="58">
        <v>2026</v>
      </c>
      <c r="B19" s="60">
        <v>87601713.59736602</v>
      </c>
      <c r="C19" s="60">
        <v>82780453.648102909</v>
      </c>
      <c r="D19" s="60">
        <v>54391762.656679481</v>
      </c>
      <c r="E19" s="60">
        <v>81455754.118286029</v>
      </c>
      <c r="F19" s="60">
        <v>76972744.039595917</v>
      </c>
      <c r="G19" s="60">
        <v>50575746.330558889</v>
      </c>
      <c r="H19" s="65">
        <v>72847876.476967216</v>
      </c>
      <c r="I19" s="65">
        <v>68838610.735185787</v>
      </c>
      <c r="J19" s="65">
        <v>45231128.988981813</v>
      </c>
    </row>
    <row r="20" spans="1:10">
      <c r="A20" s="58">
        <v>2027</v>
      </c>
      <c r="B20" s="60">
        <v>89741015.121521175</v>
      </c>
      <c r="C20" s="60">
        <v>84210684.207678765</v>
      </c>
      <c r="D20" s="60">
        <v>55542483.100893587</v>
      </c>
      <c r="E20" s="60">
        <v>82954594.576160237</v>
      </c>
      <c r="F20" s="60">
        <v>77842479.918123752</v>
      </c>
      <c r="G20" s="60">
        <v>51342233.661483444</v>
      </c>
      <c r="H20" s="65">
        <v>73603590.6421462</v>
      </c>
      <c r="I20" s="65">
        <v>69067735.858836025</v>
      </c>
      <c r="J20" s="65">
        <v>45554713.013560548</v>
      </c>
    </row>
    <row r="21" spans="1:10">
      <c r="A21" s="58">
        <v>2028</v>
      </c>
      <c r="B21" s="60">
        <v>91932560.041647866</v>
      </c>
      <c r="C21" s="60">
        <v>85665625.424944907</v>
      </c>
      <c r="D21" s="60">
        <v>56715374.794532716</v>
      </c>
      <c r="E21" s="60">
        <v>84481014.702806532</v>
      </c>
      <c r="F21" s="60">
        <v>78722043.177860841</v>
      </c>
      <c r="G21" s="60">
        <v>52118339.897436589</v>
      </c>
      <c r="H21" s="65">
        <v>74367144.485392287</v>
      </c>
      <c r="I21" s="65">
        <v>69297623.611506894</v>
      </c>
      <c r="J21" s="65">
        <v>45878853.694245368</v>
      </c>
    </row>
    <row r="22" spans="1:10">
      <c r="A22" s="58">
        <v>2029</v>
      </c>
      <c r="B22" s="60">
        <v>94177624.181837186</v>
      </c>
      <c r="C22" s="60">
        <v>87145704.235684067</v>
      </c>
      <c r="D22" s="60">
        <v>57910816.609087832</v>
      </c>
      <c r="E22" s="60">
        <v>86035521.982610926</v>
      </c>
      <c r="F22" s="60">
        <v>79611544.861048609</v>
      </c>
      <c r="G22" s="60">
        <v>52904151.901115961</v>
      </c>
      <c r="H22" s="65">
        <v>75138619.334481284</v>
      </c>
      <c r="I22" s="65">
        <v>69528276.531562671</v>
      </c>
      <c r="J22" s="65">
        <v>46203531.277638592</v>
      </c>
    </row>
    <row r="23" spans="1:10">
      <c r="A23" s="58">
        <v>2030</v>
      </c>
      <c r="B23" s="60">
        <v>96091085.156083077</v>
      </c>
      <c r="C23" s="60">
        <v>88230224.379821956</v>
      </c>
      <c r="D23" s="60">
        <v>58865050.464094967</v>
      </c>
      <c r="E23" s="60">
        <v>87486120</v>
      </c>
      <c r="F23" s="60">
        <v>80329200</v>
      </c>
      <c r="G23" s="60">
        <v>53593680.000000007</v>
      </c>
      <c r="H23" s="65">
        <v>76184747.821958452</v>
      </c>
      <c r="I23" s="65">
        <v>69952351.810089022</v>
      </c>
      <c r="J23" s="65">
        <v>46670500.367952533</v>
      </c>
    </row>
    <row r="24" spans="1:10">
      <c r="A24" s="58">
        <v>2031</v>
      </c>
      <c r="B24" s="62">
        <v>98043423.017825022</v>
      </c>
      <c r="C24" s="62">
        <v>89328241.275788948</v>
      </c>
      <c r="D24" s="62">
        <v>59835007.845437221</v>
      </c>
      <c r="E24" s="62">
        <v>88961175.759488657</v>
      </c>
      <c r="F24" s="62">
        <v>81053324.412966385</v>
      </c>
      <c r="G24" s="62">
        <v>54292195.087278448</v>
      </c>
      <c r="H24" s="66">
        <v>77245441.187284127</v>
      </c>
      <c r="I24" s="66">
        <v>70379013.659875706</v>
      </c>
      <c r="J24" s="66">
        <v>47142189.013791323</v>
      </c>
    </row>
    <row r="25" spans="1:10">
      <c r="A25" s="58">
        <v>2032</v>
      </c>
      <c r="B25" s="62">
        <v>100035427.65115352</v>
      </c>
      <c r="C25" s="62">
        <v>90439922.889400065</v>
      </c>
      <c r="D25" s="62">
        <v>60820947.839793533</v>
      </c>
      <c r="E25" s="62">
        <v>90461101.6297286</v>
      </c>
      <c r="F25" s="62">
        <v>81783976.416963845</v>
      </c>
      <c r="G25" s="62">
        <v>54999814.295176245</v>
      </c>
      <c r="H25" s="66">
        <v>78320902.212113976</v>
      </c>
      <c r="I25" s="66">
        <v>70808277.857251182</v>
      </c>
      <c r="J25" s="66">
        <v>47618644.914681137</v>
      </c>
    </row>
    <row r="26" spans="1:10">
      <c r="A26" s="58">
        <v>2033</v>
      </c>
      <c r="B26" s="62">
        <v>102067904.98868862</v>
      </c>
      <c r="C26" s="62">
        <v>91565439.276789233</v>
      </c>
      <c r="D26" s="62">
        <v>61823133.802981034</v>
      </c>
      <c r="E26" s="62">
        <v>91986316.932094485</v>
      </c>
      <c r="F26" s="62">
        <v>82521214.854704916</v>
      </c>
      <c r="G26" s="62">
        <v>55716656.282565296</v>
      </c>
      <c r="H26" s="66">
        <v>79411336.501361117</v>
      </c>
      <c r="I26" s="66">
        <v>71240160.274768814</v>
      </c>
      <c r="J26" s="66">
        <v>48099916.25223697</v>
      </c>
    </row>
    <row r="27" spans="1:10">
      <c r="A27" s="58">
        <v>2034</v>
      </c>
      <c r="B27" s="62">
        <v>104141677.33764705</v>
      </c>
      <c r="C27" s="62">
        <v>92704962.610423043</v>
      </c>
      <c r="D27" s="62">
        <v>62841833.430300437</v>
      </c>
      <c r="E27" s="62">
        <v>93537248.05791004</v>
      </c>
      <c r="F27" s="62">
        <v>83265099.099337459</v>
      </c>
      <c r="G27" s="62">
        <v>56442841.25486201</v>
      </c>
      <c r="H27" s="66">
        <v>80516952.522503346</v>
      </c>
      <c r="I27" s="66">
        <v>71674676.881793723</v>
      </c>
      <c r="J27" s="66">
        <v>48586051.695034914</v>
      </c>
    </row>
    <row r="28" spans="1:10">
      <c r="A28" s="58">
        <v>2035</v>
      </c>
      <c r="B28" s="62">
        <v>106257583.7125344</v>
      </c>
      <c r="C28" s="62">
        <v>93858667.205438361</v>
      </c>
      <c r="D28" s="62">
        <v>63877318.828040473</v>
      </c>
      <c r="E28" s="62">
        <v>95114328.587650523</v>
      </c>
      <c r="F28" s="62">
        <v>84015689.059226215</v>
      </c>
      <c r="G28" s="62">
        <v>57178490.984184258</v>
      </c>
      <c r="H28" s="66">
        <v>81637961.645437613</v>
      </c>
      <c r="I28" s="66">
        <v>72111843.745093361</v>
      </c>
      <c r="J28" s="66">
        <v>49077100.403533906</v>
      </c>
    </row>
    <row r="29" spans="1:10">
      <c r="A29" s="58">
        <v>2036</v>
      </c>
      <c r="B29" s="62">
        <v>108416480.1745967</v>
      </c>
      <c r="C29" s="62">
        <v>95026729.546307608</v>
      </c>
      <c r="D29" s="62">
        <v>64929866.586160578</v>
      </c>
      <c r="E29" s="62">
        <v>96717999.412155136</v>
      </c>
      <c r="F29" s="62">
        <v>84773045.182777524</v>
      </c>
      <c r="G29" s="62">
        <v>57923728.829771027</v>
      </c>
      <c r="H29" s="66">
        <v>82774578.182889327</v>
      </c>
      <c r="I29" s="66">
        <v>72551677.029431522</v>
      </c>
      <c r="J29" s="66">
        <v>49573112.035046913</v>
      </c>
    </row>
    <row r="30" spans="1:10">
      <c r="A30" s="58">
        <v>2037</v>
      </c>
      <c r="B30" s="62">
        <v>110619240.1781688</v>
      </c>
      <c r="C30" s="62">
        <v>96209328.313835979</v>
      </c>
      <c r="D30" s="62">
        <v>65999757.852171287</v>
      </c>
      <c r="E30" s="62">
        <v>98348708.855883107</v>
      </c>
      <c r="F30" s="62">
        <v>85537228.463307545</v>
      </c>
      <c r="G30" s="62">
        <v>58678679.758668244</v>
      </c>
      <c r="H30" s="66">
        <v>83927019.431384429</v>
      </c>
      <c r="I30" s="66">
        <v>72994192.998166099</v>
      </c>
      <c r="J30" s="66">
        <v>50074136.748762704</v>
      </c>
    </row>
    <row r="31" spans="1:10">
      <c r="A31" s="58">
        <v>2038</v>
      </c>
      <c r="B31" s="62">
        <v>112866754.92405978</v>
      </c>
      <c r="C31" s="62">
        <v>97406644.412494659</v>
      </c>
      <c r="D31" s="62">
        <v>67087278.406231843</v>
      </c>
      <c r="E31" s="62">
        <v>100006912.8022479</v>
      </c>
      <c r="F31" s="62">
        <v>86308300.443954229</v>
      </c>
      <c r="G31" s="62">
        <v>59443470.366684146</v>
      </c>
      <c r="H31" s="66">
        <v>85095505.712791666</v>
      </c>
      <c r="I31" s="66">
        <v>73439408.013850406</v>
      </c>
      <c r="J31" s="66">
        <v>50580225.210818037</v>
      </c>
    </row>
    <row r="32" spans="1:10">
      <c r="A32" s="58">
        <v>2039</v>
      </c>
      <c r="B32" s="62">
        <v>115159933.72011836</v>
      </c>
      <c r="C32" s="62">
        <v>98618860.998093978</v>
      </c>
      <c r="D32" s="62">
        <v>68192718.737485424</v>
      </c>
      <c r="E32" s="62">
        <v>101693074.82106453</v>
      </c>
      <c r="F32" s="62">
        <v>87086323.222633764</v>
      </c>
      <c r="G32" s="62">
        <v>60218228.899617828</v>
      </c>
      <c r="H32" s="66">
        <v>86280260.416443467</v>
      </c>
      <c r="I32" s="66">
        <v>73887338.538838282</v>
      </c>
      <c r="J32" s="66">
        <v>51091428.599421397</v>
      </c>
    </row>
    <row r="33" spans="1:10">
      <c r="A33" s="58">
        <v>2040</v>
      </c>
      <c r="B33" s="62">
        <v>117499704.34912395</v>
      </c>
      <c r="C33" s="62">
        <v>99846163.505801186</v>
      </c>
      <c r="D33" s="62">
        <v>69316374.121652037</v>
      </c>
      <c r="E33" s="62">
        <v>103407666.29814595</v>
      </c>
      <c r="F33" s="62">
        <v>87871359.457041562</v>
      </c>
      <c r="G33" s="62">
        <v>61003085.274764486</v>
      </c>
      <c r="H33" s="66">
        <v>87481510.041843101</v>
      </c>
      <c r="I33" s="66">
        <v>74338001.13589263</v>
      </c>
      <c r="J33" s="66">
        <v>51607798.610028327</v>
      </c>
    </row>
    <row r="34" spans="1:10">
      <c r="A34" s="58">
        <v>2041</v>
      </c>
      <c r="B34" s="62">
        <v>119887013.4441525</v>
      </c>
      <c r="C34" s="62">
        <v>101088739.67850697</v>
      </c>
      <c r="D34" s="62">
        <v>70458544.69990012</v>
      </c>
      <c r="E34" s="62">
        <v>105151166.56708416</v>
      </c>
      <c r="F34" s="62">
        <v>88663472.369698331</v>
      </c>
      <c r="G34" s="62">
        <v>61798171.10270083</v>
      </c>
      <c r="H34" s="66">
        <v>88699484.241966516</v>
      </c>
      <c r="I34" s="66">
        <v>74791412.468798116</v>
      </c>
      <c r="J34" s="66">
        <v>52129387.460569143</v>
      </c>
    </row>
    <row r="35" spans="1:10">
      <c r="A35" s="58">
        <v>2042</v>
      </c>
      <c r="B35" s="62">
        <v>122322826.87156874</v>
      </c>
      <c r="C35" s="62">
        <v>102346779.5955447</v>
      </c>
      <c r="D35" s="62">
        <v>71619535.559017554</v>
      </c>
      <c r="E35" s="62">
        <v>106924063.04325351</v>
      </c>
      <c r="F35" s="62">
        <v>89462725.753041729</v>
      </c>
      <c r="G35" s="62">
        <v>62603619.709354669</v>
      </c>
      <c r="H35" s="66">
        <v>89934415.867167026</v>
      </c>
      <c r="I35" s="66">
        <v>75247589.302977026</v>
      </c>
      <c r="J35" s="66">
        <v>52656247.896729484</v>
      </c>
    </row>
    <row r="36" spans="1:10">
      <c r="A36" s="58">
        <v>2043</v>
      </c>
      <c r="B36" s="62">
        <v>124808130.12180005</v>
      </c>
      <c r="C36" s="62">
        <v>103620475.70176719</v>
      </c>
      <c r="D36" s="62">
        <v>72799656.812903956</v>
      </c>
      <c r="E36" s="62">
        <v>108726851.36007312</v>
      </c>
      <c r="F36" s="62">
        <v>90269183.974563837</v>
      </c>
      <c r="G36" s="62">
        <v>63419566.158361822</v>
      </c>
      <c r="H36" s="66">
        <v>91186541.009691283</v>
      </c>
      <c r="I36" s="66">
        <v>75706548.506109461</v>
      </c>
      <c r="J36" s="66">
        <v>53188433.197284251</v>
      </c>
    </row>
    <row r="37" spans="1:10">
      <c r="A37" s="58">
        <v>2044</v>
      </c>
      <c r="B37" s="62">
        <v>127343928.70804986</v>
      </c>
      <c r="C37" s="62">
        <v>104910022.83698562</v>
      </c>
      <c r="D37" s="62">
        <v>73999223.685405463</v>
      </c>
      <c r="E37" s="62">
        <v>110560035.50756694</v>
      </c>
      <c r="F37" s="62">
        <v>91082911.981994957</v>
      </c>
      <c r="G37" s="62">
        <v>64246147.273714773</v>
      </c>
      <c r="H37" s="66">
        <v>92456099.048814952</v>
      </c>
      <c r="I37" s="66">
        <v>76168307.048756808</v>
      </c>
      <c r="J37" s="66">
        <v>53725997.179485328</v>
      </c>
    </row>
    <row r="38" spans="1:10">
      <c r="A38" s="58">
        <v>2045</v>
      </c>
      <c r="B38" s="62">
        <v>129931248.5731118</v>
      </c>
      <c r="C38" s="62">
        <v>106215618.26577424</v>
      </c>
      <c r="D38" s="62">
        <v>75218556.594514877</v>
      </c>
      <c r="E38" s="62">
        <v>112424127.97325985</v>
      </c>
      <c r="F38" s="62">
        <v>91903975.308534145</v>
      </c>
      <c r="G38" s="62">
        <v>65083501.662706196</v>
      </c>
      <c r="H38" s="66">
        <v>93743332.696606934</v>
      </c>
      <c r="I38" s="66">
        <v>76632882.00498946</v>
      </c>
      <c r="J38" s="66">
        <v>54268994.204503983</v>
      </c>
    </row>
    <row r="39" spans="1:10">
      <c r="A39" s="58">
        <v>2046</v>
      </c>
      <c r="B39" s="62">
        <v>132571136.50444952</v>
      </c>
      <c r="C39" s="62">
        <v>107537461.70764668</v>
      </c>
      <c r="D39" s="62">
        <v>76457981.237958625</v>
      </c>
      <c r="E39" s="62">
        <v>114319649.88544942</v>
      </c>
      <c r="F39" s="62">
        <v>92732440.078126878</v>
      </c>
      <c r="G39" s="62">
        <v>65931769.739171773</v>
      </c>
      <c r="H39" s="66">
        <v>95048488.044330612</v>
      </c>
      <c r="I39" s="66">
        <v>77100290.553017974</v>
      </c>
      <c r="J39" s="66">
        <v>54817479.182928011</v>
      </c>
    </row>
    <row r="40" spans="1:10">
      <c r="A40" s="58">
        <v>2047</v>
      </c>
      <c r="B40" s="62">
        <v>135264660.55770984</v>
      </c>
      <c r="C40" s="62">
        <v>108875755.36760709</v>
      </c>
      <c r="D40" s="62">
        <v>77717828.680194676</v>
      </c>
      <c r="E40" s="62">
        <v>116247131.15889324</v>
      </c>
      <c r="F40" s="62">
        <v>93568373.010790408</v>
      </c>
      <c r="G40" s="62">
        <v>66791093.747035749</v>
      </c>
      <c r="H40" s="66">
        <v>96371814.609491199</v>
      </c>
      <c r="I40" s="66">
        <v>77570549.975828364</v>
      </c>
      <c r="J40" s="66">
        <v>55371507.580314696</v>
      </c>
    </row>
    <row r="41" spans="1:10">
      <c r="A41" s="58">
        <v>2048</v>
      </c>
      <c r="B41" s="62">
        <v>138012910.48884061</v>
      </c>
      <c r="C41" s="62">
        <v>110230703.96708204</v>
      </c>
      <c r="D41" s="62">
        <v>78998435.440843388</v>
      </c>
      <c r="E41" s="62">
        <v>118207110.64295264</v>
      </c>
      <c r="F41" s="62">
        <v>94411841.42798686</v>
      </c>
      <c r="G41" s="62">
        <v>67661617.784163505</v>
      </c>
      <c r="H41" s="66">
        <v>97713565.383538127</v>
      </c>
      <c r="I41" s="66">
        <v>78043677.661821097</v>
      </c>
      <c r="J41" s="66">
        <v>55931135.422799662</v>
      </c>
    </row>
    <row r="42" spans="1:10">
      <c r="A42" s="58">
        <v>2049</v>
      </c>
      <c r="B42" s="62">
        <v>140816998.19498837</v>
      </c>
      <c r="C42" s="62">
        <v>111602514.77523714</v>
      </c>
      <c r="D42" s="62">
        <v>80300143.584575862</v>
      </c>
      <c r="E42" s="62">
        <v>120200136.27223416</v>
      </c>
      <c r="F42" s="62">
        <v>95262913.258045122</v>
      </c>
      <c r="G42" s="62">
        <v>68543487.826524943</v>
      </c>
      <c r="H42" s="66">
        <v>99073996.880231515</v>
      </c>
      <c r="I42" s="66">
        <v>78519691.105454117</v>
      </c>
      <c r="J42" s="66">
        <v>56496419.302762561</v>
      </c>
    </row>
    <row r="43" spans="1:10">
      <c r="A43" s="58">
        <v>2050</v>
      </c>
      <c r="B43" s="62">
        <v>143678058.16435343</v>
      </c>
      <c r="C43" s="62">
        <v>112991397.64068346</v>
      </c>
      <c r="D43" s="62">
        <v>81623300.812483281</v>
      </c>
      <c r="E43" s="62">
        <v>122226765.21977098</v>
      </c>
      <c r="F43" s="62">
        <v>96121657.041631281</v>
      </c>
      <c r="G43" s="62">
        <v>69436851.752672836</v>
      </c>
      <c r="H43" s="66">
        <v>100453369.18468206</v>
      </c>
      <c r="I43" s="66">
        <v>78998607.907889634</v>
      </c>
      <c r="J43" s="66">
        <v>57067416.38454999</v>
      </c>
    </row>
    <row r="44" spans="1:10">
      <c r="A44" s="56"/>
      <c r="B44" s="56"/>
      <c r="C44" s="56"/>
      <c r="D44" s="56"/>
      <c r="E44" s="56"/>
      <c r="F44" s="56"/>
      <c r="G44" s="56"/>
      <c r="H44" s="63"/>
      <c r="I44" s="63"/>
      <c r="J44" s="63"/>
    </row>
    <row r="45" spans="1:10">
      <c r="A45" s="56"/>
      <c r="B45" s="56"/>
      <c r="C45" s="56"/>
      <c r="D45" s="56"/>
      <c r="E45" s="56"/>
      <c r="F45" s="56"/>
      <c r="G45" s="56"/>
      <c r="H45" s="63"/>
      <c r="I45" s="63"/>
      <c r="J45" s="63"/>
    </row>
    <row r="46" spans="1:10">
      <c r="A46" s="56"/>
      <c r="B46" s="56"/>
      <c r="C46" s="56"/>
      <c r="D46" s="56"/>
      <c r="E46" s="56"/>
      <c r="F46" s="56"/>
      <c r="G46" s="56"/>
      <c r="H46" s="63"/>
      <c r="I46" s="63"/>
      <c r="J46" s="63"/>
    </row>
    <row r="47" spans="1:10">
      <c r="A47" s="56"/>
      <c r="B47" s="56"/>
      <c r="C47" s="56"/>
      <c r="D47" s="56"/>
      <c r="E47" s="56"/>
      <c r="F47" s="56"/>
      <c r="G47" s="56"/>
      <c r="H47" s="63"/>
      <c r="I47" s="63"/>
      <c r="J47" s="63"/>
    </row>
    <row r="48" spans="1:10">
      <c r="A48" s="56"/>
      <c r="B48" s="56"/>
      <c r="C48" s="56"/>
      <c r="D48" s="56"/>
      <c r="E48" s="56"/>
      <c r="F48" s="56"/>
      <c r="G48" s="56"/>
      <c r="H48" s="63"/>
      <c r="I48" s="63"/>
      <c r="J48" s="63"/>
    </row>
    <row r="49" spans="1:10">
      <c r="A49" s="56"/>
      <c r="B49" s="56"/>
      <c r="C49" s="56"/>
      <c r="D49" s="56"/>
      <c r="E49" s="56"/>
      <c r="F49" s="56"/>
      <c r="G49" s="56"/>
      <c r="H49" s="63"/>
      <c r="I49" s="63"/>
      <c r="J49" s="63"/>
    </row>
    <row r="50" spans="1:10">
      <c r="A50" s="55"/>
      <c r="B50" s="55"/>
      <c r="C50" s="55"/>
      <c r="D50" s="55"/>
      <c r="E50" s="55"/>
      <c r="F50" s="55"/>
      <c r="G50" s="55"/>
      <c r="H50" s="56"/>
      <c r="I50" s="56"/>
      <c r="J50" s="56"/>
    </row>
    <row r="51" spans="1:10">
      <c r="A51" s="55"/>
      <c r="B51" s="55"/>
      <c r="C51" s="55"/>
      <c r="D51" s="55"/>
      <c r="E51" s="55"/>
      <c r="F51" s="55"/>
      <c r="G51" s="55"/>
      <c r="H51" s="56"/>
      <c r="I51" s="56"/>
      <c r="J51" s="56"/>
    </row>
    <row r="52" spans="1:10">
      <c r="A52" s="55"/>
      <c r="B52" s="55"/>
      <c r="C52" s="55"/>
      <c r="D52" s="55"/>
      <c r="E52" s="55"/>
      <c r="F52" s="55"/>
      <c r="G52" s="55"/>
      <c r="H52" s="56"/>
      <c r="I52" s="56"/>
      <c r="J52" s="56"/>
    </row>
    <row r="53" spans="1:10">
      <c r="A53" s="55"/>
      <c r="B53" s="55"/>
      <c r="C53" s="55"/>
      <c r="D53" s="55"/>
      <c r="E53" s="55"/>
      <c r="F53" s="55"/>
      <c r="G53" s="55"/>
      <c r="H53" s="56"/>
      <c r="I53" s="56"/>
      <c r="J53" s="56"/>
    </row>
    <row r="54" spans="1:10">
      <c r="A54" s="55"/>
      <c r="B54" s="55"/>
      <c r="C54" s="55"/>
      <c r="D54" s="55"/>
      <c r="E54" s="55"/>
      <c r="F54" s="55"/>
      <c r="G54" s="55"/>
      <c r="H54" s="56"/>
      <c r="I54" s="56"/>
      <c r="J54" s="56"/>
    </row>
    <row r="55" spans="1:10">
      <c r="A55" s="55"/>
      <c r="B55" s="55"/>
      <c r="C55" s="55"/>
      <c r="D55" s="55"/>
      <c r="E55" s="55"/>
      <c r="F55" s="55"/>
      <c r="G55" s="55"/>
      <c r="H55" s="56"/>
      <c r="I55" s="56"/>
      <c r="J55" s="56"/>
    </row>
    <row r="56" spans="1:10">
      <c r="A56" s="55"/>
      <c r="B56" s="55"/>
      <c r="C56" s="55"/>
      <c r="D56" s="55"/>
      <c r="E56" s="55"/>
      <c r="F56" s="55"/>
      <c r="G56" s="55"/>
      <c r="H56" s="56"/>
      <c r="I56" s="56"/>
      <c r="J56" s="56"/>
    </row>
    <row r="57" spans="1:10">
      <c r="A57" s="55"/>
      <c r="B57" s="55"/>
      <c r="C57" s="55"/>
      <c r="D57" s="55"/>
      <c r="E57" s="55"/>
      <c r="F57" s="55"/>
      <c r="G57" s="55"/>
      <c r="H57" s="56"/>
      <c r="I57" s="56"/>
      <c r="J57" s="56"/>
    </row>
    <row r="58" spans="1:10">
      <c r="A58" s="55"/>
      <c r="B58" s="55"/>
      <c r="C58" s="55"/>
      <c r="D58" s="55"/>
      <c r="E58" s="55"/>
      <c r="F58" s="55"/>
      <c r="G58" s="55"/>
      <c r="H58" s="56"/>
      <c r="I58" s="56"/>
      <c r="J58" s="56"/>
    </row>
    <row r="59" spans="1:10">
      <c r="A59" s="55"/>
      <c r="B59" s="55"/>
      <c r="C59" s="55"/>
      <c r="D59" s="55"/>
      <c r="E59" s="55"/>
      <c r="F59" s="55"/>
      <c r="G59" s="55"/>
      <c r="H59" s="56"/>
      <c r="I59" s="56"/>
      <c r="J59" s="56"/>
    </row>
    <row r="60" spans="1:10">
      <c r="A60" s="55"/>
      <c r="B60" s="55"/>
      <c r="C60" s="55"/>
      <c r="D60" s="55"/>
      <c r="E60" s="55"/>
      <c r="F60" s="55"/>
      <c r="G60" s="55"/>
      <c r="H60" s="56"/>
      <c r="I60" s="56"/>
      <c r="J60" s="56"/>
    </row>
    <row r="61" spans="1:10">
      <c r="A61" s="55"/>
      <c r="B61" s="55"/>
      <c r="C61" s="55"/>
      <c r="D61" s="55"/>
      <c r="E61" s="55"/>
      <c r="F61" s="55"/>
      <c r="G61" s="55"/>
      <c r="H61" s="56"/>
      <c r="I61" s="56"/>
      <c r="J61" s="56"/>
    </row>
    <row r="62" spans="1:10">
      <c r="A62" s="55"/>
      <c r="B62" s="55"/>
      <c r="C62" s="55"/>
      <c r="D62" s="55"/>
      <c r="E62" s="55"/>
      <c r="F62" s="55"/>
      <c r="G62" s="55"/>
      <c r="H62" s="56"/>
      <c r="I62" s="56"/>
      <c r="J62" s="56"/>
    </row>
    <row r="63" spans="1:10">
      <c r="A63" s="55"/>
      <c r="B63" s="55"/>
      <c r="C63" s="55"/>
      <c r="D63" s="55"/>
      <c r="E63" s="55"/>
      <c r="F63" s="55"/>
      <c r="G63" s="55"/>
      <c r="H63" s="56"/>
      <c r="I63" s="56"/>
      <c r="J63" s="56"/>
    </row>
    <row r="64" spans="1:10">
      <c r="A64" s="55"/>
      <c r="B64" s="55"/>
      <c r="C64" s="55"/>
      <c r="D64" s="55"/>
      <c r="E64" s="55"/>
      <c r="F64" s="55"/>
      <c r="G64" s="55"/>
      <c r="H64" s="56"/>
      <c r="I64" s="56"/>
      <c r="J64" s="56"/>
    </row>
    <row r="65" spans="1:10">
      <c r="A65" s="55"/>
      <c r="B65" s="55"/>
      <c r="C65" s="55"/>
      <c r="D65" s="55"/>
      <c r="E65" s="55"/>
      <c r="F65" s="55"/>
      <c r="G65" s="55"/>
      <c r="H65" s="56"/>
      <c r="I65" s="56"/>
      <c r="J65" s="56"/>
    </row>
    <row r="66" spans="1:10">
      <c r="A66" s="55"/>
      <c r="B66" s="55"/>
      <c r="C66" s="55"/>
      <c r="D66" s="55"/>
      <c r="E66" s="55"/>
      <c r="F66" s="55"/>
      <c r="G66" s="55"/>
      <c r="H66" s="56"/>
      <c r="I66" s="56"/>
      <c r="J66" s="56"/>
    </row>
    <row r="67" spans="1:10">
      <c r="A67" s="55"/>
      <c r="B67" s="55"/>
      <c r="C67" s="55"/>
      <c r="D67" s="55"/>
      <c r="E67" s="55"/>
      <c r="F67" s="55"/>
      <c r="G67" s="55"/>
      <c r="H67" s="56"/>
      <c r="I67" s="56"/>
      <c r="J67" s="56"/>
    </row>
    <row r="68" spans="1:10">
      <c r="A68" s="55"/>
      <c r="B68" s="55"/>
      <c r="C68" s="55"/>
      <c r="D68" s="55"/>
      <c r="E68" s="55"/>
      <c r="F68" s="55"/>
      <c r="G68" s="55"/>
      <c r="H68" s="56"/>
      <c r="I68" s="56"/>
      <c r="J68" s="56"/>
    </row>
    <row r="69" spans="1:10">
      <c r="A69" s="55"/>
      <c r="B69" s="55"/>
      <c r="C69" s="55"/>
      <c r="D69" s="55"/>
      <c r="E69" s="55"/>
      <c r="F69" s="55"/>
      <c r="G69" s="55"/>
      <c r="H69" s="56"/>
      <c r="I69" s="56"/>
      <c r="J69" s="56"/>
    </row>
    <row r="70" spans="1:10">
      <c r="A70" s="55"/>
      <c r="B70" s="55"/>
      <c r="C70" s="55"/>
      <c r="D70" s="55"/>
      <c r="E70" s="55"/>
      <c r="F70" s="55"/>
      <c r="G70" s="55"/>
      <c r="H70" s="56"/>
      <c r="I70" s="56"/>
      <c r="J70" s="56"/>
    </row>
    <row r="71" spans="1:10">
      <c r="A71" s="55"/>
      <c r="B71" s="55"/>
      <c r="C71" s="55"/>
      <c r="D71" s="55"/>
      <c r="E71" s="55"/>
      <c r="F71" s="55"/>
      <c r="G71" s="55"/>
      <c r="H71" s="56"/>
      <c r="I71" s="56"/>
      <c r="J71" s="56"/>
    </row>
    <row r="72" spans="1:10">
      <c r="A72" s="55"/>
      <c r="B72" s="55"/>
      <c r="C72" s="55"/>
      <c r="D72" s="55"/>
      <c r="E72" s="55"/>
      <c r="F72" s="55"/>
      <c r="G72" s="55"/>
      <c r="H72" s="56"/>
      <c r="I72" s="56"/>
      <c r="J72" s="56"/>
    </row>
    <row r="73" spans="1:10">
      <c r="A73" s="55"/>
      <c r="B73" s="55"/>
      <c r="C73" s="55"/>
      <c r="D73" s="55"/>
      <c r="E73" s="55"/>
      <c r="F73" s="55"/>
      <c r="G73" s="55"/>
      <c r="H73" s="56"/>
      <c r="I73" s="56"/>
      <c r="J73" s="56"/>
    </row>
    <row r="74" spans="1:10">
      <c r="A74" s="55"/>
      <c r="B74" s="55"/>
      <c r="C74" s="55"/>
      <c r="D74" s="55"/>
      <c r="E74" s="55"/>
      <c r="F74" s="55"/>
      <c r="G74" s="55"/>
      <c r="H74" s="56"/>
      <c r="I74" s="56"/>
      <c r="J74" s="56"/>
    </row>
    <row r="75" spans="1:10">
      <c r="A75" s="55"/>
      <c r="B75" s="55"/>
      <c r="C75" s="55"/>
      <c r="D75" s="55"/>
      <c r="E75" s="55"/>
      <c r="F75" s="55"/>
      <c r="G75" s="55"/>
      <c r="H75" s="56"/>
      <c r="I75" s="56"/>
      <c r="J75" s="56"/>
    </row>
    <row r="76" spans="1:10">
      <c r="A76" s="55"/>
      <c r="B76" s="55"/>
      <c r="C76" s="55"/>
      <c r="D76" s="55"/>
      <c r="E76" s="55"/>
      <c r="F76" s="55"/>
      <c r="G76" s="55"/>
      <c r="H76" s="56"/>
      <c r="I76" s="56"/>
      <c r="J76" s="56"/>
    </row>
    <row r="77" spans="1:10">
      <c r="A77" s="55"/>
      <c r="B77" s="55"/>
      <c r="C77" s="55"/>
      <c r="D77" s="55"/>
      <c r="E77" s="55"/>
      <c r="F77" s="55"/>
      <c r="G77" s="55"/>
      <c r="H77" s="56"/>
      <c r="I77" s="56"/>
      <c r="J77" s="56"/>
    </row>
    <row r="78" spans="1:10">
      <c r="A78" s="55"/>
      <c r="B78" s="55"/>
      <c r="C78" s="55"/>
      <c r="D78" s="55"/>
      <c r="E78" s="55"/>
      <c r="F78" s="55"/>
      <c r="G78" s="55"/>
      <c r="H78" s="56"/>
      <c r="I78" s="56"/>
      <c r="J78" s="56"/>
    </row>
    <row r="79" spans="1:10">
      <c r="A79" s="55"/>
      <c r="B79" s="55"/>
      <c r="C79" s="55"/>
      <c r="D79" s="55"/>
      <c r="E79" s="55"/>
      <c r="F79" s="55"/>
      <c r="G79" s="55"/>
      <c r="H79" s="56"/>
      <c r="I79" s="56"/>
      <c r="J79" s="56"/>
    </row>
    <row r="80" spans="1:10">
      <c r="A80" s="55"/>
      <c r="B80" s="55"/>
      <c r="C80" s="55"/>
      <c r="D80" s="55"/>
      <c r="E80" s="55"/>
      <c r="F80" s="55"/>
      <c r="G80" s="55"/>
      <c r="H80" s="56"/>
      <c r="I80" s="56"/>
      <c r="J80" s="56"/>
    </row>
    <row r="81" spans="1:10">
      <c r="A81" s="55"/>
      <c r="B81" s="55"/>
      <c r="C81" s="55"/>
      <c r="D81" s="55"/>
      <c r="E81" s="55"/>
      <c r="F81" s="55"/>
      <c r="G81" s="55"/>
      <c r="H81" s="56"/>
      <c r="I81" s="56"/>
      <c r="J81" s="56"/>
    </row>
    <row r="82" spans="1:10">
      <c r="A82" s="55"/>
      <c r="B82" s="55"/>
      <c r="C82" s="55"/>
      <c r="D82" s="55"/>
      <c r="E82" s="55"/>
      <c r="F82" s="55"/>
      <c r="G82" s="55"/>
      <c r="H82" s="56"/>
      <c r="I82" s="56"/>
      <c r="J82" s="56"/>
    </row>
    <row r="83" spans="1:10">
      <c r="A83" s="55"/>
      <c r="B83" s="55"/>
      <c r="C83" s="55"/>
      <c r="D83" s="55"/>
      <c r="E83" s="55"/>
      <c r="F83" s="55"/>
      <c r="G83" s="55"/>
      <c r="H83" s="56"/>
      <c r="I83" s="56"/>
      <c r="J83" s="56"/>
    </row>
    <row r="84" spans="1:10">
      <c r="A84" s="55"/>
      <c r="B84" s="55"/>
      <c r="C84" s="55"/>
      <c r="D84" s="55"/>
      <c r="E84" s="55"/>
      <c r="F84" s="55"/>
      <c r="G84" s="55"/>
      <c r="H84" s="56"/>
      <c r="I84" s="56"/>
      <c r="J84" s="56"/>
    </row>
    <row r="85" spans="1:10">
      <c r="A85" s="55"/>
      <c r="B85" s="55"/>
      <c r="C85" s="55"/>
      <c r="D85" s="55"/>
      <c r="E85" s="55"/>
      <c r="F85" s="55"/>
      <c r="G85" s="55"/>
      <c r="H85" s="56"/>
      <c r="I85" s="56"/>
      <c r="J85" s="56"/>
    </row>
    <row r="86" spans="1:10">
      <c r="A86" s="55"/>
      <c r="B86" s="55"/>
      <c r="C86" s="55"/>
      <c r="D86" s="55"/>
      <c r="E86" s="55"/>
      <c r="F86" s="55"/>
      <c r="G86" s="55"/>
      <c r="H86" s="56"/>
      <c r="I86" s="56"/>
      <c r="J86" s="56"/>
    </row>
    <row r="87" spans="1:10">
      <c r="A87" s="55"/>
      <c r="B87" s="55"/>
      <c r="C87" s="55"/>
      <c r="D87" s="55"/>
      <c r="E87" s="55"/>
      <c r="F87" s="55"/>
      <c r="G87" s="55"/>
      <c r="H87" s="56"/>
      <c r="I87" s="56"/>
      <c r="J87" s="56"/>
    </row>
    <row r="88" spans="1:10">
      <c r="A88" s="55"/>
      <c r="B88" s="55"/>
      <c r="C88" s="55"/>
      <c r="D88" s="55"/>
      <c r="E88" s="55"/>
      <c r="F88" s="55"/>
      <c r="G88" s="55"/>
      <c r="H88" s="56"/>
      <c r="I88" s="56"/>
      <c r="J88" s="56"/>
    </row>
    <row r="89" spans="1:10">
      <c r="A89" s="55"/>
      <c r="B89" s="55"/>
      <c r="C89" s="55"/>
      <c r="D89" s="55"/>
      <c r="E89" s="55"/>
      <c r="F89" s="55"/>
      <c r="G89" s="55"/>
      <c r="H89" s="56"/>
      <c r="I89" s="56"/>
      <c r="J89" s="56"/>
    </row>
    <row r="90" spans="1:10">
      <c r="A90" s="55"/>
      <c r="B90" s="55"/>
      <c r="C90" s="55"/>
      <c r="D90" s="55"/>
      <c r="E90" s="55"/>
      <c r="F90" s="55"/>
      <c r="G90" s="55"/>
      <c r="H90" s="56"/>
      <c r="I90" s="56"/>
      <c r="J90" s="56"/>
    </row>
    <row r="91" spans="1:10">
      <c r="A91" s="55"/>
      <c r="B91" s="55"/>
      <c r="C91" s="55"/>
      <c r="D91" s="55"/>
      <c r="E91" s="55"/>
      <c r="F91" s="55"/>
      <c r="G91" s="55"/>
      <c r="H91" s="56"/>
      <c r="I91" s="56"/>
      <c r="J91" s="56"/>
    </row>
    <row r="92" spans="1:10">
      <c r="A92" s="55"/>
      <c r="B92" s="55"/>
      <c r="C92" s="55"/>
      <c r="D92" s="55"/>
      <c r="E92" s="55"/>
      <c r="F92" s="55"/>
      <c r="G92" s="55"/>
      <c r="H92" s="56"/>
      <c r="I92" s="56"/>
      <c r="J92" s="56"/>
    </row>
    <row r="93" spans="1:10">
      <c r="A93" s="55"/>
      <c r="B93" s="55"/>
      <c r="C93" s="55"/>
      <c r="D93" s="55"/>
      <c r="E93" s="55"/>
      <c r="F93" s="55"/>
      <c r="G93" s="55"/>
      <c r="H93" s="56"/>
      <c r="I93" s="56"/>
      <c r="J93" s="56"/>
    </row>
    <row r="94" spans="1:10">
      <c r="A94" s="55"/>
      <c r="B94" s="55"/>
      <c r="C94" s="55"/>
      <c r="D94" s="55"/>
      <c r="E94" s="55"/>
      <c r="F94" s="55"/>
      <c r="G94" s="55"/>
      <c r="H94" s="56"/>
      <c r="I94" s="56"/>
      <c r="J94" s="56"/>
    </row>
    <row r="95" spans="1:10">
      <c r="A95" s="55"/>
      <c r="B95" s="55"/>
      <c r="C95" s="55"/>
      <c r="D95" s="55"/>
      <c r="E95" s="55"/>
      <c r="F95" s="55"/>
      <c r="G95" s="55"/>
      <c r="H95" s="56"/>
      <c r="I95" s="56"/>
      <c r="J95" s="56"/>
    </row>
    <row r="96" spans="1:10">
      <c r="A96" s="55"/>
      <c r="B96" s="55"/>
      <c r="C96" s="55"/>
      <c r="D96" s="55"/>
      <c r="E96" s="55"/>
      <c r="F96" s="55"/>
      <c r="G96" s="55"/>
      <c r="H96" s="56"/>
      <c r="I96" s="56"/>
      <c r="J96" s="56"/>
    </row>
    <row r="97" spans="1:10">
      <c r="A97" s="55"/>
      <c r="B97" s="55"/>
      <c r="C97" s="55"/>
      <c r="D97" s="55"/>
      <c r="E97" s="55"/>
      <c r="F97" s="55"/>
      <c r="G97" s="55"/>
      <c r="H97" s="56"/>
      <c r="I97" s="56"/>
      <c r="J97" s="56"/>
    </row>
    <row r="98" spans="1:10">
      <c r="A98" s="55"/>
      <c r="B98" s="55"/>
      <c r="C98" s="55"/>
      <c r="D98" s="55"/>
      <c r="E98" s="55"/>
      <c r="F98" s="55"/>
      <c r="G98" s="55"/>
      <c r="H98" s="56"/>
      <c r="I98" s="56"/>
      <c r="J98" s="56"/>
    </row>
    <row r="99" spans="1:10">
      <c r="A99" s="55"/>
      <c r="B99" s="55"/>
      <c r="C99" s="55"/>
      <c r="D99" s="55"/>
      <c r="E99" s="55"/>
      <c r="F99" s="55"/>
      <c r="G99" s="55"/>
      <c r="H99" s="56"/>
      <c r="I99" s="56"/>
      <c r="J99" s="56"/>
    </row>
    <row r="100" spans="1:10">
      <c r="A100" s="55"/>
      <c r="B100" s="55"/>
      <c r="C100" s="55"/>
      <c r="D100" s="55"/>
      <c r="E100" s="55"/>
      <c r="F100" s="55"/>
      <c r="G100" s="55"/>
      <c r="H100" s="56"/>
      <c r="I100" s="56"/>
      <c r="J100" s="56"/>
    </row>
    <row r="101" spans="1:10">
      <c r="A101" s="55"/>
      <c r="B101" s="55"/>
      <c r="C101" s="55"/>
      <c r="D101" s="55"/>
      <c r="E101" s="55"/>
      <c r="F101" s="55"/>
      <c r="G101" s="55"/>
      <c r="H101" s="56"/>
      <c r="I101" s="56"/>
      <c r="J101" s="56"/>
    </row>
    <row r="102" spans="1:10">
      <c r="A102" s="55"/>
      <c r="B102" s="55"/>
      <c r="C102" s="55"/>
      <c r="D102" s="55"/>
      <c r="E102" s="55"/>
      <c r="F102" s="55"/>
      <c r="G102" s="55"/>
      <c r="H102" s="56"/>
      <c r="I102" s="56"/>
      <c r="J102" s="56"/>
    </row>
    <row r="103" spans="1:10">
      <c r="A103" s="55"/>
      <c r="B103" s="55"/>
      <c r="C103" s="55"/>
      <c r="D103" s="55"/>
      <c r="E103" s="55"/>
      <c r="F103" s="55"/>
      <c r="G103" s="55"/>
      <c r="H103" s="56"/>
      <c r="I103" s="56"/>
      <c r="J103" s="56"/>
    </row>
    <row r="104" spans="1:10">
      <c r="A104" s="55"/>
      <c r="B104" s="55"/>
      <c r="C104" s="55"/>
      <c r="D104" s="55"/>
      <c r="E104" s="55"/>
      <c r="F104" s="55"/>
      <c r="G104" s="55"/>
      <c r="H104" s="56"/>
      <c r="I104" s="56"/>
      <c r="J104" s="56"/>
    </row>
    <row r="105" spans="1:10">
      <c r="A105" s="55"/>
      <c r="B105" s="55"/>
      <c r="C105" s="55"/>
      <c r="D105" s="55"/>
      <c r="E105" s="55"/>
      <c r="F105" s="55"/>
      <c r="G105" s="55"/>
      <c r="H105" s="56"/>
      <c r="I105" s="56"/>
      <c r="J105" s="56"/>
    </row>
    <row r="106" spans="1:10">
      <c r="A106" s="55"/>
      <c r="B106" s="55"/>
      <c r="C106" s="55"/>
      <c r="D106" s="55"/>
      <c r="E106" s="55"/>
      <c r="F106" s="55"/>
      <c r="G106" s="55"/>
      <c r="H106" s="56"/>
      <c r="I106" s="56"/>
      <c r="J106" s="56"/>
    </row>
    <row r="107" spans="1:10">
      <c r="A107" s="55"/>
      <c r="B107" s="55"/>
      <c r="C107" s="55"/>
      <c r="D107" s="55"/>
      <c r="E107" s="55"/>
      <c r="F107" s="55"/>
      <c r="G107" s="55"/>
      <c r="H107" s="56"/>
      <c r="I107" s="56"/>
      <c r="J107" s="56"/>
    </row>
    <row r="108" spans="1:10">
      <c r="A108" s="55"/>
      <c r="B108" s="55"/>
      <c r="C108" s="55"/>
      <c r="D108" s="55"/>
      <c r="E108" s="55"/>
      <c r="F108" s="55"/>
      <c r="G108" s="55"/>
      <c r="H108" s="56"/>
      <c r="I108" s="56"/>
      <c r="J108" s="56"/>
    </row>
    <row r="109" spans="1:10">
      <c r="A109" s="55"/>
      <c r="B109" s="55"/>
      <c r="C109" s="55"/>
      <c r="D109" s="55"/>
      <c r="E109" s="55"/>
      <c r="F109" s="55"/>
      <c r="G109" s="55"/>
      <c r="H109" s="56"/>
      <c r="I109" s="56"/>
      <c r="J109" s="56"/>
    </row>
    <row r="110" spans="1:10">
      <c r="A110" s="55"/>
      <c r="B110" s="55"/>
      <c r="C110" s="55"/>
      <c r="D110" s="55"/>
      <c r="E110" s="55"/>
      <c r="F110" s="55"/>
      <c r="G110" s="55"/>
      <c r="H110" s="56"/>
      <c r="I110" s="56"/>
      <c r="J110" s="56"/>
    </row>
    <row r="111" spans="1:10">
      <c r="A111" s="55"/>
      <c r="B111" s="55"/>
      <c r="C111" s="55"/>
      <c r="D111" s="55"/>
      <c r="E111" s="55"/>
      <c r="F111" s="55"/>
      <c r="G111" s="55"/>
      <c r="H111" s="56"/>
      <c r="I111" s="56"/>
      <c r="J111" s="56"/>
    </row>
    <row r="112" spans="1:10">
      <c r="A112" s="55"/>
      <c r="B112" s="55"/>
      <c r="C112" s="55"/>
      <c r="D112" s="55"/>
      <c r="E112" s="55"/>
      <c r="F112" s="55"/>
      <c r="G112" s="55"/>
      <c r="H112" s="56"/>
      <c r="I112" s="56"/>
      <c r="J112" s="56"/>
    </row>
    <row r="113" spans="1:10">
      <c r="A113" s="55"/>
      <c r="B113" s="55"/>
      <c r="C113" s="55"/>
      <c r="D113" s="55"/>
      <c r="E113" s="55"/>
      <c r="F113" s="55"/>
      <c r="G113" s="55"/>
      <c r="H113" s="56"/>
      <c r="I113" s="56"/>
      <c r="J113" s="56"/>
    </row>
    <row r="114" spans="1:10">
      <c r="A114" s="55"/>
      <c r="B114" s="55"/>
      <c r="C114" s="55"/>
      <c r="D114" s="55"/>
      <c r="E114" s="55"/>
      <c r="F114" s="55"/>
      <c r="G114" s="55"/>
      <c r="H114" s="56"/>
      <c r="I114" s="56"/>
      <c r="J114" s="56"/>
    </row>
    <row r="115" spans="1:10">
      <c r="A115" s="55"/>
      <c r="B115" s="55"/>
      <c r="C115" s="55"/>
      <c r="D115" s="55"/>
      <c r="E115" s="55"/>
      <c r="F115" s="55"/>
      <c r="G115" s="55"/>
      <c r="H115" s="56"/>
      <c r="I115" s="56"/>
      <c r="J115" s="56"/>
    </row>
    <row r="116" spans="1:10">
      <c r="A116" s="55"/>
      <c r="B116" s="55"/>
      <c r="C116" s="55"/>
      <c r="D116" s="55"/>
      <c r="E116" s="55"/>
      <c r="F116" s="55"/>
      <c r="G116" s="55"/>
      <c r="H116" s="56"/>
      <c r="I116" s="56"/>
      <c r="J116" s="56"/>
    </row>
    <row r="117" spans="1:10">
      <c r="A117" s="55"/>
      <c r="B117" s="55"/>
      <c r="C117" s="55"/>
      <c r="D117" s="55"/>
      <c r="E117" s="55"/>
      <c r="F117" s="55"/>
      <c r="G117" s="55"/>
      <c r="H117" s="56"/>
      <c r="I117" s="56"/>
      <c r="J117" s="56"/>
    </row>
    <row r="118" spans="1:10">
      <c r="A118" s="55"/>
      <c r="B118" s="55"/>
      <c r="C118" s="55"/>
      <c r="D118" s="55"/>
      <c r="E118" s="55"/>
      <c r="F118" s="55"/>
      <c r="G118" s="55"/>
      <c r="H118" s="56"/>
      <c r="I118" s="56"/>
      <c r="J118" s="56"/>
    </row>
    <row r="119" spans="1:10">
      <c r="A119" s="55"/>
      <c r="B119" s="55"/>
      <c r="C119" s="55"/>
      <c r="D119" s="55"/>
      <c r="E119" s="55"/>
      <c r="F119" s="55"/>
      <c r="G119" s="55"/>
      <c r="H119" s="56"/>
      <c r="I119" s="56"/>
      <c r="J119" s="56"/>
    </row>
    <row r="120" spans="1:10">
      <c r="A120" s="55"/>
      <c r="B120" s="55"/>
      <c r="C120" s="55"/>
      <c r="D120" s="55"/>
      <c r="E120" s="55"/>
      <c r="F120" s="55"/>
      <c r="G120" s="55"/>
      <c r="H120" s="56"/>
      <c r="I120" s="56"/>
      <c r="J120" s="56"/>
    </row>
    <row r="121" spans="1:10">
      <c r="A121" s="55"/>
      <c r="B121" s="55"/>
      <c r="C121" s="55"/>
      <c r="D121" s="55"/>
      <c r="E121" s="55"/>
      <c r="F121" s="55"/>
      <c r="G121" s="55"/>
      <c r="H121" s="56"/>
      <c r="I121" s="56"/>
      <c r="J121" s="56"/>
    </row>
    <row r="122" spans="1:10">
      <c r="A122" s="55"/>
      <c r="B122" s="55"/>
      <c r="C122" s="55"/>
      <c r="D122" s="55"/>
      <c r="E122" s="55"/>
      <c r="F122" s="55"/>
      <c r="G122" s="55"/>
      <c r="H122" s="56"/>
      <c r="I122" s="56"/>
      <c r="J122" s="56"/>
    </row>
    <row r="123" spans="1:10">
      <c r="A123" s="55"/>
      <c r="B123" s="55"/>
      <c r="C123" s="55"/>
      <c r="D123" s="55"/>
      <c r="E123" s="55"/>
      <c r="F123" s="55"/>
      <c r="G123" s="55"/>
      <c r="H123" s="56"/>
      <c r="I123" s="56"/>
      <c r="J123" s="56"/>
    </row>
    <row r="124" spans="1:10">
      <c r="A124" s="55"/>
      <c r="B124" s="55"/>
      <c r="C124" s="55"/>
      <c r="D124" s="55"/>
      <c r="E124" s="55"/>
      <c r="F124" s="55"/>
      <c r="G124" s="55"/>
      <c r="H124" s="56"/>
      <c r="I124" s="56"/>
      <c r="J124" s="56"/>
    </row>
    <row r="125" spans="1:10">
      <c r="A125" s="55"/>
      <c r="B125" s="55"/>
      <c r="C125" s="55"/>
      <c r="D125" s="55"/>
      <c r="E125" s="55"/>
      <c r="F125" s="55"/>
      <c r="G125" s="55"/>
      <c r="H125" s="56"/>
      <c r="I125" s="56"/>
      <c r="J125" s="56"/>
    </row>
    <row r="126" spans="1:10">
      <c r="A126" s="55"/>
      <c r="B126" s="55"/>
      <c r="C126" s="55"/>
      <c r="D126" s="55"/>
      <c r="E126" s="55"/>
      <c r="F126" s="55"/>
      <c r="G126" s="55"/>
      <c r="H126" s="56"/>
      <c r="I126" s="56"/>
      <c r="J126" s="56"/>
    </row>
    <row r="127" spans="1:10">
      <c r="A127" s="55"/>
      <c r="B127" s="55"/>
      <c r="C127" s="55"/>
      <c r="D127" s="55"/>
      <c r="E127" s="55"/>
      <c r="F127" s="55"/>
      <c r="G127" s="55"/>
      <c r="H127" s="56"/>
      <c r="I127" s="56"/>
      <c r="J127" s="56"/>
    </row>
    <row r="128" spans="1:10">
      <c r="A128" s="55"/>
      <c r="B128" s="55"/>
      <c r="C128" s="55"/>
      <c r="D128" s="55"/>
      <c r="E128" s="55"/>
      <c r="F128" s="55"/>
      <c r="G128" s="55"/>
      <c r="H128" s="56"/>
      <c r="I128" s="56"/>
      <c r="J128" s="56"/>
    </row>
    <row r="129" spans="1:10">
      <c r="A129" s="55"/>
      <c r="B129" s="55"/>
      <c r="C129" s="55"/>
      <c r="D129" s="55"/>
      <c r="E129" s="55"/>
      <c r="F129" s="55"/>
      <c r="G129" s="55"/>
      <c r="H129" s="56"/>
      <c r="I129" s="56"/>
      <c r="J129" s="56"/>
    </row>
    <row r="130" spans="1:10">
      <c r="A130" s="55"/>
      <c r="B130" s="55"/>
      <c r="C130" s="55"/>
      <c r="D130" s="55"/>
      <c r="E130" s="55"/>
      <c r="F130" s="55"/>
      <c r="G130" s="55"/>
      <c r="H130" s="56"/>
      <c r="I130" s="56"/>
      <c r="J130" s="56"/>
    </row>
    <row r="131" spans="1:10">
      <c r="A131" s="55"/>
      <c r="B131" s="55"/>
      <c r="C131" s="55"/>
      <c r="D131" s="55"/>
      <c r="E131" s="55"/>
      <c r="F131" s="55"/>
      <c r="G131" s="55"/>
      <c r="H131" s="56"/>
      <c r="I131" s="56"/>
      <c r="J131" s="56"/>
    </row>
    <row r="132" spans="1:10">
      <c r="A132" s="55"/>
      <c r="B132" s="55"/>
      <c r="C132" s="55"/>
      <c r="D132" s="55"/>
      <c r="E132" s="55"/>
      <c r="F132" s="55"/>
      <c r="G132" s="55"/>
      <c r="H132" s="56"/>
      <c r="I132" s="56"/>
      <c r="J132" s="56"/>
    </row>
    <row r="133" spans="1:10">
      <c r="A133" s="55"/>
      <c r="B133" s="55"/>
      <c r="C133" s="55"/>
      <c r="D133" s="55"/>
      <c r="E133" s="55"/>
      <c r="F133" s="55"/>
      <c r="G133" s="55"/>
      <c r="H133" s="56"/>
      <c r="I133" s="56"/>
      <c r="J133" s="56"/>
    </row>
    <row r="134" spans="1:10">
      <c r="A134" s="55"/>
      <c r="B134" s="55"/>
      <c r="C134" s="55"/>
      <c r="D134" s="55"/>
      <c r="E134" s="55"/>
      <c r="F134" s="55"/>
      <c r="G134" s="55"/>
      <c r="H134" s="56"/>
      <c r="I134" s="56"/>
      <c r="J134" s="56"/>
    </row>
    <row r="135" spans="1:10">
      <c r="A135" s="55"/>
      <c r="B135" s="55"/>
      <c r="C135" s="55"/>
      <c r="D135" s="55"/>
      <c r="E135" s="55"/>
      <c r="F135" s="55"/>
      <c r="G135" s="55"/>
      <c r="H135" s="56"/>
      <c r="I135" s="56"/>
      <c r="J135" s="56"/>
    </row>
    <row r="136" spans="1:10">
      <c r="A136" s="55"/>
      <c r="B136" s="55"/>
      <c r="C136" s="55"/>
      <c r="D136" s="55"/>
      <c r="E136" s="55"/>
      <c r="F136" s="55"/>
      <c r="G136" s="55"/>
      <c r="H136" s="56"/>
      <c r="I136" s="56"/>
      <c r="J136" s="56"/>
    </row>
    <row r="137" spans="1:10">
      <c r="A137" s="55"/>
      <c r="B137" s="55"/>
      <c r="C137" s="55"/>
      <c r="D137" s="55"/>
      <c r="E137" s="55"/>
      <c r="F137" s="55"/>
      <c r="G137" s="55"/>
      <c r="H137" s="56"/>
      <c r="I137" s="56"/>
      <c r="J137" s="56"/>
    </row>
    <row r="138" spans="1:10">
      <c r="A138" s="55"/>
      <c r="B138" s="55"/>
      <c r="C138" s="55"/>
      <c r="D138" s="55"/>
      <c r="E138" s="55"/>
      <c r="F138" s="55"/>
      <c r="G138" s="55"/>
      <c r="H138" s="56"/>
      <c r="I138" s="56"/>
      <c r="J138" s="56"/>
    </row>
    <row r="139" spans="1:10">
      <c r="A139" s="55"/>
      <c r="B139" s="55"/>
      <c r="C139" s="55"/>
      <c r="D139" s="55"/>
      <c r="E139" s="55"/>
      <c r="F139" s="55"/>
      <c r="G139" s="55"/>
      <c r="H139" s="56"/>
      <c r="I139" s="56"/>
      <c r="J139" s="56"/>
    </row>
    <row r="140" spans="1:10">
      <c r="A140" s="55"/>
      <c r="B140" s="55"/>
      <c r="C140" s="55"/>
      <c r="D140" s="55"/>
      <c r="E140" s="55"/>
      <c r="F140" s="55"/>
      <c r="G140" s="55"/>
      <c r="H140" s="56"/>
      <c r="I140" s="56"/>
      <c r="J140" s="56"/>
    </row>
    <row r="141" spans="1:10">
      <c r="A141" s="55"/>
      <c r="B141" s="55"/>
      <c r="C141" s="55"/>
      <c r="D141" s="55"/>
      <c r="E141" s="55"/>
      <c r="F141" s="55"/>
      <c r="G141" s="55"/>
      <c r="H141" s="56"/>
      <c r="I141" s="56"/>
      <c r="J141" s="56"/>
    </row>
    <row r="142" spans="1:10">
      <c r="A142" s="55"/>
      <c r="B142" s="55"/>
      <c r="C142" s="55"/>
      <c r="D142" s="55"/>
      <c r="E142" s="55"/>
      <c r="F142" s="55"/>
      <c r="G142" s="55"/>
      <c r="H142" s="56"/>
      <c r="I142" s="56"/>
      <c r="J142" s="56"/>
    </row>
    <row r="143" spans="1:10">
      <c r="A143" s="55"/>
      <c r="B143" s="55"/>
      <c r="C143" s="55"/>
      <c r="D143" s="55"/>
      <c r="E143" s="55"/>
      <c r="F143" s="55"/>
      <c r="G143" s="55"/>
      <c r="H143" s="56"/>
      <c r="I143" s="56"/>
      <c r="J143" s="56"/>
    </row>
    <row r="144" spans="1:10">
      <c r="A144" s="55"/>
      <c r="B144" s="55"/>
      <c r="C144" s="55"/>
      <c r="D144" s="55"/>
      <c r="E144" s="55"/>
      <c r="F144" s="55"/>
      <c r="G144" s="55"/>
      <c r="H144" s="56"/>
      <c r="I144" s="56"/>
      <c r="J144" s="56"/>
    </row>
    <row r="145" spans="1:10">
      <c r="A145" s="55"/>
      <c r="B145" s="55"/>
      <c r="C145" s="55"/>
      <c r="D145" s="55"/>
      <c r="E145" s="55"/>
      <c r="F145" s="55"/>
      <c r="G145" s="55"/>
      <c r="H145" s="56"/>
      <c r="I145" s="56"/>
      <c r="J145" s="56"/>
    </row>
    <row r="146" spans="1:10">
      <c r="A146" s="55"/>
      <c r="B146" s="55"/>
      <c r="C146" s="55"/>
      <c r="D146" s="55"/>
      <c r="E146" s="55"/>
      <c r="F146" s="55"/>
      <c r="G146" s="55"/>
      <c r="H146" s="56"/>
      <c r="I146" s="56"/>
      <c r="J146" s="56"/>
    </row>
    <row r="147" spans="1:10">
      <c r="A147" s="55"/>
      <c r="B147" s="55"/>
      <c r="C147" s="55"/>
      <c r="D147" s="55"/>
      <c r="E147" s="55"/>
      <c r="F147" s="55"/>
      <c r="G147" s="55"/>
      <c r="H147" s="56"/>
      <c r="I147" s="56"/>
      <c r="J147" s="56"/>
    </row>
    <row r="148" spans="1:10">
      <c r="A148" s="55"/>
      <c r="B148" s="55"/>
      <c r="C148" s="55"/>
      <c r="D148" s="55"/>
      <c r="E148" s="55"/>
      <c r="F148" s="55"/>
      <c r="G148" s="55"/>
      <c r="H148" s="56"/>
      <c r="I148" s="56"/>
      <c r="J148" s="56"/>
    </row>
    <row r="149" spans="1:10">
      <c r="A149" s="55"/>
      <c r="B149" s="55"/>
      <c r="C149" s="55"/>
      <c r="D149" s="55"/>
      <c r="E149" s="55"/>
      <c r="F149" s="55"/>
      <c r="G149" s="55"/>
      <c r="H149" s="56"/>
      <c r="I149" s="56"/>
      <c r="J149" s="56"/>
    </row>
    <row r="150" spans="1:10">
      <c r="A150" s="55"/>
      <c r="B150" s="55"/>
      <c r="C150" s="55"/>
      <c r="D150" s="55"/>
      <c r="E150" s="55"/>
      <c r="F150" s="55"/>
      <c r="G150" s="55"/>
      <c r="H150" s="56"/>
      <c r="I150" s="56"/>
      <c r="J150" s="56"/>
    </row>
    <row r="151" spans="1:10">
      <c r="A151" s="55"/>
      <c r="B151" s="55"/>
      <c r="C151" s="55"/>
      <c r="D151" s="55"/>
      <c r="E151" s="55"/>
      <c r="F151" s="55"/>
      <c r="G151" s="55"/>
      <c r="H151" s="56"/>
      <c r="I151" s="56"/>
      <c r="J151" s="56"/>
    </row>
    <row r="152" spans="1:10">
      <c r="A152" s="55"/>
      <c r="B152" s="55"/>
      <c r="C152" s="55"/>
      <c r="D152" s="55"/>
      <c r="E152" s="55"/>
      <c r="F152" s="55"/>
      <c r="G152" s="55"/>
      <c r="H152" s="56"/>
      <c r="I152" s="56"/>
      <c r="J152" s="56"/>
    </row>
    <row r="153" spans="1:10">
      <c r="A153" s="55"/>
      <c r="B153" s="55"/>
      <c r="C153" s="55"/>
      <c r="D153" s="55"/>
      <c r="E153" s="55"/>
      <c r="F153" s="55"/>
      <c r="G153" s="55"/>
      <c r="H153" s="56"/>
      <c r="I153" s="56"/>
      <c r="J153" s="56"/>
    </row>
    <row r="154" spans="1:10">
      <c r="A154" s="55"/>
      <c r="B154" s="55"/>
      <c r="C154" s="55"/>
      <c r="D154" s="55"/>
      <c r="E154" s="55"/>
      <c r="F154" s="55"/>
      <c r="G154" s="55"/>
      <c r="H154" s="56"/>
      <c r="I154" s="56"/>
      <c r="J154" s="56"/>
    </row>
    <row r="155" spans="1:10">
      <c r="A155" s="55"/>
      <c r="B155" s="55"/>
      <c r="C155" s="55"/>
      <c r="D155" s="55"/>
      <c r="E155" s="55"/>
      <c r="F155" s="55"/>
      <c r="G155" s="55"/>
      <c r="H155" s="56"/>
      <c r="I155" s="56"/>
      <c r="J155" s="56"/>
    </row>
    <row r="156" spans="1:10">
      <c r="A156" s="55"/>
      <c r="B156" s="55"/>
      <c r="C156" s="55"/>
      <c r="D156" s="55"/>
      <c r="E156" s="55"/>
      <c r="F156" s="55"/>
      <c r="G156" s="55"/>
      <c r="H156" s="56"/>
      <c r="I156" s="56"/>
      <c r="J156" s="56"/>
    </row>
    <row r="157" spans="1:10">
      <c r="A157" s="55"/>
      <c r="B157" s="55"/>
      <c r="C157" s="55"/>
      <c r="D157" s="55"/>
      <c r="E157" s="55"/>
      <c r="F157" s="55"/>
      <c r="G157" s="55"/>
      <c r="H157" s="56"/>
      <c r="I157" s="56"/>
      <c r="J157" s="56"/>
    </row>
    <row r="158" spans="1:10">
      <c r="A158" s="55"/>
      <c r="B158" s="55"/>
      <c r="C158" s="55"/>
      <c r="D158" s="55"/>
      <c r="E158" s="55"/>
      <c r="F158" s="55"/>
      <c r="G158" s="55"/>
      <c r="H158" s="56"/>
      <c r="I158" s="56"/>
      <c r="J158" s="56"/>
    </row>
    <row r="159" spans="1:10">
      <c r="A159" s="55"/>
      <c r="B159" s="55"/>
      <c r="C159" s="55"/>
      <c r="D159" s="55"/>
      <c r="E159" s="55"/>
      <c r="F159" s="55"/>
      <c r="G159" s="55"/>
      <c r="H159" s="56"/>
      <c r="I159" s="56"/>
      <c r="J159" s="56"/>
    </row>
    <row r="160" spans="1:10">
      <c r="A160" s="55"/>
      <c r="B160" s="55"/>
      <c r="C160" s="55"/>
      <c r="D160" s="55"/>
      <c r="E160" s="55"/>
      <c r="F160" s="55"/>
      <c r="G160" s="55"/>
      <c r="H160" s="56"/>
      <c r="I160" s="56"/>
      <c r="J160" s="56"/>
    </row>
    <row r="161" spans="1:10">
      <c r="A161" s="55"/>
      <c r="B161" s="55"/>
      <c r="C161" s="55"/>
      <c r="D161" s="55"/>
      <c r="E161" s="55"/>
      <c r="F161" s="55"/>
      <c r="G161" s="55"/>
      <c r="H161" s="56"/>
      <c r="I161" s="56"/>
      <c r="J161" s="56"/>
    </row>
    <row r="162" spans="1:10">
      <c r="A162" s="55"/>
      <c r="B162" s="55"/>
      <c r="C162" s="55"/>
      <c r="D162" s="55"/>
      <c r="E162" s="55"/>
      <c r="F162" s="55"/>
      <c r="G162" s="55"/>
      <c r="H162" s="56"/>
      <c r="I162" s="56"/>
      <c r="J162" s="56"/>
    </row>
    <row r="163" spans="1:10">
      <c r="A163" s="55"/>
      <c r="B163" s="55"/>
      <c r="C163" s="55"/>
      <c r="D163" s="55"/>
      <c r="E163" s="55"/>
      <c r="F163" s="55"/>
      <c r="G163" s="55"/>
      <c r="H163" s="56"/>
      <c r="I163" s="56"/>
      <c r="J163" s="56"/>
    </row>
    <row r="164" spans="1:10">
      <c r="A164" s="55"/>
      <c r="B164" s="55"/>
      <c r="C164" s="55"/>
      <c r="D164" s="55"/>
      <c r="E164" s="55"/>
      <c r="F164" s="55"/>
      <c r="G164" s="55"/>
      <c r="H164" s="56"/>
      <c r="I164" s="56"/>
      <c r="J164" s="56"/>
    </row>
    <row r="165" spans="1:10">
      <c r="A165" s="55"/>
      <c r="B165" s="55"/>
      <c r="C165" s="55"/>
      <c r="D165" s="55"/>
      <c r="E165" s="55"/>
      <c r="F165" s="55"/>
      <c r="G165" s="55"/>
      <c r="H165" s="56"/>
      <c r="I165" s="56"/>
      <c r="J165" s="56"/>
    </row>
    <row r="166" spans="1:10">
      <c r="A166" s="55"/>
      <c r="B166" s="55"/>
      <c r="C166" s="55"/>
      <c r="D166" s="55"/>
      <c r="E166" s="55"/>
      <c r="F166" s="55"/>
      <c r="G166" s="55"/>
      <c r="H166" s="56"/>
      <c r="I166" s="56"/>
      <c r="J166" s="56"/>
    </row>
    <row r="167" spans="1:10">
      <c r="A167" s="55"/>
      <c r="B167" s="55"/>
      <c r="C167" s="55"/>
      <c r="D167" s="55"/>
      <c r="E167" s="55"/>
      <c r="F167" s="55"/>
      <c r="G167" s="55"/>
      <c r="H167" s="56"/>
      <c r="I167" s="56"/>
      <c r="J167" s="56"/>
    </row>
    <row r="168" spans="1:10">
      <c r="A168" s="55"/>
      <c r="B168" s="55"/>
      <c r="C168" s="55"/>
      <c r="D168" s="55"/>
      <c r="E168" s="55"/>
      <c r="F168" s="55"/>
      <c r="G168" s="55"/>
      <c r="H168" s="56"/>
      <c r="I168" s="56"/>
      <c r="J168" s="56"/>
    </row>
    <row r="169" spans="1:10">
      <c r="A169" s="55"/>
      <c r="B169" s="55"/>
      <c r="C169" s="55"/>
      <c r="D169" s="55"/>
      <c r="E169" s="55"/>
      <c r="F169" s="55"/>
      <c r="G169" s="55"/>
      <c r="H169" s="56"/>
      <c r="I169" s="56"/>
      <c r="J169" s="56"/>
    </row>
    <row r="170" spans="1:10">
      <c r="A170" s="55"/>
      <c r="B170" s="55"/>
      <c r="C170" s="55"/>
      <c r="D170" s="55"/>
      <c r="E170" s="55"/>
      <c r="F170" s="55"/>
      <c r="G170" s="55"/>
      <c r="H170" s="56"/>
      <c r="I170" s="56"/>
      <c r="J170" s="56"/>
    </row>
    <row r="171" spans="1:10">
      <c r="A171" s="55"/>
      <c r="B171" s="55"/>
      <c r="C171" s="55"/>
      <c r="D171" s="55"/>
      <c r="E171" s="55"/>
      <c r="F171" s="55"/>
      <c r="G171" s="55"/>
      <c r="H171" s="56"/>
      <c r="I171" s="56"/>
      <c r="J171" s="56"/>
    </row>
    <row r="172" spans="1:10">
      <c r="A172" s="55"/>
      <c r="B172" s="55"/>
      <c r="C172" s="55"/>
      <c r="D172" s="55"/>
      <c r="E172" s="55"/>
      <c r="F172" s="55"/>
      <c r="G172" s="55"/>
      <c r="H172" s="56"/>
      <c r="I172" s="56"/>
      <c r="J172" s="56"/>
    </row>
    <row r="173" spans="1:10">
      <c r="A173" s="55"/>
      <c r="B173" s="55"/>
      <c r="C173" s="55"/>
      <c r="D173" s="55"/>
      <c r="E173" s="55"/>
      <c r="F173" s="55"/>
      <c r="G173" s="55"/>
      <c r="H173" s="56"/>
      <c r="I173" s="56"/>
      <c r="J173" s="56"/>
    </row>
    <row r="174" spans="1:10">
      <c r="A174" s="55"/>
      <c r="B174" s="55"/>
      <c r="C174" s="55"/>
      <c r="D174" s="55"/>
      <c r="E174" s="55"/>
      <c r="F174" s="55"/>
      <c r="G174" s="55"/>
      <c r="H174" s="56"/>
      <c r="I174" s="56"/>
      <c r="J174" s="56"/>
    </row>
    <row r="175" spans="1:10">
      <c r="A175" s="55"/>
      <c r="B175" s="55"/>
      <c r="C175" s="55"/>
      <c r="D175" s="55"/>
      <c r="E175" s="55"/>
      <c r="F175" s="55"/>
      <c r="G175" s="55"/>
      <c r="H175" s="56"/>
      <c r="I175" s="56"/>
      <c r="J175" s="56"/>
    </row>
    <row r="176" spans="1:10">
      <c r="A176" s="55"/>
      <c r="B176" s="55"/>
      <c r="C176" s="55"/>
      <c r="D176" s="55"/>
      <c r="E176" s="55"/>
      <c r="F176" s="55"/>
      <c r="G176" s="55"/>
      <c r="H176" s="56"/>
      <c r="I176" s="56"/>
      <c r="J176" s="56"/>
    </row>
    <row r="177" spans="1:10">
      <c r="A177" s="55"/>
      <c r="B177" s="55"/>
      <c r="C177" s="55"/>
      <c r="D177" s="55"/>
      <c r="E177" s="55"/>
      <c r="F177" s="55"/>
      <c r="G177" s="55"/>
      <c r="H177" s="56"/>
      <c r="I177" s="56"/>
      <c r="J177" s="56"/>
    </row>
    <row r="178" spans="1:10">
      <c r="A178" s="55"/>
      <c r="B178" s="55"/>
      <c r="C178" s="55"/>
      <c r="D178" s="55"/>
      <c r="E178" s="55"/>
      <c r="F178" s="55"/>
      <c r="G178" s="55"/>
      <c r="H178" s="56"/>
      <c r="I178" s="56"/>
      <c r="J178" s="56"/>
    </row>
    <row r="179" spans="1:10">
      <c r="A179" s="55"/>
      <c r="B179" s="55"/>
      <c r="C179" s="55"/>
      <c r="D179" s="55"/>
      <c r="E179" s="55"/>
      <c r="F179" s="55"/>
      <c r="G179" s="55"/>
      <c r="H179" s="56"/>
      <c r="I179" s="56"/>
      <c r="J179" s="56"/>
    </row>
    <row r="180" spans="1:10">
      <c r="A180" s="55"/>
      <c r="B180" s="55"/>
      <c r="C180" s="55"/>
      <c r="D180" s="55"/>
      <c r="E180" s="55"/>
      <c r="F180" s="55"/>
      <c r="G180" s="55"/>
      <c r="H180" s="56"/>
      <c r="I180" s="56"/>
      <c r="J180" s="56"/>
    </row>
    <row r="181" spans="1:10">
      <c r="A181" s="55"/>
      <c r="B181" s="55"/>
      <c r="C181" s="55"/>
      <c r="D181" s="55"/>
      <c r="E181" s="55"/>
      <c r="F181" s="55"/>
      <c r="G181" s="55"/>
      <c r="H181" s="56"/>
      <c r="I181" s="56"/>
      <c r="J181" s="56"/>
    </row>
    <row r="182" spans="1:10">
      <c r="A182" s="55"/>
      <c r="B182" s="55"/>
      <c r="C182" s="55"/>
      <c r="D182" s="55"/>
      <c r="E182" s="55"/>
      <c r="F182" s="55"/>
      <c r="G182" s="55"/>
      <c r="H182" s="56"/>
      <c r="I182" s="56"/>
      <c r="J182" s="56"/>
    </row>
    <row r="183" spans="1:10">
      <c r="A183" s="55"/>
      <c r="B183" s="55"/>
      <c r="C183" s="55"/>
      <c r="D183" s="55"/>
      <c r="E183" s="55"/>
      <c r="F183" s="55"/>
      <c r="G183" s="55"/>
      <c r="H183" s="56"/>
      <c r="I183" s="56"/>
      <c r="J183" s="56"/>
    </row>
    <row r="184" spans="1:10">
      <c r="A184" s="55"/>
      <c r="B184" s="55"/>
      <c r="C184" s="55"/>
      <c r="D184" s="55"/>
      <c r="E184" s="55"/>
      <c r="F184" s="55"/>
      <c r="G184" s="55"/>
      <c r="H184" s="56"/>
      <c r="I184" s="56"/>
      <c r="J184" s="56"/>
    </row>
    <row r="185" spans="1:10">
      <c r="A185" s="55"/>
      <c r="B185" s="55"/>
      <c r="C185" s="55"/>
      <c r="D185" s="55"/>
      <c r="E185" s="55"/>
      <c r="F185" s="55"/>
      <c r="G185" s="55"/>
      <c r="H185" s="56"/>
      <c r="I185" s="56"/>
      <c r="J185" s="56"/>
    </row>
    <row r="186" spans="1:10">
      <c r="A186" s="55"/>
      <c r="B186" s="55"/>
      <c r="C186" s="55"/>
      <c r="D186" s="55"/>
      <c r="E186" s="55"/>
      <c r="F186" s="55"/>
      <c r="G186" s="55"/>
      <c r="H186" s="56"/>
      <c r="I186" s="56"/>
      <c r="J186" s="56"/>
    </row>
    <row r="187" spans="1:10">
      <c r="A187" s="55"/>
      <c r="B187" s="55"/>
      <c r="C187" s="55"/>
      <c r="D187" s="55"/>
      <c r="E187" s="55"/>
      <c r="F187" s="55"/>
      <c r="G187" s="55"/>
      <c r="H187" s="56"/>
      <c r="I187" s="56"/>
      <c r="J187" s="56"/>
    </row>
    <row r="188" spans="1:10">
      <c r="A188" s="55"/>
      <c r="B188" s="55"/>
      <c r="C188" s="55"/>
      <c r="D188" s="55"/>
      <c r="E188" s="55"/>
      <c r="F188" s="55"/>
      <c r="G188" s="55"/>
      <c r="H188" s="56"/>
      <c r="I188" s="56"/>
      <c r="J188" s="56"/>
    </row>
    <row r="189" spans="1:10">
      <c r="A189" s="55"/>
      <c r="B189" s="55"/>
      <c r="C189" s="55"/>
      <c r="D189" s="55"/>
      <c r="E189" s="55"/>
      <c r="F189" s="55"/>
      <c r="G189" s="55"/>
      <c r="H189" s="56"/>
      <c r="I189" s="56"/>
      <c r="J189" s="56"/>
    </row>
    <row r="190" spans="1:10">
      <c r="A190" s="55"/>
      <c r="B190" s="55"/>
      <c r="C190" s="55"/>
      <c r="D190" s="55"/>
      <c r="E190" s="55"/>
      <c r="F190" s="55"/>
      <c r="G190" s="55"/>
      <c r="H190" s="56"/>
      <c r="I190" s="56"/>
      <c r="J190" s="56"/>
    </row>
    <row r="191" spans="1:10">
      <c r="A191" s="55"/>
      <c r="B191" s="55"/>
      <c r="C191" s="55"/>
      <c r="D191" s="55"/>
      <c r="E191" s="55"/>
      <c r="F191" s="55"/>
      <c r="G191" s="55"/>
      <c r="H191" s="56"/>
      <c r="I191" s="56"/>
      <c r="J191" s="56"/>
    </row>
    <row r="192" spans="1:10">
      <c r="A192" s="55"/>
      <c r="B192" s="55"/>
      <c r="C192" s="55"/>
      <c r="D192" s="55"/>
      <c r="E192" s="55"/>
      <c r="F192" s="55"/>
      <c r="G192" s="55"/>
      <c r="H192" s="56"/>
      <c r="I192" s="56"/>
      <c r="J192" s="56"/>
    </row>
    <row r="193" spans="1:10">
      <c r="A193" s="55"/>
      <c r="B193" s="55"/>
      <c r="C193" s="55"/>
      <c r="D193" s="55"/>
      <c r="E193" s="55"/>
      <c r="F193" s="55"/>
      <c r="G193" s="55"/>
      <c r="H193" s="56"/>
      <c r="I193" s="56"/>
      <c r="J193" s="56"/>
    </row>
    <row r="194" spans="1:10">
      <c r="A194" s="55"/>
      <c r="B194" s="55"/>
      <c r="C194" s="55"/>
      <c r="D194" s="55"/>
      <c r="E194" s="55"/>
      <c r="F194" s="55"/>
      <c r="G194" s="55"/>
      <c r="H194" s="56"/>
      <c r="I194" s="56"/>
      <c r="J194" s="56"/>
    </row>
    <row r="195" spans="1:10">
      <c r="A195" s="55"/>
      <c r="B195" s="55"/>
      <c r="C195" s="55"/>
      <c r="D195" s="55"/>
      <c r="E195" s="55"/>
      <c r="F195" s="55"/>
      <c r="G195" s="55"/>
      <c r="H195" s="56"/>
      <c r="I195" s="56"/>
      <c r="J195" s="56"/>
    </row>
    <row r="196" spans="1:10">
      <c r="A196" s="55"/>
      <c r="B196" s="55"/>
      <c r="C196" s="55"/>
      <c r="D196" s="55"/>
      <c r="E196" s="55"/>
      <c r="F196" s="55"/>
      <c r="G196" s="55"/>
      <c r="H196" s="56"/>
      <c r="I196" s="56"/>
      <c r="J196" s="56"/>
    </row>
    <row r="197" spans="1:10">
      <c r="A197" s="55"/>
      <c r="B197" s="55"/>
      <c r="C197" s="55"/>
      <c r="D197" s="55"/>
      <c r="E197" s="55"/>
      <c r="F197" s="55"/>
      <c r="G197" s="55"/>
      <c r="H197" s="56"/>
      <c r="I197" s="56"/>
      <c r="J197" s="56"/>
    </row>
    <row r="198" spans="1:10">
      <c r="A198" s="55"/>
      <c r="B198" s="55"/>
      <c r="C198" s="55"/>
      <c r="D198" s="55"/>
      <c r="E198" s="55"/>
      <c r="F198" s="55"/>
      <c r="G198" s="55"/>
      <c r="H198" s="56"/>
      <c r="I198" s="56"/>
      <c r="J198" s="56"/>
    </row>
    <row r="199" spans="1:10">
      <c r="A199" s="55"/>
      <c r="B199" s="55"/>
      <c r="C199" s="55"/>
      <c r="D199" s="55"/>
      <c r="E199" s="55"/>
      <c r="F199" s="55"/>
      <c r="G199" s="55"/>
      <c r="H199" s="56"/>
      <c r="I199" s="56"/>
      <c r="J199" s="56"/>
    </row>
    <row r="200" spans="1:10">
      <c r="A200" s="55"/>
      <c r="B200" s="55"/>
      <c r="C200" s="55"/>
      <c r="D200" s="55"/>
      <c r="E200" s="55"/>
      <c r="F200" s="55"/>
      <c r="G200" s="55"/>
      <c r="H200" s="56"/>
      <c r="I200" s="56"/>
      <c r="J200" s="56"/>
    </row>
    <row r="201" spans="1:10">
      <c r="A201" s="55"/>
      <c r="B201" s="55"/>
      <c r="C201" s="55"/>
      <c r="D201" s="55"/>
      <c r="E201" s="55"/>
      <c r="F201" s="55"/>
      <c r="G201" s="55"/>
      <c r="H201" s="56"/>
      <c r="I201" s="56"/>
      <c r="J201" s="56"/>
    </row>
    <row r="202" spans="1:10">
      <c r="A202" s="55"/>
      <c r="B202" s="55"/>
      <c r="C202" s="55"/>
      <c r="D202" s="55"/>
      <c r="E202" s="55"/>
      <c r="F202" s="55"/>
      <c r="G202" s="55"/>
      <c r="H202" s="56"/>
      <c r="I202" s="56"/>
      <c r="J202" s="56"/>
    </row>
    <row r="203" spans="1:10">
      <c r="A203" s="55"/>
      <c r="B203" s="55"/>
      <c r="C203" s="55"/>
      <c r="D203" s="55"/>
      <c r="E203" s="55"/>
      <c r="F203" s="55"/>
      <c r="G203" s="55"/>
      <c r="H203" s="56"/>
      <c r="I203" s="56"/>
      <c r="J203" s="56"/>
    </row>
    <row r="204" spans="1:10">
      <c r="A204" s="55"/>
      <c r="B204" s="55"/>
      <c r="C204" s="55"/>
      <c r="D204" s="55"/>
      <c r="E204" s="55"/>
      <c r="F204" s="55"/>
      <c r="G204" s="55"/>
      <c r="H204" s="56"/>
      <c r="I204" s="56"/>
      <c r="J204" s="56"/>
    </row>
    <row r="205" spans="1:10">
      <c r="A205" s="55"/>
      <c r="B205" s="55"/>
      <c r="C205" s="55"/>
      <c r="D205" s="55"/>
      <c r="E205" s="55"/>
      <c r="F205" s="55"/>
      <c r="G205" s="55"/>
      <c r="H205" s="56"/>
      <c r="I205" s="56"/>
      <c r="J205" s="56"/>
    </row>
    <row r="206" spans="1:10">
      <c r="A206" s="55"/>
      <c r="B206" s="55"/>
      <c r="C206" s="55"/>
      <c r="D206" s="55"/>
      <c r="E206" s="55"/>
      <c r="F206" s="55"/>
      <c r="G206" s="55"/>
      <c r="H206" s="56"/>
      <c r="I206" s="56"/>
      <c r="J206" s="56"/>
    </row>
    <row r="207" spans="1:10">
      <c r="A207" s="55"/>
      <c r="B207" s="55"/>
      <c r="C207" s="55"/>
      <c r="D207" s="55"/>
      <c r="E207" s="55"/>
      <c r="F207" s="55"/>
      <c r="G207" s="55"/>
      <c r="H207" s="56"/>
      <c r="I207" s="56"/>
      <c r="J207" s="56"/>
    </row>
    <row r="208" spans="1:10">
      <c r="A208" s="55"/>
      <c r="B208" s="55"/>
      <c r="C208" s="55"/>
      <c r="D208" s="55"/>
      <c r="E208" s="55"/>
      <c r="F208" s="55"/>
      <c r="G208" s="55"/>
      <c r="H208" s="56"/>
      <c r="I208" s="56"/>
      <c r="J208" s="56"/>
    </row>
    <row r="209" spans="1:10">
      <c r="A209" s="55"/>
      <c r="B209" s="55"/>
      <c r="C209" s="55"/>
      <c r="D209" s="55"/>
      <c r="E209" s="55"/>
      <c r="F209" s="55"/>
      <c r="G209" s="55"/>
      <c r="H209" s="56"/>
      <c r="I209" s="56"/>
      <c r="J209" s="56"/>
    </row>
    <row r="210" spans="1:10">
      <c r="A210" s="55"/>
      <c r="B210" s="55"/>
      <c r="C210" s="55"/>
      <c r="D210" s="55"/>
      <c r="E210" s="55"/>
      <c r="F210" s="55"/>
      <c r="G210" s="55"/>
      <c r="H210" s="56"/>
      <c r="I210" s="56"/>
      <c r="J210" s="56"/>
    </row>
    <row r="211" spans="1:10">
      <c r="A211" s="55"/>
      <c r="B211" s="55"/>
      <c r="C211" s="55"/>
      <c r="D211" s="55"/>
      <c r="E211" s="55"/>
      <c r="F211" s="55"/>
      <c r="G211" s="55"/>
      <c r="H211" s="56"/>
      <c r="I211" s="56"/>
      <c r="J211" s="56"/>
    </row>
    <row r="212" spans="1:10">
      <c r="A212" s="55"/>
      <c r="B212" s="55"/>
      <c r="C212" s="55"/>
      <c r="D212" s="55"/>
      <c r="E212" s="55"/>
      <c r="F212" s="55"/>
      <c r="G212" s="55"/>
      <c r="H212" s="56"/>
      <c r="I212" s="56"/>
      <c r="J212" s="56"/>
    </row>
    <row r="213" spans="1:10">
      <c r="A213" s="55"/>
      <c r="B213" s="55"/>
      <c r="C213" s="55"/>
      <c r="D213" s="55"/>
      <c r="E213" s="55"/>
      <c r="F213" s="55"/>
      <c r="G213" s="55"/>
      <c r="H213" s="56"/>
      <c r="I213" s="56"/>
      <c r="J213" s="56"/>
    </row>
    <row r="214" spans="1:10">
      <c r="A214" s="55"/>
      <c r="B214" s="55"/>
      <c r="C214" s="55"/>
      <c r="D214" s="55"/>
      <c r="E214" s="55"/>
      <c r="F214" s="55"/>
      <c r="G214" s="55"/>
      <c r="H214" s="56"/>
      <c r="I214" s="56"/>
      <c r="J214" s="56"/>
    </row>
    <row r="215" spans="1:10">
      <c r="A215" s="55"/>
      <c r="B215" s="55"/>
      <c r="C215" s="55"/>
      <c r="D215" s="55"/>
      <c r="E215" s="55"/>
      <c r="F215" s="55"/>
      <c r="G215" s="55"/>
      <c r="H215" s="56"/>
      <c r="I215" s="56"/>
      <c r="J215" s="56"/>
    </row>
    <row r="216" spans="1:10">
      <c r="A216" s="55"/>
      <c r="B216" s="55"/>
      <c r="C216" s="55"/>
      <c r="D216" s="55"/>
      <c r="E216" s="55"/>
      <c r="F216" s="55"/>
      <c r="G216" s="55"/>
      <c r="H216" s="56"/>
      <c r="I216" s="56"/>
      <c r="J216" s="56"/>
    </row>
    <row r="217" spans="1:10">
      <c r="A217" s="55"/>
      <c r="B217" s="55"/>
      <c r="C217" s="55"/>
      <c r="D217" s="55"/>
      <c r="E217" s="55"/>
      <c r="F217" s="55"/>
      <c r="G217" s="55"/>
      <c r="H217" s="56"/>
      <c r="I217" s="56"/>
      <c r="J217" s="56"/>
    </row>
    <row r="218" spans="1:10">
      <c r="A218" s="55"/>
      <c r="B218" s="55"/>
      <c r="C218" s="55"/>
      <c r="D218" s="55"/>
      <c r="E218" s="55"/>
      <c r="F218" s="55"/>
      <c r="G218" s="55"/>
      <c r="H218" s="56"/>
      <c r="I218" s="56"/>
      <c r="J218" s="56"/>
    </row>
    <row r="219" spans="1:10">
      <c r="A219" s="55"/>
      <c r="B219" s="55"/>
      <c r="C219" s="55"/>
      <c r="D219" s="55"/>
      <c r="E219" s="55"/>
      <c r="F219" s="55"/>
      <c r="G219" s="55"/>
      <c r="H219" s="56"/>
      <c r="I219" s="56"/>
      <c r="J219" s="56"/>
    </row>
    <row r="220" spans="1:10">
      <c r="A220" s="55"/>
      <c r="B220" s="55"/>
      <c r="C220" s="55"/>
      <c r="D220" s="55"/>
      <c r="E220" s="55"/>
      <c r="F220" s="55"/>
      <c r="G220" s="55"/>
      <c r="H220" s="56"/>
      <c r="I220" s="56"/>
      <c r="J220" s="56"/>
    </row>
    <row r="221" spans="1:10">
      <c r="A221" s="55"/>
      <c r="B221" s="55"/>
      <c r="C221" s="55"/>
      <c r="D221" s="55"/>
      <c r="E221" s="55"/>
      <c r="F221" s="55"/>
      <c r="G221" s="55"/>
      <c r="H221" s="56"/>
      <c r="I221" s="56"/>
      <c r="J221" s="56"/>
    </row>
    <row r="222" spans="1:10">
      <c r="A222" s="55"/>
      <c r="B222" s="55"/>
      <c r="C222" s="55"/>
      <c r="D222" s="55"/>
      <c r="E222" s="55"/>
      <c r="F222" s="55"/>
      <c r="G222" s="55"/>
      <c r="H222" s="56"/>
      <c r="I222" s="56"/>
      <c r="J222" s="56"/>
    </row>
    <row r="223" spans="1:10">
      <c r="A223" s="55"/>
      <c r="B223" s="55"/>
      <c r="C223" s="55"/>
      <c r="D223" s="55"/>
      <c r="E223" s="55"/>
      <c r="F223" s="55"/>
      <c r="G223" s="55"/>
      <c r="H223" s="56"/>
      <c r="I223" s="56"/>
      <c r="J223" s="56"/>
    </row>
    <row r="224" spans="1:10">
      <c r="A224" s="55"/>
      <c r="B224" s="55"/>
      <c r="C224" s="55"/>
      <c r="D224" s="55"/>
      <c r="E224" s="55"/>
      <c r="F224" s="55"/>
      <c r="G224" s="55"/>
      <c r="H224" s="56"/>
      <c r="I224" s="56"/>
      <c r="J224" s="56"/>
    </row>
    <row r="225" spans="1:10">
      <c r="A225" s="55"/>
      <c r="B225" s="55"/>
      <c r="C225" s="55"/>
      <c r="D225" s="55"/>
      <c r="E225" s="55"/>
      <c r="F225" s="55"/>
      <c r="G225" s="55"/>
      <c r="H225" s="56"/>
      <c r="I225" s="56"/>
      <c r="J225" s="56"/>
    </row>
    <row r="226" spans="1:10">
      <c r="A226" s="55"/>
      <c r="B226" s="55"/>
      <c r="C226" s="55"/>
      <c r="D226" s="55"/>
      <c r="E226" s="55"/>
      <c r="F226" s="55"/>
      <c r="G226" s="55"/>
      <c r="H226" s="56"/>
      <c r="I226" s="56"/>
      <c r="J226" s="56"/>
    </row>
    <row r="227" spans="1:10">
      <c r="A227" s="55"/>
      <c r="B227" s="55"/>
      <c r="C227" s="55"/>
      <c r="D227" s="55"/>
      <c r="E227" s="55"/>
      <c r="F227" s="55"/>
      <c r="G227" s="55"/>
      <c r="H227" s="56"/>
      <c r="I227" s="56"/>
      <c r="J227" s="56"/>
    </row>
    <row r="228" spans="1:10">
      <c r="A228" s="55"/>
      <c r="B228" s="55"/>
      <c r="C228" s="55"/>
      <c r="D228" s="55"/>
      <c r="E228" s="55"/>
      <c r="F228" s="55"/>
      <c r="G228" s="55"/>
      <c r="H228" s="56"/>
      <c r="I228" s="56"/>
      <c r="J228" s="56"/>
    </row>
    <row r="229" spans="1:10">
      <c r="A229" s="55"/>
      <c r="B229" s="55"/>
      <c r="C229" s="55"/>
      <c r="D229" s="55"/>
      <c r="E229" s="55"/>
      <c r="F229" s="55"/>
      <c r="G229" s="55"/>
      <c r="H229" s="56"/>
      <c r="I229" s="56"/>
      <c r="J229" s="56"/>
    </row>
    <row r="230" spans="1:10">
      <c r="A230" s="55"/>
      <c r="B230" s="55"/>
      <c r="C230" s="55"/>
      <c r="D230" s="55"/>
      <c r="E230" s="55"/>
      <c r="F230" s="55"/>
      <c r="G230" s="55"/>
      <c r="H230" s="56"/>
      <c r="I230" s="56"/>
      <c r="J230" s="56"/>
    </row>
    <row r="231" spans="1:10">
      <c r="A231" s="55"/>
      <c r="B231" s="55"/>
      <c r="C231" s="55"/>
      <c r="D231" s="55"/>
      <c r="E231" s="55"/>
      <c r="F231" s="55"/>
      <c r="G231" s="55"/>
      <c r="H231" s="56"/>
      <c r="I231" s="56"/>
      <c r="J231" s="56"/>
    </row>
    <row r="232" spans="1:10">
      <c r="A232" s="55"/>
      <c r="B232" s="55"/>
      <c r="C232" s="55"/>
      <c r="D232" s="55"/>
      <c r="E232" s="55"/>
      <c r="F232" s="55"/>
      <c r="G232" s="55"/>
      <c r="H232" s="56"/>
      <c r="I232" s="56"/>
      <c r="J232" s="56"/>
    </row>
    <row r="233" spans="1:10">
      <c r="A233" s="55"/>
      <c r="B233" s="55"/>
      <c r="C233" s="55"/>
      <c r="D233" s="55"/>
      <c r="E233" s="55"/>
      <c r="F233" s="55"/>
      <c r="G233" s="55"/>
      <c r="H233" s="56"/>
      <c r="I233" s="56"/>
      <c r="J233" s="56"/>
    </row>
    <row r="234" spans="1:10">
      <c r="A234" s="55"/>
      <c r="B234" s="55"/>
      <c r="C234" s="55"/>
      <c r="D234" s="55"/>
      <c r="E234" s="55"/>
      <c r="F234" s="55"/>
      <c r="G234" s="55"/>
      <c r="H234" s="56"/>
      <c r="I234" s="56"/>
      <c r="J234" s="56"/>
    </row>
    <row r="235" spans="1:10">
      <c r="A235" s="55"/>
      <c r="B235" s="55"/>
      <c r="C235" s="55"/>
      <c r="D235" s="55"/>
      <c r="E235" s="55"/>
      <c r="F235" s="55"/>
      <c r="G235" s="55"/>
      <c r="H235" s="56"/>
      <c r="I235" s="56"/>
      <c r="J235" s="56"/>
    </row>
    <row r="236" spans="1:10">
      <c r="A236" s="55"/>
      <c r="B236" s="55"/>
      <c r="C236" s="55"/>
      <c r="D236" s="55"/>
      <c r="E236" s="55"/>
      <c r="F236" s="55"/>
      <c r="G236" s="55"/>
      <c r="H236" s="56"/>
      <c r="I236" s="56"/>
      <c r="J236" s="56"/>
    </row>
    <row r="237" spans="1:10">
      <c r="A237" s="55"/>
      <c r="B237" s="55"/>
      <c r="C237" s="55"/>
      <c r="D237" s="55"/>
      <c r="E237" s="55"/>
      <c r="F237" s="55"/>
      <c r="G237" s="55"/>
      <c r="H237" s="56"/>
      <c r="I237" s="56"/>
      <c r="J237" s="56"/>
    </row>
    <row r="238" spans="1:10">
      <c r="A238" s="55"/>
      <c r="B238" s="55"/>
      <c r="C238" s="55"/>
      <c r="D238" s="55"/>
      <c r="E238" s="55"/>
      <c r="F238" s="55"/>
      <c r="G238" s="55"/>
      <c r="H238" s="56"/>
      <c r="I238" s="56"/>
      <c r="J238" s="56"/>
    </row>
    <row r="239" spans="1:10">
      <c r="A239" s="55"/>
      <c r="B239" s="55"/>
      <c r="C239" s="55"/>
      <c r="D239" s="55"/>
      <c r="E239" s="55"/>
      <c r="F239" s="55"/>
      <c r="G239" s="55"/>
      <c r="H239" s="56"/>
      <c r="I239" s="56"/>
      <c r="J239" s="56"/>
    </row>
    <row r="240" spans="1:10">
      <c r="A240" s="55"/>
      <c r="B240" s="55"/>
      <c r="C240" s="55"/>
      <c r="D240" s="55"/>
      <c r="E240" s="55"/>
      <c r="F240" s="55"/>
      <c r="G240" s="55"/>
      <c r="H240" s="56"/>
      <c r="I240" s="56"/>
      <c r="J240" s="56"/>
    </row>
    <row r="241" spans="1:10">
      <c r="A241" s="55"/>
      <c r="B241" s="55"/>
      <c r="C241" s="55"/>
      <c r="D241" s="55"/>
      <c r="E241" s="55"/>
      <c r="F241" s="55"/>
      <c r="G241" s="55"/>
      <c r="H241" s="56"/>
      <c r="I241" s="56"/>
      <c r="J241" s="56"/>
    </row>
    <row r="242" spans="1:10">
      <c r="A242" s="55"/>
      <c r="B242" s="55"/>
      <c r="C242" s="55"/>
      <c r="D242" s="55"/>
      <c r="E242" s="55"/>
      <c r="F242" s="55"/>
      <c r="G242" s="55"/>
      <c r="H242" s="56"/>
      <c r="I242" s="56"/>
      <c r="J242" s="56"/>
    </row>
    <row r="243" spans="1:10">
      <c r="A243" s="55"/>
      <c r="B243" s="55"/>
      <c r="C243" s="55"/>
      <c r="D243" s="55"/>
      <c r="E243" s="55"/>
      <c r="F243" s="55"/>
      <c r="G243" s="55"/>
      <c r="H243" s="56"/>
      <c r="I243" s="56"/>
      <c r="J243" s="56"/>
    </row>
    <row r="244" spans="1:10">
      <c r="A244" s="55"/>
      <c r="B244" s="55"/>
      <c r="C244" s="55"/>
      <c r="D244" s="55"/>
      <c r="E244" s="55"/>
      <c r="F244" s="55"/>
      <c r="G244" s="55"/>
      <c r="H244" s="56"/>
      <c r="I244" s="56"/>
      <c r="J244" s="56"/>
    </row>
    <row r="245" spans="1:10">
      <c r="A245" s="55"/>
      <c r="B245" s="55"/>
      <c r="C245" s="55"/>
      <c r="D245" s="55"/>
      <c r="E245" s="55"/>
      <c r="F245" s="55"/>
      <c r="G245" s="55"/>
      <c r="H245" s="56"/>
      <c r="I245" s="56"/>
      <c r="J245" s="56"/>
    </row>
    <row r="246" spans="1:10">
      <c r="A246" s="55"/>
      <c r="B246" s="55"/>
      <c r="C246" s="55"/>
      <c r="D246" s="55"/>
      <c r="E246" s="55"/>
      <c r="F246" s="55"/>
      <c r="G246" s="55"/>
      <c r="H246" s="56"/>
      <c r="I246" s="56"/>
      <c r="J246" s="56"/>
    </row>
    <row r="247" spans="1:10">
      <c r="A247" s="55"/>
      <c r="B247" s="55"/>
      <c r="C247" s="55"/>
      <c r="D247" s="55"/>
      <c r="E247" s="55"/>
      <c r="F247" s="55"/>
      <c r="G247" s="55"/>
      <c r="H247" s="56"/>
      <c r="I247" s="56"/>
      <c r="J247" s="56"/>
    </row>
    <row r="248" spans="1:10">
      <c r="A248" s="55"/>
      <c r="B248" s="55"/>
      <c r="C248" s="55"/>
      <c r="D248" s="55"/>
      <c r="E248" s="55"/>
      <c r="F248" s="55"/>
      <c r="G248" s="55"/>
      <c r="H248" s="56"/>
      <c r="I248" s="56"/>
      <c r="J248" s="56"/>
    </row>
    <row r="249" spans="1:10">
      <c r="A249" s="55"/>
      <c r="B249" s="55"/>
      <c r="C249" s="55"/>
      <c r="D249" s="55"/>
      <c r="E249" s="55"/>
      <c r="F249" s="55"/>
      <c r="G249" s="55"/>
      <c r="H249" s="56"/>
      <c r="I249" s="56"/>
      <c r="J249" s="56"/>
    </row>
    <row r="250" spans="1:10">
      <c r="A250" s="55"/>
      <c r="B250" s="55"/>
      <c r="C250" s="55"/>
      <c r="D250" s="55"/>
      <c r="E250" s="55"/>
      <c r="F250" s="55"/>
      <c r="G250" s="55"/>
      <c r="H250" s="56"/>
      <c r="I250" s="56"/>
      <c r="J250" s="56"/>
    </row>
    <row r="251" spans="1:10">
      <c r="A251" s="55"/>
      <c r="B251" s="55"/>
      <c r="C251" s="55"/>
      <c r="D251" s="55"/>
      <c r="E251" s="55"/>
      <c r="F251" s="55"/>
      <c r="G251" s="55"/>
      <c r="H251" s="56"/>
      <c r="I251" s="56"/>
      <c r="J251" s="56"/>
    </row>
    <row r="252" spans="1:10">
      <c r="A252" s="55"/>
      <c r="B252" s="55"/>
      <c r="C252" s="55"/>
      <c r="D252" s="55"/>
      <c r="E252" s="55"/>
      <c r="F252" s="55"/>
      <c r="G252" s="55"/>
      <c r="H252" s="56"/>
      <c r="I252" s="56"/>
      <c r="J252" s="56"/>
    </row>
    <row r="253" spans="1:10">
      <c r="A253" s="55"/>
      <c r="B253" s="55"/>
      <c r="C253" s="55"/>
      <c r="D253" s="55"/>
      <c r="E253" s="55"/>
      <c r="F253" s="55"/>
      <c r="G253" s="55"/>
      <c r="H253" s="56"/>
      <c r="I253" s="56"/>
      <c r="J253" s="56"/>
    </row>
    <row r="254" spans="1:10">
      <c r="A254" s="55"/>
      <c r="B254" s="55"/>
      <c r="C254" s="55"/>
      <c r="D254" s="55"/>
      <c r="E254" s="55"/>
      <c r="F254" s="55"/>
      <c r="G254" s="55"/>
      <c r="H254" s="56"/>
      <c r="I254" s="56"/>
      <c r="J254" s="56"/>
    </row>
    <row r="255" spans="1:10">
      <c r="A255" s="55"/>
      <c r="B255" s="55"/>
      <c r="C255" s="55"/>
      <c r="D255" s="55"/>
      <c r="E255" s="55"/>
      <c r="F255" s="55"/>
      <c r="G255" s="55"/>
      <c r="H255" s="56"/>
      <c r="I255" s="56"/>
      <c r="J255" s="56"/>
    </row>
    <row r="256" spans="1:10">
      <c r="A256" s="55"/>
      <c r="B256" s="55"/>
      <c r="C256" s="55"/>
      <c r="D256" s="55"/>
      <c r="E256" s="55"/>
      <c r="F256" s="55"/>
      <c r="G256" s="55"/>
      <c r="H256" s="56"/>
      <c r="I256" s="56"/>
      <c r="J256" s="56"/>
    </row>
    <row r="257" spans="1:10">
      <c r="A257" s="55"/>
      <c r="B257" s="55"/>
      <c r="C257" s="55"/>
      <c r="D257" s="55"/>
      <c r="E257" s="55"/>
      <c r="F257" s="55"/>
      <c r="G257" s="55"/>
      <c r="H257" s="56"/>
      <c r="I257" s="56"/>
      <c r="J257" s="56"/>
    </row>
  </sheetData>
  <mergeCells count="3">
    <mergeCell ref="B2:D2"/>
    <mergeCell ref="E2:G2"/>
    <mergeCell ref="H2:J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AO23"/>
  <sheetViews>
    <sheetView topLeftCell="A25" workbookViewId="0"/>
  </sheetViews>
  <sheetFormatPr defaultColWidth="9.109375" defaultRowHeight="14.4"/>
  <cols>
    <col min="1" max="1" width="52.6640625" style="63" bestFit="1" customWidth="1"/>
    <col min="2" max="16384" width="9.109375" style="63"/>
  </cols>
  <sheetData>
    <row r="1" spans="1:41" s="70" customFormat="1" ht="15" thickBot="1">
      <c r="A1" s="282" t="s">
        <v>369</v>
      </c>
    </row>
    <row r="2" spans="1:41">
      <c r="A2" s="57" t="s">
        <v>185</v>
      </c>
      <c r="B2" s="57">
        <v>2011</v>
      </c>
      <c r="C2" s="57">
        <f>B2+1</f>
        <v>2012</v>
      </c>
      <c r="D2" s="57">
        <f t="shared" ref="D2:X2" si="0">C2+1</f>
        <v>2013</v>
      </c>
      <c r="E2" s="57">
        <f t="shared" si="0"/>
        <v>2014</v>
      </c>
      <c r="F2" s="57">
        <f t="shared" si="0"/>
        <v>2015</v>
      </c>
      <c r="G2" s="57">
        <f t="shared" si="0"/>
        <v>2016</v>
      </c>
      <c r="H2" s="57">
        <f t="shared" si="0"/>
        <v>2017</v>
      </c>
      <c r="I2" s="57">
        <f t="shared" si="0"/>
        <v>2018</v>
      </c>
      <c r="J2" s="57">
        <f t="shared" si="0"/>
        <v>2019</v>
      </c>
      <c r="K2" s="57">
        <f t="shared" si="0"/>
        <v>2020</v>
      </c>
      <c r="L2" s="57">
        <f t="shared" si="0"/>
        <v>2021</v>
      </c>
      <c r="M2" s="57">
        <f t="shared" si="0"/>
        <v>2022</v>
      </c>
      <c r="N2" s="57">
        <f t="shared" si="0"/>
        <v>2023</v>
      </c>
      <c r="O2" s="57">
        <f t="shared" si="0"/>
        <v>2024</v>
      </c>
      <c r="P2" s="57">
        <f t="shared" si="0"/>
        <v>2025</v>
      </c>
      <c r="Q2" s="57">
        <f t="shared" si="0"/>
        <v>2026</v>
      </c>
      <c r="R2" s="57">
        <f t="shared" si="0"/>
        <v>2027</v>
      </c>
      <c r="S2" s="57">
        <f t="shared" si="0"/>
        <v>2028</v>
      </c>
      <c r="T2" s="57">
        <f t="shared" si="0"/>
        <v>2029</v>
      </c>
      <c r="U2" s="57">
        <f>T2+1</f>
        <v>2030</v>
      </c>
      <c r="V2" s="57">
        <f t="shared" si="0"/>
        <v>2031</v>
      </c>
      <c r="W2" s="57">
        <f t="shared" si="0"/>
        <v>2032</v>
      </c>
      <c r="X2" s="57">
        <f t="shared" si="0"/>
        <v>2033</v>
      </c>
      <c r="Y2" s="57">
        <f>X2+1</f>
        <v>2034</v>
      </c>
      <c r="Z2" s="57">
        <f t="shared" ref="Z2:AO2" si="1">Y2+1</f>
        <v>2035</v>
      </c>
      <c r="AA2" s="57">
        <f t="shared" si="1"/>
        <v>2036</v>
      </c>
      <c r="AB2" s="57">
        <f t="shared" si="1"/>
        <v>2037</v>
      </c>
      <c r="AC2" s="57">
        <f t="shared" si="1"/>
        <v>2038</v>
      </c>
      <c r="AD2" s="57">
        <f t="shared" si="1"/>
        <v>2039</v>
      </c>
      <c r="AE2" s="57">
        <f t="shared" si="1"/>
        <v>2040</v>
      </c>
      <c r="AF2" s="57">
        <f t="shared" si="1"/>
        <v>2041</v>
      </c>
      <c r="AG2" s="57">
        <f t="shared" si="1"/>
        <v>2042</v>
      </c>
      <c r="AH2" s="57">
        <f t="shared" si="1"/>
        <v>2043</v>
      </c>
      <c r="AI2" s="57">
        <f t="shared" si="1"/>
        <v>2044</v>
      </c>
      <c r="AJ2" s="57">
        <f t="shared" si="1"/>
        <v>2045</v>
      </c>
      <c r="AK2" s="57">
        <f t="shared" si="1"/>
        <v>2046</v>
      </c>
      <c r="AL2" s="57">
        <f t="shared" si="1"/>
        <v>2047</v>
      </c>
      <c r="AM2" s="57">
        <f t="shared" si="1"/>
        <v>2048</v>
      </c>
      <c r="AN2" s="57">
        <f t="shared" si="1"/>
        <v>2049</v>
      </c>
      <c r="AO2" s="57">
        <f t="shared" si="1"/>
        <v>2050</v>
      </c>
    </row>
    <row r="3" spans="1:41">
      <c r="A3" s="63" t="s">
        <v>186</v>
      </c>
      <c r="B3" s="63">
        <f>'NW Baseline Grid Char'!B3*VLOOKUP(B$2,'NW Baseline Energy'!$A$4:$G$43,5,0)</f>
        <v>937875.49041188555</v>
      </c>
      <c r="C3" s="63">
        <f>'NW Baseline Grid Char'!C3*VLOOKUP(C$2,'NW Baseline Energy'!$A$4:$G$43,5,0)</f>
        <v>955572.82178553054</v>
      </c>
      <c r="D3" s="63">
        <f>'NW Baseline Grid Char'!D3*VLOOKUP(D$2,'NW Baseline Energy'!$A$4:$G$43,5,0)</f>
        <v>973533.61371793365</v>
      </c>
      <c r="E3" s="63">
        <f>'NW Baseline Grid Char'!E3*VLOOKUP(E$2,'NW Baseline Energy'!$A$4:$G$43,5,0)</f>
        <v>991761.3996921113</v>
      </c>
      <c r="F3" s="63">
        <f>'NW Baseline Grid Char'!F3*VLOOKUP(F$2,'NW Baseline Energy'!$A$4:$G$43,5,0)</f>
        <v>1010259.7578648989</v>
      </c>
      <c r="G3" s="63">
        <f>'NW Baseline Grid Char'!G3*VLOOKUP(G$2,'NW Baseline Energy'!$A$4:$G$43,5,0)</f>
        <v>1029032.3116106873</v>
      </c>
      <c r="H3" s="63">
        <f>'NW Baseline Grid Char'!H3*VLOOKUP(H$2,'NW Baseline Energy'!$A$4:$G$43,5,0)</f>
        <v>1048082.7300716016</v>
      </c>
      <c r="I3" s="63">
        <f>'NW Baseline Grid Char'!I3*VLOOKUP(I$2,'NW Baseline Energy'!$A$4:$G$43,5,0)</f>
        <v>1067414.7287141997</v>
      </c>
      <c r="J3" s="63">
        <f>'NW Baseline Grid Char'!J3*VLOOKUP(J$2,'NW Baseline Energy'!$A$4:$G$43,5,0)</f>
        <v>1087032.0698927653</v>
      </c>
      <c r="K3" s="63">
        <f>'NW Baseline Grid Char'!K3*VLOOKUP(K$2,'NW Baseline Energy'!$A$4:$G$43,5,0)</f>
        <v>1111601.3588165999</v>
      </c>
      <c r="L3" s="63">
        <f>'NW Baseline Grid Char'!L3*VLOOKUP(L$2,'NW Baseline Energy'!$A$4:$G$43,5,0)</f>
        <v>1141073.5724658968</v>
      </c>
      <c r="M3" s="63">
        <f>'NW Baseline Grid Char'!M3*VLOOKUP(M$2,'NW Baseline Energy'!$A$4:$G$43,5,0)</f>
        <v>1171254.1076339204</v>
      </c>
      <c r="N3" s="63">
        <f>'NW Baseline Grid Char'!N3*VLOOKUP(N$2,'NW Baseline Energy'!$A$4:$G$43,5,0)</f>
        <v>1202158.9769360488</v>
      </c>
      <c r="O3" s="63">
        <f>'NW Baseline Grid Char'!O3*VLOOKUP(O$2,'NW Baseline Energy'!$A$4:$G$43,5,0)</f>
        <v>1233804.6181729212</v>
      </c>
      <c r="P3" s="63">
        <f>'NW Baseline Grid Char'!P3*VLOOKUP(P$2,'NW Baseline Energy'!$A$4:$G$43,5,0)</f>
        <v>1266207.8288298433</v>
      </c>
      <c r="Q3" s="63">
        <f>'NW Baseline Grid Char'!Q3*VLOOKUP(Q$2,'NW Baseline Energy'!$A$4:$G$43,5,0)</f>
        <v>1299385.7737480798</v>
      </c>
      <c r="R3" s="63">
        <f>'NW Baseline Grid Char'!R3*VLOOKUP(R$2,'NW Baseline Energy'!$A$4:$G$43,5,0)</f>
        <v>1333355.9929566716</v>
      </c>
      <c r="S3" s="63">
        <f>'NW Baseline Grid Char'!S3*VLOOKUP(S$2,'NW Baseline Energy'!$A$4:$G$43,5,0)</f>
        <v>1368136.4096681001</v>
      </c>
      <c r="T3" s="63">
        <f>'NW Baseline Grid Char'!T3*VLOOKUP(T$2,'NW Baseline Energy'!$A$4:$G$43,5,0)</f>
        <v>1403745.338441164</v>
      </c>
      <c r="U3" s="63">
        <f>'NW Baseline Grid Char'!U3*VLOOKUP(U$2,'NW Baseline Energy'!$A$4:$G$43,5,0)</f>
        <v>1438023.3522192</v>
      </c>
      <c r="V3" s="63">
        <f>'NW Baseline Grid Char'!V3*VLOOKUP(V$2,'NW Baseline Energy'!$A$4:$G$43,5,0)</f>
        <v>1473058.2021817716</v>
      </c>
      <c r="W3" s="63">
        <f>'NW Baseline Grid Char'!W3*VLOOKUP(W$2,'NW Baseline Energy'!$A$4:$G$43,5,0)</f>
        <v>1508865.6651532135</v>
      </c>
      <c r="X3" s="63">
        <f>'NW Baseline Grid Char'!X3*VLOOKUP(X$2,'NW Baseline Energy'!$A$4:$G$43,5,0)</f>
        <v>1545461.8348171688</v>
      </c>
      <c r="Y3" s="63">
        <f>'NW Baseline Grid Char'!Y3*VLOOKUP(Y$2,'NW Baseline Energy'!$A$4:$G$43,5,0)</f>
        <v>1582863.0343791696</v>
      </c>
      <c r="Z3" s="63">
        <f>'NW Baseline Grid Char'!Z3*VLOOKUP(Z$2,'NW Baseline Energy'!$A$4:$G$43,5,0)</f>
        <v>1621086.1954573654</v>
      </c>
      <c r="AA3" s="63">
        <f>'NW Baseline Grid Char'!AA3*VLOOKUP(AA$2,'NW Baseline Energy'!$A$4:$G$43,5,0)</f>
        <v>1660148.3080037411</v>
      </c>
      <c r="AB3" s="63">
        <f>'NW Baseline Grid Char'!AB3*VLOOKUP(AB$2,'NW Baseline Energy'!$A$4:$G$43,5,0)</f>
        <v>1700066.7963381871</v>
      </c>
      <c r="AC3" s="63">
        <f>'NW Baseline Grid Char'!AC3*VLOOKUP(AC$2,'NW Baseline Energy'!$A$4:$G$43,5,0)</f>
        <v>1740859.4338516349</v>
      </c>
      <c r="AD3" s="63">
        <f>'NW Baseline Grid Char'!AD3*VLOOKUP(AD$2,'NW Baseline Energy'!$A$4:$G$43,5,0)</f>
        <v>1782544.3498237492</v>
      </c>
      <c r="AE3" s="63">
        <f>'NW Baseline Grid Char'!AE3*VLOOKUP(AE$2,'NW Baseline Energy'!$A$4:$G$43,5,0)</f>
        <v>1825140.0363712949</v>
      </c>
      <c r="AF3" s="63">
        <f>'NW Baseline Grid Char'!AF3*VLOOKUP(AF$2,'NW Baseline Energy'!$A$4:$G$43,5,0)</f>
        <v>1868665.3555296299</v>
      </c>
      <c r="AG3" s="63">
        <f>'NW Baseline Grid Char'!AG3*VLOOKUP(AG$2,'NW Baseline Energy'!$A$4:$G$43,5,0)</f>
        <v>1913139.5464698547</v>
      </c>
      <c r="AH3" s="63">
        <f>'NW Baseline Grid Char'!AH3*VLOOKUP(AH$2,'NW Baseline Energy'!$A$4:$G$43,5,0)</f>
        <v>1958582.2328541661</v>
      </c>
      <c r="AI3" s="63">
        <f>'NW Baseline Grid Char'!AI3*VLOOKUP(AI$2,'NW Baseline Energy'!$A$4:$G$43,5,0)</f>
        <v>2005013.4303320344</v>
      </c>
      <c r="AJ3" s="63">
        <f>'NW Baseline Grid Char'!AJ3*VLOOKUP(AJ$2,'NW Baseline Energy'!$A$4:$G$43,5,0)</f>
        <v>2052453.5541798547</v>
      </c>
      <c r="AK3" s="63">
        <f>'NW Baseline Grid Char'!AK3*VLOOKUP(AK$2,'NW Baseline Energy'!$A$4:$G$43,5,0)</f>
        <v>2100923.4270867826</v>
      </c>
      <c r="AL3" s="63">
        <f>'NW Baseline Grid Char'!AL3*VLOOKUP(AL$2,'NW Baseline Energy'!$A$4:$G$43,5,0)</f>
        <v>2150444.2870895127</v>
      </c>
      <c r="AM3" s="63">
        <f>'NW Baseline Grid Char'!AM3*VLOOKUP(AM$2,'NW Baseline Energy'!$A$4:$G$43,5,0)</f>
        <v>2201037.6774516939</v>
      </c>
      <c r="AN3" s="63">
        <f>'NW Baseline Grid Char'!AN3*VLOOKUP(AN$2,'NW Baseline Energy'!$A$4:$G$43,5,0)</f>
        <v>2252725.9257404893</v>
      </c>
      <c r="AO3" s="63">
        <f>'NW Baseline Grid Char'!AO3*VLOOKUP(AO$2,'NW Baseline Energy'!$A$4:$G$43,5,0)</f>
        <v>2305531.4489280526</v>
      </c>
    </row>
    <row r="4" spans="1:41">
      <c r="A4" s="63" t="s">
        <v>189</v>
      </c>
      <c r="B4" s="63">
        <f>'NW Baseline Grid Char'!B6*VLOOKUP(B$2,'NW Baseline Energy'!$A$4:$G$43,5,0)</f>
        <v>15636182.40596847</v>
      </c>
      <c r="C4" s="63">
        <f>'NW Baseline Grid Char'!C6*VLOOKUP(C$2,'NW Baseline Energy'!$A$4:$G$43,5,0)</f>
        <v>16187256.877066424</v>
      </c>
      <c r="D4" s="63">
        <f>'NW Baseline Grid Char'!D6*VLOOKUP(D$2,'NW Baseline Energy'!$A$4:$G$43,5,0)</f>
        <v>16747947.035925832</v>
      </c>
      <c r="E4" s="63">
        <f>'NW Baseline Grid Char'!E6*VLOOKUP(E$2,'NW Baseline Energy'!$A$4:$G$43,5,0)</f>
        <v>17318391.714470729</v>
      </c>
      <c r="F4" s="63">
        <f>'NW Baseline Grid Char'!F6*VLOOKUP(F$2,'NW Baseline Energy'!$A$4:$G$43,5,0)</f>
        <v>17898731.576438211</v>
      </c>
      <c r="G4" s="63">
        <f>'NW Baseline Grid Char'!G6*VLOOKUP(G$2,'NW Baseline Energy'!$A$4:$G$43,5,0)</f>
        <v>18489109.140303921</v>
      </c>
      <c r="H4" s="63">
        <f>'NW Baseline Grid Char'!H6*VLOOKUP(H$2,'NW Baseline Energy'!$A$4:$G$43,5,0)</f>
        <v>19089668.802484669</v>
      </c>
      <c r="I4" s="63">
        <f>'NW Baseline Grid Char'!I6*VLOOKUP(I$2,'NW Baseline Energy'!$A$4:$G$43,5,0)</f>
        <v>19700556.860821422</v>
      </c>
      <c r="J4" s="63">
        <f>'NW Baseline Grid Char'!J6*VLOOKUP(J$2,'NW Baseline Energy'!$A$4:$G$43,5,0)</f>
        <v>20321921.610320095</v>
      </c>
      <c r="K4" s="63">
        <f>'NW Baseline Grid Char'!K6*VLOOKUP(K$2,'NW Baseline Energy'!$A$4:$G$43,5,0)</f>
        <v>21042177.969075002</v>
      </c>
      <c r="L4" s="63">
        <f>'NW Baseline Grid Char'!L6*VLOOKUP(L$2,'NW Baseline Energy'!$A$4:$G$43,5,0)</f>
        <v>21863698.072463557</v>
      </c>
      <c r="M4" s="63">
        <f>'NW Baseline Grid Char'!M6*VLOOKUP(M$2,'NW Baseline Energy'!$A$4:$G$43,5,0)</f>
        <v>22708326.657967053</v>
      </c>
      <c r="N4" s="63">
        <f>'NW Baseline Grid Char'!N6*VLOOKUP(N$2,'NW Baseline Energy'!$A$4:$G$43,5,0)</f>
        <v>23576635.994592048</v>
      </c>
      <c r="O4" s="63">
        <f>'NW Baseline Grid Char'!O6*VLOOKUP(O$2,'NW Baseline Energy'!$A$4:$G$43,5,0)</f>
        <v>24469211.587433904</v>
      </c>
      <c r="P4" s="63">
        <f>'NW Baseline Grid Char'!P6*VLOOKUP(P$2,'NW Baseline Energy'!$A$4:$G$43,5,0)</f>
        <v>25386652.471021134</v>
      </c>
      <c r="Q4" s="63">
        <f>'NW Baseline Grid Char'!Q6*VLOOKUP(Q$2,'NW Baseline Energy'!$A$4:$G$43,5,0)</f>
        <v>26329571.508973598</v>
      </c>
      <c r="R4" s="63">
        <f>'NW Baseline Grid Char'!R6*VLOOKUP(R$2,'NW Baseline Energy'!$A$4:$G$43,5,0)</f>
        <v>27298595.700107697</v>
      </c>
      <c r="S4" s="63">
        <f>'NW Baseline Grid Char'!S6*VLOOKUP(S$2,'NW Baseline Energy'!$A$4:$G$43,5,0)</f>
        <v>28294366.491124362</v>
      </c>
      <c r="T4" s="63">
        <f>'NW Baseline Grid Char'!T6*VLOOKUP(T$2,'NW Baseline Energy'!$A$4:$G$43,5,0)</f>
        <v>29317540.096018322</v>
      </c>
      <c r="U4" s="63">
        <f>'NW Baseline Grid Char'!U6*VLOOKUP(U$2,'NW Baseline Energy'!$A$4:$G$43,5,0)</f>
        <v>30322858.477642201</v>
      </c>
      <c r="V4" s="63">
        <f>'NW Baseline Grid Char'!V6*VLOOKUP(V$2,'NW Baseline Energy'!$A$4:$G$43,5,0)</f>
        <v>31353742.867550876</v>
      </c>
      <c r="W4" s="63">
        <f>'NW Baseline Grid Char'!W6*VLOOKUP(W$2,'NW Baseline Energy'!$A$4:$G$43,5,0)</f>
        <v>32410769.587977458</v>
      </c>
      <c r="X4" s="63">
        <f>'NW Baseline Grid Char'!X6*VLOOKUP(X$2,'NW Baseline Energy'!$A$4:$G$43,5,0)</f>
        <v>33494527.127489548</v>
      </c>
      <c r="Y4" s="63">
        <f>'NW Baseline Grid Char'!Y6*VLOOKUP(Y$2,'NW Baseline Energy'!$A$4:$G$43,5,0)</f>
        <v>34605616.387415186</v>
      </c>
      <c r="Z4" s="63">
        <f>'NW Baseline Grid Char'!Z6*VLOOKUP(Z$2,'NW Baseline Energy'!$A$4:$G$43,5,0)</f>
        <v>35744650.933119826</v>
      </c>
      <c r="AA4" s="63">
        <f>'NW Baseline Grid Char'!AA6*VLOOKUP(AA$2,'NW Baseline Energy'!$A$4:$G$43,5,0)</f>
        <v>36912257.250228025</v>
      </c>
      <c r="AB4" s="63">
        <f>'NW Baseline Grid Char'!AB6*VLOOKUP(AB$2,'NW Baseline Energy'!$A$4:$G$43,5,0)</f>
        <v>38109075.005885087</v>
      </c>
      <c r="AC4" s="63">
        <f>'NW Baseline Grid Char'!AC6*VLOOKUP(AC$2,'NW Baseline Energy'!$A$4:$G$43,5,0)</f>
        <v>39335757.315155767</v>
      </c>
      <c r="AD4" s="63">
        <f>'NW Baseline Grid Char'!AD6*VLOOKUP(AD$2,'NW Baseline Energy'!$A$4:$G$43,5,0)</f>
        <v>40592971.012658998</v>
      </c>
      <c r="AE4" s="63">
        <f>'NW Baseline Grid Char'!AE6*VLOOKUP(AE$2,'NW Baseline Energy'!$A$4:$G$43,5,0)</f>
        <v>41881396.929539502</v>
      </c>
      <c r="AF4" s="63">
        <f>'NW Baseline Grid Char'!AF6*VLOOKUP(AF$2,'NW Baseline Energy'!$A$4:$G$43,5,0)</f>
        <v>43201730.175879009</v>
      </c>
      <c r="AG4" s="63">
        <f>'NW Baseline Grid Char'!AG6*VLOOKUP(AG$2,'NW Baseline Energy'!$A$4:$G$43,5,0)</f>
        <v>44554680.428651743</v>
      </c>
      <c r="AH4" s="63">
        <f>'NW Baseline Grid Char'!AH6*VLOOKUP(AH$2,'NW Baseline Energy'!$A$4:$G$43,5,0)</f>
        <v>45940972.225330949</v>
      </c>
      <c r="AI4" s="63">
        <f>'NW Baseline Grid Char'!AI6*VLOOKUP(AI$2,'NW Baseline Energy'!$A$4:$G$43,5,0)</f>
        <v>47361345.26325503</v>
      </c>
      <c r="AJ4" s="63">
        <f>'NW Baseline Grid Char'!AJ6*VLOOKUP(AJ$2,'NW Baseline Energy'!$A$4:$G$43,5,0)</f>
        <v>48816554.704864152</v>
      </c>
      <c r="AK4" s="63">
        <f>'NW Baseline Grid Char'!AK6*VLOOKUP(AK$2,'NW Baseline Energy'!$A$4:$G$43,5,0)</f>
        <v>50307371.488920152</v>
      </c>
      <c r="AL4" s="63">
        <f>'NW Baseline Grid Char'!AL6*VLOOKUP(AL$2,'NW Baseline Energy'!$A$4:$G$43,5,0)</f>
        <v>51834582.647824675</v>
      </c>
      <c r="AM4" s="63">
        <f>'NW Baseline Grid Char'!AM6*VLOOKUP(AM$2,'NW Baseline Energy'!$A$4:$G$43,5,0)</f>
        <v>53398991.631152764</v>
      </c>
      <c r="AN4" s="63">
        <f>'NW Baseline Grid Char'!AN6*VLOOKUP(AN$2,'NW Baseline Energy'!$A$4:$G$43,5,0)</f>
        <v>55001418.635521315</v>
      </c>
      <c r="AO4" s="63">
        <f>'NW Baseline Grid Char'!AO6*VLOOKUP(AO$2,'NW Baseline Energy'!$A$4:$G$43,5,0)</f>
        <v>56642700.940914012</v>
      </c>
    </row>
    <row r="5" spans="1:41">
      <c r="A5" s="63" t="s">
        <v>192</v>
      </c>
      <c r="B5" s="63">
        <f>'NW Baseline Grid Char'!B9*VLOOKUP(B$2,'NW Baseline Energy'!$A$4:$G$43,5,0)</f>
        <v>8997915.9486697055</v>
      </c>
      <c r="C5" s="63">
        <f>'NW Baseline Grid Char'!C9*VLOOKUP(C$2,'NW Baseline Energy'!$A$4:$G$43,5,0)</f>
        <v>8972143.1820987333</v>
      </c>
      <c r="D5" s="63">
        <f>'NW Baseline Grid Char'!D9*VLOOKUP(D$2,'NW Baseline Energy'!$A$4:$G$43,5,0)</f>
        <v>8944908.3407089785</v>
      </c>
      <c r="E5" s="63">
        <f>'NW Baseline Grid Char'!E9*VLOOKUP(E$2,'NW Baseline Energy'!$A$4:$G$43,5,0)</f>
        <v>8916184.3462800235</v>
      </c>
      <c r="F5" s="63">
        <f>'NW Baseline Grid Char'!F9*VLOOKUP(F$2,'NW Baseline Energy'!$A$4:$G$43,5,0)</f>
        <v>8885943.514356086</v>
      </c>
      <c r="G5" s="63">
        <f>'NW Baseline Grid Char'!G9*VLOOKUP(G$2,'NW Baseline Energy'!$A$4:$G$43,5,0)</f>
        <v>8854158.0270824451</v>
      </c>
      <c r="H5" s="63">
        <f>'NW Baseline Grid Char'!H9*VLOOKUP(H$2,'NW Baseline Energy'!$A$4:$G$43,5,0)</f>
        <v>8820799.3776441142</v>
      </c>
      <c r="I5" s="63">
        <f>'NW Baseline Grid Char'!I9*VLOOKUP(I$2,'NW Baseline Energy'!$A$4:$G$43,5,0)</f>
        <v>8785838.9204938877</v>
      </c>
      <c r="J5" s="63">
        <f>'NW Baseline Grid Char'!J9*VLOOKUP(J$2,'NW Baseline Energy'!$A$4:$G$43,5,0)</f>
        <v>8749247.3043724578</v>
      </c>
      <c r="K5" s="63">
        <f>'NW Baseline Grid Char'!K9*VLOOKUP(K$2,'NW Baseline Energy'!$A$4:$G$43,5,0)</f>
        <v>8747688.6578940004</v>
      </c>
      <c r="L5" s="63">
        <f>'NW Baseline Grid Char'!L9*VLOOKUP(L$2,'NW Baseline Energy'!$A$4:$G$43,5,0)</f>
        <v>8778258.0420600139</v>
      </c>
      <c r="M5" s="63">
        <f>'NW Baseline Grid Char'!M9*VLOOKUP(M$2,'NW Baseline Energy'!$A$4:$G$43,5,0)</f>
        <v>8806990.5873457678</v>
      </c>
      <c r="N5" s="63">
        <f>'NW Baseline Grid Char'!N9*VLOOKUP(N$2,'NW Baseline Energy'!$A$4:$G$43,5,0)</f>
        <v>8833808.4224140458</v>
      </c>
      <c r="O5" s="63">
        <f>'NW Baseline Grid Char'!O9*VLOOKUP(O$2,'NW Baseline Energy'!$A$4:$G$43,5,0)</f>
        <v>8858631.1993051562</v>
      </c>
      <c r="P5" s="63">
        <f>'NW Baseline Grid Char'!P9*VLOOKUP(P$2,'NW Baseline Energy'!$A$4:$G$43,5,0)</f>
        <v>8881376.5756197348</v>
      </c>
      <c r="Q5" s="63">
        <f>'NW Baseline Grid Char'!Q9*VLOOKUP(Q$2,'NW Baseline Energy'!$A$4:$G$43,5,0)</f>
        <v>8901959.5341812987</v>
      </c>
      <c r="R5" s="63">
        <f>'NW Baseline Grid Char'!R9*VLOOKUP(R$2,'NW Baseline Energy'!$A$4:$G$43,5,0)</f>
        <v>8920292.9582933877</v>
      </c>
      <c r="S5" s="63">
        <f>'NW Baseline Grid Char'!S9*VLOOKUP(S$2,'NW Baseline Energy'!$A$4:$G$43,5,0)</f>
        <v>8936286.9255638942</v>
      </c>
      <c r="T5" s="63">
        <f>'NW Baseline Grid Char'!T9*VLOOKUP(T$2,'NW Baseline Energy'!$A$4:$G$43,5,0)</f>
        <v>8949849.3039461561</v>
      </c>
      <c r="U5" s="63">
        <f>'NW Baseline Grid Char'!U9*VLOOKUP(U$2,'NW Baseline Energy'!$A$4:$G$43,5,0)</f>
        <v>8947332.6972184796</v>
      </c>
      <c r="V5" s="63">
        <f>'NW Baseline Grid Char'!V9*VLOOKUP(V$2,'NW Baseline Energy'!$A$4:$G$43,5,0)</f>
        <v>8942187.0993888509</v>
      </c>
      <c r="W5" s="63">
        <f>'NW Baseline Grid Char'!W9*VLOOKUP(W$2,'NW Baseline Energy'!$A$4:$G$43,5,0)</f>
        <v>8934324.3944726512</v>
      </c>
      <c r="X5" s="63">
        <f>'NW Baseline Grid Char'!X9*VLOOKUP(X$2,'NW Baseline Energy'!$A$4:$G$43,5,0)</f>
        <v>8923654.5123737808</v>
      </c>
      <c r="Y5" s="63">
        <f>'NW Baseline Grid Char'!Y9*VLOOKUP(Y$2,'NW Baseline Energy'!$A$4:$G$43,5,0)</f>
        <v>8910085.1212321799</v>
      </c>
      <c r="Z5" s="63">
        <f>'NW Baseline Grid Char'!Z9*VLOOKUP(Z$2,'NW Baseline Energy'!$A$4:$G$43,5,0)</f>
        <v>8893521.2914947793</v>
      </c>
      <c r="AA5" s="63">
        <f>'NW Baseline Grid Char'!AA9*VLOOKUP(AA$2,'NW Baseline Energy'!$A$4:$G$43,5,0)</f>
        <v>8873866.0972392969</v>
      </c>
      <c r="AB5" s="63">
        <f>'NW Baseline Grid Char'!AB9*VLOOKUP(AB$2,'NW Baseline Energy'!$A$4:$G$43,5,0)</f>
        <v>8851019.8084580041</v>
      </c>
      <c r="AC5" s="63">
        <f>'NW Baseline Grid Char'!AC9*VLOOKUP(AC$2,'NW Baseline Energy'!$A$4:$G$43,5,0)</f>
        <v>8824880.604376398</v>
      </c>
      <c r="AD5" s="63">
        <f>'NW Baseline Grid Char'!AD9*VLOOKUP(AD$2,'NW Baseline Energy'!$A$4:$G$43,5,0)</f>
        <v>8795343.7378234304</v>
      </c>
      <c r="AE5" s="63">
        <f>'NW Baseline Grid Char'!AE9*VLOOKUP(AE$2,'NW Baseline Energy'!$A$4:$G$43,5,0)</f>
        <v>8762302.2723522056</v>
      </c>
      <c r="AF5" s="63">
        <f>'NW Baseline Grid Char'!AF9*VLOOKUP(AF$2,'NW Baseline Energy'!$A$4:$G$43,5,0)</f>
        <v>8725646.2177322861</v>
      </c>
      <c r="AG5" s="63">
        <f>'NW Baseline Grid Char'!AG9*VLOOKUP(AG$2,'NW Baseline Energy'!$A$4:$G$43,5,0)</f>
        <v>8685263.1847422644</v>
      </c>
      <c r="AH5" s="63">
        <f>'NW Baseline Grid Char'!AH9*VLOOKUP(AH$2,'NW Baseline Energy'!$A$4:$G$43,5,0)</f>
        <v>8641038.0254067555</v>
      </c>
      <c r="AI5" s="63">
        <f>'NW Baseline Grid Char'!AI9*VLOOKUP(AI$2,'NW Baseline Energy'!$A$4:$G$43,5,0)</f>
        <v>8592852.4403287247</v>
      </c>
      <c r="AJ5" s="63">
        <f>'NW Baseline Grid Char'!AJ9*VLOOKUP(AJ$2,'NW Baseline Energy'!$A$4:$G$43,5,0)</f>
        <v>8540585.6754391436</v>
      </c>
      <c r="AK5" s="63">
        <f>'NW Baseline Grid Char'!AK9*VLOOKUP(AK$2,'NW Baseline Energy'!$A$4:$G$43,5,0)</f>
        <v>8484113.5808537975</v>
      </c>
      <c r="AL5" s="63">
        <f>'NW Baseline Grid Char'!AL9*VLOOKUP(AL$2,'NW Baseline Energy'!$A$4:$G$43,5,0)</f>
        <v>8423309.4377291463</v>
      </c>
      <c r="AM5" s="63">
        <f>'NW Baseline Grid Char'!AM9*VLOOKUP(AM$2,'NW Baseline Energy'!$A$4:$G$43,5,0)</f>
        <v>8358042.9845958045</v>
      </c>
      <c r="AN5" s="63">
        <f>'NW Baseline Grid Char'!AN9*VLOOKUP(AN$2,'NW Baseline Energy'!$A$4:$G$43,5,0)</f>
        <v>8288181.2718034824</v>
      </c>
      <c r="AO5" s="63">
        <f>'NW Baseline Grid Char'!AO9*VLOOKUP(AO$2,'NW Baseline Energy'!$A$4:$G$43,5,0)</f>
        <v>8213587.6542075127</v>
      </c>
    </row>
    <row r="6" spans="1:41">
      <c r="A6" s="63" t="s">
        <v>195</v>
      </c>
      <c r="B6" s="63">
        <f>'NW Baseline Grid Char'!B12*VLOOKUP(B$2,'NW Baseline Energy'!$A$4:$G$43,5,0)</f>
        <v>2292935.7753031412</v>
      </c>
      <c r="C6" s="63">
        <f>'NW Baseline Grid Char'!C12*VLOOKUP(C$2,'NW Baseline Energy'!$A$4:$G$43,5,0)</f>
        <v>2283432.8895530147</v>
      </c>
      <c r="D6" s="63">
        <f>'NW Baseline Grid Char'!D12*VLOOKUP(D$2,'NW Baseline Energy'!$A$4:$G$43,5,0)</f>
        <v>2273497.5411116728</v>
      </c>
      <c r="E6" s="63">
        <f>'NW Baseline Grid Char'!E12*VLOOKUP(E$2,'NW Baseline Energy'!$A$4:$G$43,5,0)</f>
        <v>2263121.895943203</v>
      </c>
      <c r="F6" s="63">
        <f>'NW Baseline Grid Char'!F12*VLOOKUP(F$2,'NW Baseline Energy'!$A$4:$G$43,5,0)</f>
        <v>2252298.0051859096</v>
      </c>
      <c r="G6" s="63">
        <f>'NW Baseline Grid Char'!G12*VLOOKUP(G$2,'NW Baseline Energy'!$A$4:$G$43,5,0)</f>
        <v>2241017.7338091116</v>
      </c>
      <c r="H6" s="63">
        <f>'NW Baseline Grid Char'!H12*VLOOKUP(H$2,'NW Baseline Energy'!$A$4:$G$43,5,0)</f>
        <v>2229273.0376173593</v>
      </c>
      <c r="I6" s="63">
        <f>'NW Baseline Grid Char'!I12*VLOOKUP(I$2,'NW Baseline Energy'!$A$4:$G$43,5,0)</f>
        <v>2217055.5449190093</v>
      </c>
      <c r="J6" s="63">
        <f>'NW Baseline Grid Char'!J12*VLOOKUP(J$2,'NW Baseline Energy'!$A$4:$G$43,5,0)</f>
        <v>2204356.8320814311</v>
      </c>
      <c r="K6" s="63">
        <f>'NW Baseline Grid Char'!K12*VLOOKUP(K$2,'NW Baseline Energy'!$A$4:$G$43,5,0)</f>
        <v>2200398.286659</v>
      </c>
      <c r="L6" s="63">
        <f>'NW Baseline Grid Char'!L12*VLOOKUP(L$2,'NW Baseline Energy'!$A$4:$G$43,5,0)</f>
        <v>2204403.130482608</v>
      </c>
      <c r="M6" s="63">
        <f>'NW Baseline Grid Char'!M12*VLOOKUP(M$2,'NW Baseline Energy'!$A$4:$G$43,5,0)</f>
        <v>2207810.336821436</v>
      </c>
      <c r="N6" s="63">
        <f>'NW Baseline Grid Char'!N12*VLOOKUP(N$2,'NW Baseline Energy'!$A$4:$G$43,5,0)</f>
        <v>2210596.5558364294</v>
      </c>
      <c r="O6" s="63">
        <f>'NW Baseline Grid Char'!O12*VLOOKUP(O$2,'NW Baseline Energy'!$A$4:$G$43,5,0)</f>
        <v>2212737.7807340464</v>
      </c>
      <c r="P6" s="63">
        <f>'NW Baseline Grid Char'!P12*VLOOKUP(P$2,'NW Baseline Energy'!$A$4:$G$43,5,0)</f>
        <v>2214209.2515113577</v>
      </c>
      <c r="Q6" s="63">
        <f>'NW Baseline Grid Char'!Q12*VLOOKUP(Q$2,'NW Baseline Energy'!$A$4:$G$43,5,0)</f>
        <v>2214985.756773001</v>
      </c>
      <c r="R6" s="63">
        <f>'NW Baseline Grid Char'!R12*VLOOKUP(R$2,'NW Baseline Energy'!$A$4:$G$43,5,0)</f>
        <v>2215041.1411834443</v>
      </c>
      <c r="S6" s="63">
        <f>'NW Baseline Grid Char'!S12*VLOOKUP(S$2,'NW Baseline Energy'!$A$4:$G$43,5,0)</f>
        <v>2214348.6036161734</v>
      </c>
      <c r="T6" s="63">
        <f>'NW Baseline Grid Char'!T12*VLOOKUP(T$2,'NW Baseline Energy'!$A$4:$G$43,5,0)</f>
        <v>2212880.6007877556</v>
      </c>
      <c r="U6" s="63">
        <f>'NW Baseline Grid Char'!U12*VLOOKUP(U$2,'NW Baseline Energy'!$A$4:$G$43,5,0)</f>
        <v>2207265.5340712802</v>
      </c>
      <c r="V6" s="63">
        <f>'NW Baseline Grid Char'!V12*VLOOKUP(V$2,'NW Baseline Energy'!$A$4:$G$43,5,0)</f>
        <v>2200832.0557185239</v>
      </c>
      <c r="W6" s="63">
        <f>'NW Baseline Grid Char'!W12*VLOOKUP(W$2,'NW Baseline Energy'!$A$4:$G$43,5,0)</f>
        <v>2193554.1643676208</v>
      </c>
      <c r="X6" s="63">
        <f>'NW Baseline Grid Char'!X12*VLOOKUP(X$2,'NW Baseline Energy'!$A$4:$G$43,5,0)</f>
        <v>2185405.2145210509</v>
      </c>
      <c r="Y6" s="63">
        <f>'NW Baseline Grid Char'!Y12*VLOOKUP(Y$2,'NW Baseline Energy'!$A$4:$G$43,5,0)</f>
        <v>2176357.8086790894</v>
      </c>
      <c r="Z6" s="63">
        <f>'NW Baseline Grid Char'!Z12*VLOOKUP(Z$2,'NW Baseline Energy'!$A$4:$G$43,5,0)</f>
        <v>2166384.1552823242</v>
      </c>
      <c r="AA6" s="63">
        <f>'NW Baseline Grid Char'!AA12*VLOOKUP(AA$2,'NW Baseline Energy'!$A$4:$G$43,5,0)</f>
        <v>2155455.4972573007</v>
      </c>
      <c r="AB6" s="63">
        <f>'NW Baseline Grid Char'!AB12*VLOOKUP(AB$2,'NW Baseline Energy'!$A$4:$G$43,5,0)</f>
        <v>2143542.4662391855</v>
      </c>
      <c r="AC6" s="63">
        <f>'NW Baseline Grid Char'!AC12*VLOOKUP(AC$2,'NW Baseline Energy'!$A$4:$G$43,5,0)</f>
        <v>2130614.9750190563</v>
      </c>
      <c r="AD6" s="63">
        <f>'NW Baseline Grid Char'!AD12*VLOOKUP(AD$2,'NW Baseline Energy'!$A$4:$G$43,5,0)</f>
        <v>2116642.2016525078</v>
      </c>
      <c r="AE6" s="63">
        <f>'NW Baseline Grid Char'!AE12*VLOOKUP(AE$2,'NW Baseline Energy'!$A$4:$G$43,5,0)</f>
        <v>2101592.573236749</v>
      </c>
      <c r="AF6" s="63">
        <f>'NW Baseline Grid Char'!AF12*VLOOKUP(AF$2,'NW Baseline Energy'!$A$4:$G$43,5,0)</f>
        <v>2085433.7493495082</v>
      </c>
      <c r="AG6" s="63">
        <f>'NW Baseline Grid Char'!AG12*VLOOKUP(AG$2,'NW Baseline Energy'!$A$4:$G$43,5,0)</f>
        <v>2068132.6051429594</v>
      </c>
      <c r="AH6" s="63">
        <f>'NW Baseline Grid Char'!AH12*VLOOKUP(AH$2,'NW Baseline Energy'!$A$4:$G$43,5,0)</f>
        <v>2049655.105358904</v>
      </c>
      <c r="AI6" s="63">
        <f>'NW Baseline Grid Char'!AI12*VLOOKUP(AI$2,'NW Baseline Energy'!$A$4:$G$43,5,0)</f>
        <v>2029966.719786057</v>
      </c>
      <c r="AJ6" s="63">
        <f>'NW Baseline Grid Char'!AJ12*VLOOKUP(AJ$2,'NW Baseline Energy'!$A$4:$G$43,5,0)</f>
        <v>2009031.7583844867</v>
      </c>
      <c r="AK6" s="63">
        <f>'NW Baseline Grid Char'!AK12*VLOOKUP(AK$2,'NW Baseline Energy'!$A$4:$G$43,5,0)</f>
        <v>1986813.7823981729</v>
      </c>
      <c r="AL6" s="63">
        <f>'NW Baseline Grid Char'!AL12*VLOOKUP(AL$2,'NW Baseline Energy'!$A$4:$G$43,5,0)</f>
        <v>1963275.4786933656</v>
      </c>
      <c r="AM6" s="63">
        <f>'NW Baseline Grid Char'!AM12*VLOOKUP(AM$2,'NW Baseline Energy'!$A$4:$G$43,5,0)</f>
        <v>1938378.6406323977</v>
      </c>
      <c r="AN6" s="63">
        <f>'NW Baseline Grid Char'!AN12*VLOOKUP(AN$2,'NW Baseline Energy'!$A$4:$G$43,5,0)</f>
        <v>1912084.1485511099</v>
      </c>
      <c r="AO6" s="63">
        <f>'NW Baseline Grid Char'!AO12*VLOOKUP(AO$2,'NW Baseline Energy'!$A$4:$G$43,5,0)</f>
        <v>1884351.9498319568</v>
      </c>
    </row>
    <row r="7" spans="1:41">
      <c r="A7" s="63" t="s">
        <v>198</v>
      </c>
      <c r="B7" s="63">
        <f>'NW Baseline Grid Char'!B15*VLOOKUP(B$2,'NW Baseline Energy'!$A$4:$G$43,5,0)</f>
        <v>20834767.919033233</v>
      </c>
      <c r="C7" s="63">
        <f>'NW Baseline Grid Char'!C15*VLOOKUP(C$2,'NW Baseline Energy'!$A$4:$G$43,5,0)</f>
        <v>20860087.636503767</v>
      </c>
      <c r="D7" s="63">
        <f>'NW Baseline Grid Char'!D15*VLOOKUP(D$2,'NW Baseline Energy'!$A$4:$G$43,5,0)</f>
        <v>20883755.960686795</v>
      </c>
      <c r="E7" s="63">
        <f>'NW Baseline Grid Char'!E15*VLOOKUP(E$2,'NW Baseline Energy'!$A$4:$G$43,5,0)</f>
        <v>20905736.566179626</v>
      </c>
      <c r="F7" s="63">
        <f>'NW Baseline Grid Char'!F15*VLOOKUP(F$2,'NW Baseline Energy'!$A$4:$G$43,5,0)</f>
        <v>20925992.558324579</v>
      </c>
      <c r="G7" s="63">
        <f>'NW Baseline Grid Char'!G15*VLOOKUP(G$2,'NW Baseline Energy'!$A$4:$G$43,5,0)</f>
        <v>20944486.395559467</v>
      </c>
      <c r="H7" s="63">
        <f>'NW Baseline Grid Char'!H15*VLOOKUP(H$2,'NW Baseline Energy'!$A$4:$G$43,5,0)</f>
        <v>20961180.160034087</v>
      </c>
      <c r="I7" s="63">
        <f>'NW Baseline Grid Char'!I15*VLOOKUP(I$2,'NW Baseline Energy'!$A$4:$G$43,5,0)</f>
        <v>20976035.132808696</v>
      </c>
      <c r="J7" s="63">
        <f>'NW Baseline Grid Char'!J15*VLOOKUP(J$2,'NW Baseline Energy'!$A$4:$G$43,5,0)</f>
        <v>20989012.062855728</v>
      </c>
      <c r="K7" s="63">
        <f>'NW Baseline Grid Char'!K15*VLOOKUP(K$2,'NW Baseline Energy'!$A$4:$G$43,5,0)</f>
        <v>21088530.338695202</v>
      </c>
      <c r="L7" s="63">
        <f>'NW Baseline Grid Char'!L15*VLOOKUP(L$2,'NW Baseline Energy'!$A$4:$G$43,5,0)</f>
        <v>21268922.436036147</v>
      </c>
      <c r="M7" s="63">
        <f>'NW Baseline Grid Char'!M15*VLOOKUP(M$2,'NW Baseline Energy'!$A$4:$G$43,5,0)</f>
        <v>21448812.95145053</v>
      </c>
      <c r="N7" s="63">
        <f>'NW Baseline Grid Char'!N15*VLOOKUP(N$2,'NW Baseline Energy'!$A$4:$G$43,5,0)</f>
        <v>21628122.348054405</v>
      </c>
      <c r="O7" s="63">
        <f>'NW Baseline Grid Char'!O15*VLOOKUP(O$2,'NW Baseline Energy'!$A$4:$G$43,5,0)</f>
        <v>21806768.253189009</v>
      </c>
      <c r="P7" s="63">
        <f>'NW Baseline Grid Char'!P15*VLOOKUP(P$2,'NW Baseline Energy'!$A$4:$G$43,5,0)</f>
        <v>21984665.696590912</v>
      </c>
      <c r="Q7" s="63">
        <f>'NW Baseline Grid Char'!Q15*VLOOKUP(Q$2,'NW Baseline Energy'!$A$4:$G$43,5,0)</f>
        <v>22161726.567118339</v>
      </c>
      <c r="R7" s="63">
        <f>'NW Baseline Grid Char'!R15*VLOOKUP(R$2,'NW Baseline Energy'!$A$4:$G$43,5,0)</f>
        <v>22337859.844423059</v>
      </c>
      <c r="S7" s="63">
        <f>'NW Baseline Grid Char'!S15*VLOOKUP(S$2,'NW Baseline Energy'!$A$4:$G$43,5,0)</f>
        <v>22512971.357255779</v>
      </c>
      <c r="T7" s="63">
        <f>'NW Baseline Grid Char'!T15*VLOOKUP(T$2,'NW Baseline Energy'!$A$4:$G$43,5,0)</f>
        <v>22686964.037805405</v>
      </c>
      <c r="U7" s="63">
        <f>'NW Baseline Grid Char'!U15*VLOOKUP(U$2,'NW Baseline Energy'!$A$4:$G$43,5,0)</f>
        <v>22825164.577309202</v>
      </c>
      <c r="V7" s="63">
        <f>'NW Baseline Grid Char'!V15*VLOOKUP(V$2,'NW Baseline Energy'!$A$4:$G$43,5,0)</f>
        <v>22961576.029530216</v>
      </c>
      <c r="W7" s="63">
        <f>'NW Baseline Grid Char'!W15*VLOOKUP(W$2,'NW Baseline Energy'!$A$4:$G$43,5,0)</f>
        <v>23096098.777869564</v>
      </c>
      <c r="X7" s="63">
        <f>'NW Baseline Grid Char'!X15*VLOOKUP(X$2,'NW Baseline Energy'!$A$4:$G$43,5,0)</f>
        <v>23228630.263172388</v>
      </c>
      <c r="Y7" s="63">
        <f>'NW Baseline Grid Char'!Y15*VLOOKUP(Y$2,'NW Baseline Energy'!$A$4:$G$43,5,0)</f>
        <v>23359065.282316949</v>
      </c>
      <c r="Z7" s="63">
        <f>'NW Baseline Grid Char'!Z15*VLOOKUP(Z$2,'NW Baseline Energy'!$A$4:$G$43,5,0)</f>
        <v>23487295.371641908</v>
      </c>
      <c r="AA7" s="63">
        <f>'NW Baseline Grid Char'!AA15*VLOOKUP(AA$2,'NW Baseline Energy'!$A$4:$G$43,5,0)</f>
        <v>23613209.09950266</v>
      </c>
      <c r="AB7" s="63">
        <f>'NW Baseline Grid Char'!AB15*VLOOKUP(AB$2,'NW Baseline Energy'!$A$4:$G$43,5,0)</f>
        <v>23736691.805135779</v>
      </c>
      <c r="AC7" s="63">
        <f>'NW Baseline Grid Char'!AC15*VLOOKUP(AC$2,'NW Baseline Energy'!$A$4:$G$43,5,0)</f>
        <v>23857625.91650049</v>
      </c>
      <c r="AD7" s="63">
        <f>'NW Baseline Grid Char'!AD15*VLOOKUP(AD$2,'NW Baseline Energy'!$A$4:$G$43,5,0)</f>
        <v>23975890.289635986</v>
      </c>
      <c r="AE7" s="63">
        <f>'NW Baseline Grid Char'!AE15*VLOOKUP(AE$2,'NW Baseline Energy'!$A$4:$G$43,5,0)</f>
        <v>24091360.520005364</v>
      </c>
      <c r="AF7" s="63">
        <f>'NW Baseline Grid Char'!AF15*VLOOKUP(AF$2,'NW Baseline Energy'!$A$4:$G$43,5,0)</f>
        <v>24203908.661826067</v>
      </c>
      <c r="AG7" s="63">
        <f>'NW Baseline Grid Char'!AG15*VLOOKUP(AG$2,'NW Baseline Energy'!$A$4:$G$43,5,0)</f>
        <v>24313403.566398554</v>
      </c>
      <c r="AH7" s="63">
        <f>'NW Baseline Grid Char'!AH15*VLOOKUP(AH$2,'NW Baseline Energy'!$A$4:$G$43,5,0)</f>
        <v>24419710.174247112</v>
      </c>
      <c r="AI7" s="63">
        <f>'NW Baseline Grid Char'!AI15*VLOOKUP(AI$2,'NW Baseline Energy'!$A$4:$G$43,5,0)</f>
        <v>24522689.846450567</v>
      </c>
      <c r="AJ7" s="63">
        <f>'NW Baseline Grid Char'!AJ15*VLOOKUP(AJ$2,'NW Baseline Energy'!$A$4:$G$43,5,0)</f>
        <v>24622200.062985964</v>
      </c>
      <c r="AK7" s="63">
        <f>'NW Baseline Grid Char'!AK15*VLOOKUP(AK$2,'NW Baseline Energy'!$A$4:$G$43,5,0)</f>
        <v>24718094.782857876</v>
      </c>
      <c r="AL7" s="63">
        <f>'NW Baseline Grid Char'!AL15*VLOOKUP(AL$2,'NW Baseline Energy'!$A$4:$G$43,5,0)</f>
        <v>24810223.685651563</v>
      </c>
      <c r="AM7" s="63">
        <f>'NW Baseline Grid Char'!AM15*VLOOKUP(AM$2,'NW Baseline Energy'!$A$4:$G$43,5,0)</f>
        <v>24898432.524125922</v>
      </c>
      <c r="AN7" s="63">
        <f>'NW Baseline Grid Char'!AN15*VLOOKUP(AN$2,'NW Baseline Energy'!$A$4:$G$43,5,0)</f>
        <v>24982562.920210019</v>
      </c>
      <c r="AO7" s="63">
        <f>'NW Baseline Grid Char'!AO15*VLOOKUP(AO$2,'NW Baseline Energy'!$A$4:$G$43,5,0)</f>
        <v>25062452.147329602</v>
      </c>
    </row>
    <row r="8" spans="1:41">
      <c r="A8" s="63" t="s">
        <v>201</v>
      </c>
      <c r="B8" s="63">
        <f>'NW Baseline Grid Char'!B18*VLOOKUP(B$2,'NW Baseline Energy'!$A$4:$G$43,5,0)</f>
        <v>17117355.046416089</v>
      </c>
      <c r="C8" s="63">
        <f>'NW Baseline Grid Char'!C18*VLOOKUP(C$2,'NW Baseline Energy'!$A$4:$G$43,5,0)</f>
        <v>17235290.288918871</v>
      </c>
      <c r="D8" s="63">
        <f>'NW Baseline Grid Char'!D18*VLOOKUP(D$2,'NW Baseline Energy'!$A$4:$G$43,5,0)</f>
        <v>17353850.440147415</v>
      </c>
      <c r="E8" s="63">
        <f>'NW Baseline Grid Char'!E18*VLOOKUP(E$2,'NW Baseline Energy'!$A$4:$G$43,5,0)</f>
        <v>17473035.977434885</v>
      </c>
      <c r="F8" s="63">
        <f>'NW Baseline Grid Char'!F18*VLOOKUP(F$2,'NW Baseline Energy'!$A$4:$G$43,5,0)</f>
        <v>17592847.322828114</v>
      </c>
      <c r="G8" s="63">
        <f>'NW Baseline Grid Char'!G18*VLOOKUP(G$2,'NW Baseline Energy'!$A$4:$G$43,5,0)</f>
        <v>17713284.841910087</v>
      </c>
      <c r="H8" s="63">
        <f>'NW Baseline Grid Char'!H18*VLOOKUP(H$2,'NW Baseline Energy'!$A$4:$G$43,5,0)</f>
        <v>17834348.842604011</v>
      </c>
      <c r="I8" s="63">
        <f>'NW Baseline Grid Char'!I18*VLOOKUP(I$2,'NW Baseline Energy'!$A$4:$G$43,5,0)</f>
        <v>17956039.573959008</v>
      </c>
      <c r="J8" s="63">
        <f>'NW Baseline Grid Char'!J18*VLOOKUP(J$2,'NW Baseline Energy'!$A$4:$G$43,5,0)</f>
        <v>18078357.224916887</v>
      </c>
      <c r="K8" s="63">
        <f>'NW Baseline Grid Char'!K18*VLOOKUP(K$2,'NW Baseline Energy'!$A$4:$G$43,5,0)</f>
        <v>18277971.820391402</v>
      </c>
      <c r="L8" s="63">
        <f>'NW Baseline Grid Char'!L18*VLOOKUP(L$2,'NW Baseline Energy'!$A$4:$G$43,5,0)</f>
        <v>18551436.620124884</v>
      </c>
      <c r="M8" s="63">
        <f>'NW Baseline Grid Char'!M18*VLOOKUP(M$2,'NW Baseline Energy'!$A$4:$G$43,5,0)</f>
        <v>18828776.65011159</v>
      </c>
      <c r="N8" s="63">
        <f>'NW Baseline Grid Char'!N18*VLOOKUP(N$2,'NW Baseline Energy'!$A$4:$G$43,5,0)</f>
        <v>19110041.933032196</v>
      </c>
      <c r="O8" s="63">
        <f>'NW Baseline Grid Char'!O18*VLOOKUP(O$2,'NW Baseline Energy'!$A$4:$G$43,5,0)</f>
        <v>19395283.020375531</v>
      </c>
      <c r="P8" s="63">
        <f>'NW Baseline Grid Char'!P18*VLOOKUP(P$2,'NW Baseline Energy'!$A$4:$G$43,5,0)</f>
        <v>19684550.994962543</v>
      </c>
      <c r="Q8" s="63">
        <f>'NW Baseline Grid Char'!Q18*VLOOKUP(Q$2,'NW Baseline Energy'!$A$4:$G$43,5,0)</f>
        <v>19977897.473384075</v>
      </c>
      <c r="R8" s="63">
        <f>'NW Baseline Grid Char'!R18*VLOOKUP(R$2,'NW Baseline Energy'!$A$4:$G$43,5,0)</f>
        <v>20275374.608348414</v>
      </c>
      <c r="S8" s="63">
        <f>'NW Baseline Grid Char'!S18*VLOOKUP(S$2,'NW Baseline Energy'!$A$4:$G$43,5,0)</f>
        <v>20577035.090934601</v>
      </c>
      <c r="T8" s="63">
        <f>'NW Baseline Grid Char'!T18*VLOOKUP(T$2,'NW Baseline Energy'!$A$4:$G$43,5,0)</f>
        <v>20882932.152747035</v>
      </c>
      <c r="U8" s="63">
        <f>'NW Baseline Grid Char'!U18*VLOOKUP(U$2,'NW Baseline Energy'!$A$4:$G$43,5,0)</f>
        <v>21161067.29256456</v>
      </c>
      <c r="V8" s="63">
        <f>'NW Baseline Grid Char'!V18*VLOOKUP(V$2,'NW Baseline Energy'!$A$4:$G$43,5,0)</f>
        <v>21442644.997068066</v>
      </c>
      <c r="W8" s="63">
        <f>'NW Baseline Grid Char'!W18*VLOOKUP(W$2,'NW Baseline Energy'!$A$4:$G$43,5,0)</f>
        <v>21727702.196860213</v>
      </c>
      <c r="X8" s="63">
        <f>'NW Baseline Grid Char'!X18*VLOOKUP(X$2,'NW Baseline Energy'!$A$4:$G$43,5,0)</f>
        <v>22016276.178203493</v>
      </c>
      <c r="Y8" s="63">
        <f>'NW Baseline Grid Char'!Y18*VLOOKUP(Y$2,'NW Baseline Energy'!$A$4:$G$43,5,0)</f>
        <v>22308404.495553803</v>
      </c>
      <c r="Z8" s="63">
        <f>'NW Baseline Grid Char'!Z18*VLOOKUP(Z$2,'NW Baseline Energy'!$A$4:$G$43,5,0)</f>
        <v>22604124.970004596</v>
      </c>
      <c r="AA8" s="63">
        <f>'NW Baseline Grid Char'!AA18*VLOOKUP(AA$2,'NW Baseline Energy'!$A$4:$G$43,5,0)</f>
        <v>22903475.687602367</v>
      </c>
      <c r="AB8" s="63">
        <f>'NW Baseline Grid Char'!AB18*VLOOKUP(AB$2,'NW Baseline Energy'!$A$4:$G$43,5,0)</f>
        <v>23206494.997529514</v>
      </c>
      <c r="AC8" s="63">
        <f>'NW Baseline Grid Char'!AC18*VLOOKUP(AC$2,'NW Baseline Energy'!$A$4:$G$43,5,0)</f>
        <v>23513221.51015063</v>
      </c>
      <c r="AD8" s="63">
        <f>'NW Baseline Grid Char'!AD18*VLOOKUP(AD$2,'NW Baseline Energy'!$A$4:$G$43,5,0)</f>
        <v>23823694.094918061</v>
      </c>
      <c r="AE8" s="63">
        <f>'NW Baseline Grid Char'!AE18*VLOOKUP(AE$2,'NW Baseline Energy'!$A$4:$G$43,5,0)</f>
        <v>24137951.77472499</v>
      </c>
      <c r="AF8" s="63">
        <f>'NW Baseline Grid Char'!AF18*VLOOKUP(AF$2,'NW Baseline Energy'!$A$4:$G$43,5,0)</f>
        <v>24456034.135404125</v>
      </c>
      <c r="AG8" s="63">
        <f>'NW Baseline Grid Char'!AG18*VLOOKUP(AG$2,'NW Baseline Energy'!$A$4:$G$43,5,0)</f>
        <v>24777980.707940824</v>
      </c>
      <c r="AH8" s="63">
        <f>'NW Baseline Grid Char'!AH18*VLOOKUP(AH$2,'NW Baseline Energy'!$A$4:$G$43,5,0)</f>
        <v>25103831.374231488</v>
      </c>
      <c r="AI8" s="63">
        <f>'NW Baseline Grid Char'!AI18*VLOOKUP(AI$2,'NW Baseline Energy'!$A$4:$G$43,5,0)</f>
        <v>25433626.262527782</v>
      </c>
      <c r="AJ8" s="63">
        <f>'NW Baseline Grid Char'!AJ18*VLOOKUP(AJ$2,'NW Baseline Energy'!$A$4:$G$43,5,0)</f>
        <v>25767405.744406503</v>
      </c>
      <c r="AK8" s="63">
        <f>'NW Baseline Grid Char'!AK18*VLOOKUP(AK$2,'NW Baseline Energy'!$A$4:$G$43,5,0)</f>
        <v>26105210.431567308</v>
      </c>
      <c r="AL8" s="63">
        <f>'NW Baseline Grid Char'!AL18*VLOOKUP(AL$2,'NW Baseline Energy'!$A$4:$G$43,5,0)</f>
        <v>26447081.172453213</v>
      </c>
      <c r="AM8" s="63">
        <f>'NW Baseline Grid Char'!AM18*VLOOKUP(AM$2,'NW Baseline Energy'!$A$4:$G$43,5,0)</f>
        <v>26793059.048688937</v>
      </c>
      <c r="AN8" s="63">
        <f>'NW Baseline Grid Char'!AN18*VLOOKUP(AN$2,'NW Baseline Energy'!$A$4:$G$43,5,0)</f>
        <v>27143185.371331774</v>
      </c>
      <c r="AO8" s="63">
        <f>'NW Baseline Grid Char'!AO18*VLOOKUP(AO$2,'NW Baseline Energy'!$A$4:$G$43,5,0)</f>
        <v>27497501.676929846</v>
      </c>
    </row>
    <row r="9" spans="1:41">
      <c r="A9" s="63" t="s">
        <v>204</v>
      </c>
      <c r="B9" s="63">
        <f>'NW Baseline Grid Char'!B21*VLOOKUP(B$2,'NW Baseline Energy'!$A$4:$G$43,5,0)</f>
        <v>0</v>
      </c>
      <c r="C9" s="63">
        <f>'NW Baseline Grid Char'!C21*VLOOKUP(C$2,'NW Baseline Energy'!$A$4:$G$43,5,0)</f>
        <v>0</v>
      </c>
      <c r="D9" s="63">
        <f>'NW Baseline Grid Char'!D21*VLOOKUP(D$2,'NW Baseline Energy'!$A$4:$G$43,5,0)</f>
        <v>0</v>
      </c>
      <c r="E9" s="63">
        <f>'NW Baseline Grid Char'!E21*VLOOKUP(E$2,'NW Baseline Energy'!$A$4:$G$43,5,0)</f>
        <v>0</v>
      </c>
      <c r="F9" s="63">
        <f>'NW Baseline Grid Char'!F21*VLOOKUP(F$2,'NW Baseline Energy'!$A$4:$G$43,5,0)</f>
        <v>0</v>
      </c>
      <c r="G9" s="63">
        <f>'NW Baseline Grid Char'!G21*VLOOKUP(G$2,'NW Baseline Energy'!$A$4:$G$43,5,0)</f>
        <v>0</v>
      </c>
      <c r="H9" s="63">
        <f>'NW Baseline Grid Char'!H21*VLOOKUP(H$2,'NW Baseline Energy'!$A$4:$G$43,5,0)</f>
        <v>0</v>
      </c>
      <c r="I9" s="63">
        <f>'NW Baseline Grid Char'!I21*VLOOKUP(I$2,'NW Baseline Energy'!$A$4:$G$43,5,0)</f>
        <v>0</v>
      </c>
      <c r="J9" s="63">
        <f>'NW Baseline Grid Char'!J21*VLOOKUP(J$2,'NW Baseline Energy'!$A$4:$G$43,5,0)</f>
        <v>0</v>
      </c>
      <c r="K9" s="63">
        <f>'NW Baseline Grid Char'!K21*VLOOKUP(K$2,'NW Baseline Energy'!$A$4:$G$43,5,0)</f>
        <v>0</v>
      </c>
      <c r="L9" s="63">
        <f>'NW Baseline Grid Char'!L21*VLOOKUP(L$2,'NW Baseline Energy'!$A$4:$G$43,5,0)</f>
        <v>0</v>
      </c>
      <c r="M9" s="63">
        <f>'NW Baseline Grid Char'!M21*VLOOKUP(M$2,'NW Baseline Energy'!$A$4:$G$43,5,0)</f>
        <v>0</v>
      </c>
      <c r="N9" s="63">
        <f>'NW Baseline Grid Char'!N21*VLOOKUP(N$2,'NW Baseline Energy'!$A$4:$G$43,5,0)</f>
        <v>0</v>
      </c>
      <c r="O9" s="63">
        <f>'NW Baseline Grid Char'!O21*VLOOKUP(O$2,'NW Baseline Energy'!$A$4:$G$43,5,0)</f>
        <v>0</v>
      </c>
      <c r="P9" s="63">
        <f>'NW Baseline Grid Char'!P21*VLOOKUP(P$2,'NW Baseline Energy'!$A$4:$G$43,5,0)</f>
        <v>0</v>
      </c>
      <c r="Q9" s="63">
        <f>'NW Baseline Grid Char'!Q21*VLOOKUP(Q$2,'NW Baseline Energy'!$A$4:$G$43,5,0)</f>
        <v>0</v>
      </c>
      <c r="R9" s="63">
        <f>'NW Baseline Grid Char'!R21*VLOOKUP(R$2,'NW Baseline Energy'!$A$4:$G$43,5,0)</f>
        <v>0</v>
      </c>
      <c r="S9" s="63">
        <f>'NW Baseline Grid Char'!S21*VLOOKUP(S$2,'NW Baseline Energy'!$A$4:$G$43,5,0)</f>
        <v>0</v>
      </c>
      <c r="T9" s="63">
        <f>'NW Baseline Grid Char'!T21*VLOOKUP(T$2,'NW Baseline Energy'!$A$4:$G$43,5,0)</f>
        <v>0</v>
      </c>
      <c r="U9" s="63">
        <f>'NW Baseline Grid Char'!U21*VLOOKUP(U$2,'NW Baseline Energy'!$A$4:$G$43,5,0)</f>
        <v>0</v>
      </c>
      <c r="V9" s="63">
        <f>'NW Baseline Grid Char'!V21*VLOOKUP(V$2,'NW Baseline Energy'!$A$4:$G$43,5,0)</f>
        <v>0</v>
      </c>
      <c r="W9" s="63">
        <f>'NW Baseline Grid Char'!W21*VLOOKUP(W$2,'NW Baseline Energy'!$A$4:$G$43,5,0)</f>
        <v>0</v>
      </c>
      <c r="X9" s="63">
        <f>'NW Baseline Grid Char'!X21*VLOOKUP(X$2,'NW Baseline Energy'!$A$4:$G$43,5,0)</f>
        <v>0</v>
      </c>
      <c r="Y9" s="63">
        <f>'NW Baseline Grid Char'!Y21*VLOOKUP(Y$2,'NW Baseline Energy'!$A$4:$G$43,5,0)</f>
        <v>0</v>
      </c>
      <c r="Z9" s="63">
        <f>'NW Baseline Grid Char'!Z21*VLOOKUP(Z$2,'NW Baseline Energy'!$A$4:$G$43,5,0)</f>
        <v>0</v>
      </c>
      <c r="AA9" s="63">
        <f>'NW Baseline Grid Char'!AA21*VLOOKUP(AA$2,'NW Baseline Energy'!$A$4:$G$43,5,0)</f>
        <v>0</v>
      </c>
      <c r="AB9" s="63">
        <f>'NW Baseline Grid Char'!AB21*VLOOKUP(AB$2,'NW Baseline Energy'!$A$4:$G$43,5,0)</f>
        <v>0</v>
      </c>
      <c r="AC9" s="63">
        <f>'NW Baseline Grid Char'!AC21*VLOOKUP(AC$2,'NW Baseline Energy'!$A$4:$G$43,5,0)</f>
        <v>0</v>
      </c>
      <c r="AD9" s="63">
        <f>'NW Baseline Grid Char'!AD21*VLOOKUP(AD$2,'NW Baseline Energy'!$A$4:$G$43,5,0)</f>
        <v>0</v>
      </c>
      <c r="AE9" s="63">
        <f>'NW Baseline Grid Char'!AE21*VLOOKUP(AE$2,'NW Baseline Energy'!$A$4:$G$43,5,0)</f>
        <v>0</v>
      </c>
      <c r="AF9" s="63">
        <f>'NW Baseline Grid Char'!AF21*VLOOKUP(AF$2,'NW Baseline Energy'!$A$4:$G$43,5,0)</f>
        <v>0</v>
      </c>
      <c r="AG9" s="63">
        <f>'NW Baseline Grid Char'!AG21*VLOOKUP(AG$2,'NW Baseline Energy'!$A$4:$G$43,5,0)</f>
        <v>0</v>
      </c>
      <c r="AH9" s="63">
        <f>'NW Baseline Grid Char'!AH21*VLOOKUP(AH$2,'NW Baseline Energy'!$A$4:$G$43,5,0)</f>
        <v>0</v>
      </c>
      <c r="AI9" s="63">
        <f>'NW Baseline Grid Char'!AI21*VLOOKUP(AI$2,'NW Baseline Energy'!$A$4:$G$43,5,0)</f>
        <v>0</v>
      </c>
      <c r="AJ9" s="63">
        <f>'NW Baseline Grid Char'!AJ21*VLOOKUP(AJ$2,'NW Baseline Energy'!$A$4:$G$43,5,0)</f>
        <v>0</v>
      </c>
      <c r="AK9" s="63">
        <f>'NW Baseline Grid Char'!AK21*VLOOKUP(AK$2,'NW Baseline Energy'!$A$4:$G$43,5,0)</f>
        <v>0</v>
      </c>
      <c r="AL9" s="63">
        <f>'NW Baseline Grid Char'!AL21*VLOOKUP(AL$2,'NW Baseline Energy'!$A$4:$G$43,5,0)</f>
        <v>0</v>
      </c>
      <c r="AM9" s="63">
        <f>'NW Baseline Grid Char'!AM21*VLOOKUP(AM$2,'NW Baseline Energy'!$A$4:$G$43,5,0)</f>
        <v>0</v>
      </c>
      <c r="AN9" s="63">
        <f>'NW Baseline Grid Char'!AN21*VLOOKUP(AN$2,'NW Baseline Energy'!$A$4:$G$43,5,0)</f>
        <v>0</v>
      </c>
      <c r="AO9" s="63">
        <f>'NW Baseline Grid Char'!AO21*VLOOKUP(AO$2,'NW Baseline Energy'!$A$4:$G$43,5,0)</f>
        <v>0</v>
      </c>
    </row>
    <row r="10" spans="1:41">
      <c r="A10" s="63" t="s">
        <v>187</v>
      </c>
      <c r="B10" s="63">
        <f>'NW Baseline Grid Char'!B4*VLOOKUP(B$2,'NW Baseline Energy'!$A$4:$G$43,6,0)</f>
        <v>17875058.364626866</v>
      </c>
      <c r="C10" s="63">
        <f>'NW Baseline Grid Char'!C4*VLOOKUP(C$2,'NW Baseline Energy'!$A$4:$G$43,6,0)</f>
        <v>18195388.394981839</v>
      </c>
      <c r="D10" s="63">
        <f>'NW Baseline Grid Char'!D4*VLOOKUP(D$2,'NW Baseline Energy'!$A$4:$G$43,6,0)</f>
        <v>18521374.301752698</v>
      </c>
      <c r="E10" s="63">
        <f>'NW Baseline Grid Char'!E4*VLOOKUP(E$2,'NW Baseline Energy'!$A$4:$G$43,6,0)</f>
        <v>18853113.913692363</v>
      </c>
      <c r="F10" s="63">
        <f>'NW Baseline Grid Char'!F4*VLOOKUP(F$2,'NW Baseline Energy'!$A$4:$G$43,6,0)</f>
        <v>19190706.961772207</v>
      </c>
      <c r="G10" s="63">
        <f>'NW Baseline Grid Char'!G4*VLOOKUP(G$2,'NW Baseline Energy'!$A$4:$G$43,6,0)</f>
        <v>19534254.602150977</v>
      </c>
      <c r="H10" s="63">
        <f>'NW Baseline Grid Char'!H4*VLOOKUP(H$2,'NW Baseline Energy'!$A$4:$G$43,6,0)</f>
        <v>19883859.957484908</v>
      </c>
      <c r="I10" s="63">
        <f>'NW Baseline Grid Char'!I4*VLOOKUP(I$2,'NW Baseline Energy'!$A$4:$G$43,6,0)</f>
        <v>20239627.620270211</v>
      </c>
      <c r="J10" s="63">
        <f>'NW Baseline Grid Char'!J4*VLOOKUP(J$2,'NW Baseline Energy'!$A$4:$G$43,6,0)</f>
        <v>20601664.215863559</v>
      </c>
      <c r="K10" s="63">
        <f>'NW Baseline Grid Char'!K4*VLOOKUP(K$2,'NW Baseline Energy'!$A$4:$G$43,6,0)</f>
        <v>21054363.133481279</v>
      </c>
      <c r="L10" s="63">
        <f>'NW Baseline Grid Char'!L4*VLOOKUP(L$2,'NW Baseline Energy'!$A$4:$G$43,6,0)</f>
        <v>21301667.815247945</v>
      </c>
      <c r="M10" s="63">
        <f>'NW Baseline Grid Char'!M4*VLOOKUP(M$2,'NW Baseline Energy'!$A$4:$G$43,6,0)</f>
        <v>21551873.137487747</v>
      </c>
      <c r="N10" s="63">
        <f>'NW Baseline Grid Char'!N4*VLOOKUP(N$2,'NW Baseline Energy'!$A$4:$G$43,6,0)</f>
        <v>21805013.076185714</v>
      </c>
      <c r="O10" s="63">
        <f>'NW Baseline Grid Char'!O4*VLOOKUP(O$2,'NW Baseline Energy'!$A$4:$G$43,6,0)</f>
        <v>22061122.004799575</v>
      </c>
      <c r="P10" s="63">
        <f>'NW Baseline Grid Char'!P4*VLOOKUP(P$2,'NW Baseline Energy'!$A$4:$G$43,6,0)</f>
        <v>22320234.69890428</v>
      </c>
      <c r="Q10" s="63">
        <f>'NW Baseline Grid Char'!Q4*VLOOKUP(Q$2,'NW Baseline Energy'!$A$4:$G$43,6,0)</f>
        <v>22582386.34089065</v>
      </c>
      <c r="R10" s="63">
        <f>'NW Baseline Grid Char'!R4*VLOOKUP(R$2,'NW Baseline Energy'!$A$4:$G$43,6,0)</f>
        <v>22847612.524718914</v>
      </c>
      <c r="S10" s="63">
        <f>'NW Baseline Grid Char'!S4*VLOOKUP(S$2,'NW Baseline Energy'!$A$4:$G$43,6,0)</f>
        <v>23115949.260727722</v>
      </c>
      <c r="T10" s="63">
        <f>'NW Baseline Grid Char'!T4*VLOOKUP(T$2,'NW Baseline Energy'!$A$4:$G$43,6,0)</f>
        <v>23387432.980499264</v>
      </c>
      <c r="U10" s="63">
        <f>'NW Baseline Grid Char'!U4*VLOOKUP(U$2,'NW Baseline Energy'!$A$4:$G$43,6,0)</f>
        <v>23608641.186362401</v>
      </c>
      <c r="V10" s="63">
        <f>'NW Baseline Grid Char'!V4*VLOOKUP(V$2,'NW Baseline Energy'!$A$4:$G$43,6,0)</f>
        <v>23653130.997788694</v>
      </c>
      <c r="W10" s="63">
        <f>'NW Baseline Grid Char'!W4*VLOOKUP(W$2,'NW Baseline Energy'!$A$4:$G$43,6,0)</f>
        <v>23861940.770290568</v>
      </c>
      <c r="X10" s="63">
        <f>'NW Baseline Grid Char'!X4*VLOOKUP(X$2,'NW Baseline Energy'!$A$4:$G$43,6,0)</f>
        <v>24074420.689822271</v>
      </c>
      <c r="Y10" s="63">
        <f>'NW Baseline Grid Char'!Y4*VLOOKUP(Y$2,'NW Baseline Energy'!$A$4:$G$43,6,0)</f>
        <v>24290294.71202676</v>
      </c>
      <c r="Z10" s="63">
        <f>'NW Baseline Grid Char'!Z4*VLOOKUP(Z$2,'NW Baseline Energy'!$A$4:$G$43,6,0)</f>
        <v>24509183.339985196</v>
      </c>
      <c r="AA10" s="63">
        <f>'NW Baseline Grid Char'!AA4*VLOOKUP(AA$2,'NW Baseline Energy'!$A$4:$G$43,6,0)</f>
        <v>24730586.152036142</v>
      </c>
      <c r="AB10" s="63">
        <f>'NW Baseline Grid Char'!AB4*VLOOKUP(AB$2,'NW Baseline Energy'!$A$4:$G$43,6,0)</f>
        <v>24953863.164185427</v>
      </c>
      <c r="AC10" s="63">
        <f>'NW Baseline Grid Char'!AC4*VLOOKUP(AC$2,'NW Baseline Energy'!$A$4:$G$43,6,0)</f>
        <v>25178213.427249659</v>
      </c>
      <c r="AD10" s="63">
        <f>'NW Baseline Grid Char'!AD4*VLOOKUP(AD$2,'NW Baseline Energy'!$A$4:$G$43,6,0)</f>
        <v>25402651.409727752</v>
      </c>
      <c r="AE10" s="63">
        <f>'NW Baseline Grid Char'!AE4*VLOOKUP(AE$2,'NW Baseline Energy'!$A$4:$G$43,6,0)</f>
        <v>25625982.114197478</v>
      </c>
      <c r="AF10" s="63">
        <f>'NW Baseline Grid Char'!AF4*VLOOKUP(AF$2,'NW Baseline Energy'!$A$4:$G$43,6,0)</f>
        <v>25753247.421845861</v>
      </c>
      <c r="AG10" s="63">
        <f>'NW Baseline Grid Char'!AG4*VLOOKUP(AG$2,'NW Baseline Energy'!$A$4:$G$43,6,0)</f>
        <v>25967391.015977088</v>
      </c>
      <c r="AH10" s="63">
        <f>'NW Baseline Grid Char'!AH4*VLOOKUP(AH$2,'NW Baseline Energy'!$A$4:$G$43,6,0)</f>
        <v>26183302.576061398</v>
      </c>
      <c r="AI10" s="63">
        <f>'NW Baseline Grid Char'!AI4*VLOOKUP(AI$2,'NW Baseline Energy'!$A$4:$G$43,6,0)</f>
        <v>26400996.665471293</v>
      </c>
      <c r="AJ10" s="63">
        <f>'NW Baseline Grid Char'!AJ4*VLOOKUP(AJ$2,'NW Baseline Energy'!$A$4:$G$43,6,0)</f>
        <v>26620487.968110174</v>
      </c>
      <c r="AK10" s="63">
        <f>'NW Baseline Grid Char'!AK4*VLOOKUP(AK$2,'NW Baseline Energy'!$A$4:$G$43,6,0)</f>
        <v>26841791.011226747</v>
      </c>
      <c r="AL10" s="63">
        <f>'NW Baseline Grid Char'!AL4*VLOOKUP(AL$2,'NW Baseline Energy'!$A$4:$G$43,6,0)</f>
        <v>27064920.808875158</v>
      </c>
      <c r="AM10" s="63">
        <f>'NW Baseline Grid Char'!AM4*VLOOKUP(AM$2,'NW Baseline Energy'!$A$4:$G$43,6,0)</f>
        <v>27289892.124292739</v>
      </c>
      <c r="AN10" s="63">
        <f>'NW Baseline Grid Char'!AN4*VLOOKUP(AN$2,'NW Baseline Energy'!$A$4:$G$43,6,0)</f>
        <v>27516720.216094092</v>
      </c>
      <c r="AO10" s="63">
        <f>'NW Baseline Grid Char'!AO4*VLOOKUP(AO$2,'NW Baseline Energy'!$A$4:$G$43,6,0)</f>
        <v>27745420.087288171</v>
      </c>
    </row>
    <row r="11" spans="1:41">
      <c r="A11" s="63" t="s">
        <v>190</v>
      </c>
      <c r="B11" s="63">
        <f>'NW Baseline Grid Char'!B7*VLOOKUP(B$2,'NW Baseline Energy'!$A$4:$G$43,6,0)</f>
        <v>7508065.5504521728</v>
      </c>
      <c r="C11" s="63">
        <f>'NW Baseline Grid Char'!C7*VLOOKUP(C$2,'NW Baseline Energy'!$A$4:$G$43,6,0)</f>
        <v>7704014.8442957075</v>
      </c>
      <c r="D11" s="63">
        <f>'NW Baseline Grid Char'!D7*VLOOKUP(D$2,'NW Baseline Energy'!$A$4:$G$43,6,0)</f>
        <v>7904807.7401940674</v>
      </c>
      <c r="E11" s="63">
        <f>'NW Baseline Grid Char'!E7*VLOOKUP(E$2,'NW Baseline Energy'!$A$4:$G$43,6,0)</f>
        <v>8110559.6537306262</v>
      </c>
      <c r="F11" s="63">
        <f>'NW Baseline Grid Char'!F7*VLOOKUP(F$2,'NW Baseline Energy'!$A$4:$G$43,6,0)</f>
        <v>8321388.9376477236</v>
      </c>
      <c r="G11" s="63">
        <f>'NW Baseline Grid Char'!G7*VLOOKUP(G$2,'NW Baseline Energy'!$A$4:$G$43,6,0)</f>
        <v>8537416.5054942705</v>
      </c>
      <c r="H11" s="63">
        <f>'NW Baseline Grid Char'!H7*VLOOKUP(H$2,'NW Baseline Energy'!$A$4:$G$43,6,0)</f>
        <v>8758766.0774807222</v>
      </c>
      <c r="I11" s="63">
        <f>'NW Baseline Grid Char'!I7*VLOOKUP(I$2,'NW Baseline Energy'!$A$4:$G$43,6,0)</f>
        <v>8985564.4509863723</v>
      </c>
      <c r="J11" s="63">
        <f>'NW Baseline Grid Char'!J7*VLOOKUP(J$2,'NW Baseline Energy'!$A$4:$G$43,6,0)</f>
        <v>9217941.1651202794</v>
      </c>
      <c r="K11" s="63">
        <f>'NW Baseline Grid Char'!K7*VLOOKUP(K$2,'NW Baseline Energy'!$A$4:$G$43,6,0)</f>
        <v>9494035.4750925601</v>
      </c>
      <c r="L11" s="63">
        <f>'NW Baseline Grid Char'!L7*VLOOKUP(L$2,'NW Baseline Energy'!$A$4:$G$43,6,0)</f>
        <v>9616931.5347121339</v>
      </c>
      <c r="M11" s="63">
        <f>'NW Baseline Grid Char'!M7*VLOOKUP(M$2,'NW Baseline Energy'!$A$4:$G$43,6,0)</f>
        <v>9741392.6555234399</v>
      </c>
      <c r="N11" s="63">
        <f>'NW Baseline Grid Char'!N7*VLOOKUP(N$2,'NW Baseline Energy'!$A$4:$G$43,6,0)</f>
        <v>9867438.6630656328</v>
      </c>
      <c r="O11" s="63">
        <f>'NW Baseline Grid Char'!O7*VLOOKUP(O$2,'NW Baseline Energy'!$A$4:$G$43,6,0)</f>
        <v>9995089.3333942257</v>
      </c>
      <c r="P11" s="63">
        <f>'NW Baseline Grid Char'!P7*VLOOKUP(P$2,'NW Baseline Energy'!$A$4:$G$43,6,0)</f>
        <v>10124364.98818545</v>
      </c>
      <c r="Q11" s="63">
        <f>'NW Baseline Grid Char'!Q7*VLOOKUP(Q$2,'NW Baseline Energy'!$A$4:$G$43,6,0)</f>
        <v>10255285.89902232</v>
      </c>
      <c r="R11" s="63">
        <f>'NW Baseline Grid Char'!R7*VLOOKUP(R$2,'NW Baseline Energy'!$A$4:$G$43,6,0)</f>
        <v>10387872.818186792</v>
      </c>
      <c r="S11" s="63">
        <f>'NW Baseline Grid Char'!S7*VLOOKUP(S$2,'NW Baseline Energy'!$A$4:$G$43,6,0)</f>
        <v>10522146.758625796</v>
      </c>
      <c r="T11" s="63">
        <f>'NW Baseline Grid Char'!T7*VLOOKUP(T$2,'NW Baseline Energy'!$A$4:$G$43,6,0)</f>
        <v>10658128.758387435</v>
      </c>
      <c r="U11" s="63">
        <f>'NW Baseline Grid Char'!U7*VLOOKUP(U$2,'NW Baseline Energy'!$A$4:$G$43,6,0)</f>
        <v>10771449.5871528</v>
      </c>
      <c r="V11" s="63">
        <f>'NW Baseline Grid Char'!V7*VLOOKUP(V$2,'NW Baseline Energy'!$A$4:$G$43,6,0)</f>
        <v>11007978.674871022</v>
      </c>
      <c r="W11" s="63">
        <f>'NW Baseline Grid Char'!W7*VLOOKUP(W$2,'NW Baseline Energy'!$A$4:$G$43,6,0)</f>
        <v>11134990.046652315</v>
      </c>
      <c r="X11" s="63">
        <f>'NW Baseline Grid Char'!X7*VLOOKUP(X$2,'NW Baseline Energy'!$A$4:$G$43,6,0)</f>
        <v>11262149.556958672</v>
      </c>
      <c r="Y11" s="63">
        <f>'NW Baseline Grid Char'!Y7*VLOOKUP(Y$2,'NW Baseline Energy'!$A$4:$G$43,6,0)</f>
        <v>11389671.371506117</v>
      </c>
      <c r="Z11" s="63">
        <f>'NW Baseline Grid Char'!Z7*VLOOKUP(Z$2,'NW Baseline Energy'!$A$4:$G$43,6,0)</f>
        <v>11517840.869415985</v>
      </c>
      <c r="AA11" s="63">
        <f>'NW Baseline Grid Char'!AA7*VLOOKUP(AA$2,'NW Baseline Energy'!$A$4:$G$43,6,0)</f>
        <v>11647025.729921211</v>
      </c>
      <c r="AB11" s="63">
        <f>'NW Baseline Grid Char'!AB7*VLOOKUP(AB$2,'NW Baseline Energy'!$A$4:$G$43,6,0)</f>
        <v>11777689.673507271</v>
      </c>
      <c r="AC11" s="63">
        <f>'NW Baseline Grid Char'!AC7*VLOOKUP(AC$2,'NW Baseline Energy'!$A$4:$G$43,6,0)</f>
        <v>11910406.245977068</v>
      </c>
      <c r="AD11" s="63">
        <f>'NW Baseline Grid Char'!AD7*VLOOKUP(AD$2,'NW Baseline Energy'!$A$4:$G$43,6,0)</f>
        <v>12045875.152247015</v>
      </c>
      <c r="AE11" s="63">
        <f>'NW Baseline Grid Char'!AE7*VLOOKUP(AE$2,'NW Baseline Energy'!$A$4:$G$43,6,0)</f>
        <v>12184939.434322517</v>
      </c>
      <c r="AF11" s="63">
        <f>'NW Baseline Grid Char'!AF7*VLOOKUP(AF$2,'NW Baseline Energy'!$A$4:$G$43,6,0)</f>
        <v>12392433.86259583</v>
      </c>
      <c r="AG11" s="63">
        <f>'NW Baseline Grid Char'!AG7*VLOOKUP(AG$2,'NW Baseline Energy'!$A$4:$G$43,6,0)</f>
        <v>12543531.203489164</v>
      </c>
      <c r="AH11" s="63">
        <f>'NW Baseline Grid Char'!AH7*VLOOKUP(AH$2,'NW Baseline Energy'!$A$4:$G$43,6,0)</f>
        <v>12696345.65106868</v>
      </c>
      <c r="AI11" s="63">
        <f>'NW Baseline Grid Char'!AI7*VLOOKUP(AI$2,'NW Baseline Energy'!$A$4:$G$43,6,0)</f>
        <v>12850895.793587187</v>
      </c>
      <c r="AJ11" s="63">
        <f>'NW Baseline Grid Char'!AJ7*VLOOKUP(AJ$2,'NW Baseline Energy'!$A$4:$G$43,6,0)</f>
        <v>13007200.688960493</v>
      </c>
      <c r="AK11" s="63">
        <f>'NW Baseline Grid Char'!AK7*VLOOKUP(AK$2,'NW Baseline Energy'!$A$4:$G$43,6,0)</f>
        <v>13165279.32276376</v>
      </c>
      <c r="AL11" s="63">
        <f>'NW Baseline Grid Char'!AL7*VLOOKUP(AL$2,'NW Baseline Energy'!$A$4:$G$43,6,0)</f>
        <v>13325150.972173484</v>
      </c>
      <c r="AM11" s="63">
        <f>'NW Baseline Grid Char'!AM7*VLOOKUP(AM$2,'NW Baseline Energy'!$A$4:$G$43,6,0)</f>
        <v>13486835.11777797</v>
      </c>
      <c r="AN11" s="63">
        <f>'NW Baseline Grid Char'!AN7*VLOOKUP(AN$2,'NW Baseline Energy'!$A$4:$G$43,6,0)</f>
        <v>13650351.445678186</v>
      </c>
      <c r="AO11" s="63">
        <f>'NW Baseline Grid Char'!AO7*VLOOKUP(AO$2,'NW Baseline Energy'!$A$4:$G$43,6,0)</f>
        <v>13815719.753488246</v>
      </c>
    </row>
    <row r="12" spans="1:41">
      <c r="A12" s="63" t="s">
        <v>193</v>
      </c>
      <c r="B12" s="63">
        <f>'NW Baseline Grid Char'!B10*VLOOKUP(B$2,'NW Baseline Energy'!$A$4:$G$43,6,0)</f>
        <v>12938032.97484665</v>
      </c>
      <c r="C12" s="63">
        <f>'NW Baseline Grid Char'!C10*VLOOKUP(C$2,'NW Baseline Energy'!$A$4:$G$43,6,0)</f>
        <v>13348039.527946135</v>
      </c>
      <c r="D12" s="63">
        <f>'NW Baseline Grid Char'!D10*VLOOKUP(D$2,'NW Baseline Energy'!$A$4:$G$43,6,0)</f>
        <v>13769300.352206016</v>
      </c>
      <c r="E12" s="63">
        <f>'NW Baseline Grid Char'!E10*VLOOKUP(E$2,'NW Baseline Energy'!$A$4:$G$43,6,0)</f>
        <v>14202102.077338919</v>
      </c>
      <c r="F12" s="63">
        <f>'NW Baseline Grid Char'!F10*VLOOKUP(F$2,'NW Baseline Energy'!$A$4:$G$43,6,0)</f>
        <v>14646738.562778816</v>
      </c>
      <c r="G12" s="63">
        <f>'NW Baseline Grid Char'!G10*VLOOKUP(G$2,'NW Baseline Energy'!$A$4:$G$43,6,0)</f>
        <v>15103510.624711946</v>
      </c>
      <c r="H12" s="63">
        <f>'NW Baseline Grid Char'!H10*VLOOKUP(H$2,'NW Baseline Energy'!$A$4:$G$43,6,0)</f>
        <v>15572726.387736829</v>
      </c>
      <c r="I12" s="63">
        <f>'NW Baseline Grid Char'!I10*VLOOKUP(I$2,'NW Baseline Energy'!$A$4:$G$43,6,0)</f>
        <v>16054701.663653765</v>
      </c>
      <c r="J12" s="63">
        <f>'NW Baseline Grid Char'!J10*VLOOKUP(J$2,'NW Baseline Energy'!$A$4:$G$43,6,0)</f>
        <v>16549759.656587407</v>
      </c>
      <c r="K12" s="63">
        <f>'NW Baseline Grid Char'!K10*VLOOKUP(K$2,'NW Baseline Energy'!$A$4:$G$43,6,0)</f>
        <v>17126794.013861518</v>
      </c>
      <c r="L12" s="63">
        <f>'NW Baseline Grid Char'!L10*VLOOKUP(L$2,'NW Baseline Energy'!$A$4:$G$43,6,0)</f>
        <v>17362109.721160289</v>
      </c>
      <c r="M12" s="63">
        <f>'NW Baseline Grid Char'!M10*VLOOKUP(M$2,'NW Baseline Energy'!$A$4:$G$43,6,0)</f>
        <v>17600556.508580498</v>
      </c>
      <c r="N12" s="63">
        <f>'NW Baseline Grid Char'!N10*VLOOKUP(N$2,'NW Baseline Energy'!$A$4:$G$43,6,0)</f>
        <v>17842175.23839302</v>
      </c>
      <c r="O12" s="63">
        <f>'NW Baseline Grid Char'!O10*VLOOKUP(O$2,'NW Baseline Energy'!$A$4:$G$43,6,0)</f>
        <v>18087007.07410771</v>
      </c>
      <c r="P12" s="63">
        <f>'NW Baseline Grid Char'!P10*VLOOKUP(P$2,'NW Baseline Energy'!$A$4:$G$43,6,0)</f>
        <v>18335093.778918084</v>
      </c>
      <c r="Q12" s="63">
        <f>'NW Baseline Grid Char'!Q10*VLOOKUP(Q$2,'NW Baseline Energy'!$A$4:$G$43,6,0)</f>
        <v>18586477.649576358</v>
      </c>
      <c r="R12" s="63">
        <f>'NW Baseline Grid Char'!R10*VLOOKUP(R$2,'NW Baseline Energy'!$A$4:$G$43,6,0)</f>
        <v>18841201.523119092</v>
      </c>
      <c r="S12" s="63">
        <f>'NW Baseline Grid Char'!S10*VLOOKUP(S$2,'NW Baseline Energy'!$A$4:$G$43,6,0)</f>
        <v>19099308.704954576</v>
      </c>
      <c r="T12" s="63">
        <f>'NW Baseline Grid Char'!T10*VLOOKUP(T$2,'NW Baseline Energy'!$A$4:$G$43,6,0)</f>
        <v>19360843.289755851</v>
      </c>
      <c r="U12" s="63">
        <f>'NW Baseline Grid Char'!U10*VLOOKUP(U$2,'NW Baseline Energy'!$A$4:$G$43,6,0)</f>
        <v>19581509.3718132</v>
      </c>
      <c r="V12" s="63">
        <f>'NW Baseline Grid Char'!V10*VLOOKUP(V$2,'NW Baseline Energy'!$A$4:$G$43,6,0)</f>
        <v>20243511.133822896</v>
      </c>
      <c r="W12" s="63">
        <f>'NW Baseline Grid Char'!W10*VLOOKUP(W$2,'NW Baseline Energy'!$A$4:$G$43,6,0)</f>
        <v>20509746.104185585</v>
      </c>
      <c r="X12" s="63">
        <f>'NW Baseline Grid Char'!X10*VLOOKUP(X$2,'NW Baseline Energy'!$A$4:$G$43,6,0)</f>
        <v>20774649.740178861</v>
      </c>
      <c r="Y12" s="63">
        <f>'NW Baseline Grid Char'!Y10*VLOOKUP(Y$2,'NW Baseline Energy'!$A$4:$G$43,6,0)</f>
        <v>21038974.692969363</v>
      </c>
      <c r="Z12" s="63">
        <f>'NW Baseline Grid Char'!Z10*VLOOKUP(Z$2,'NW Baseline Energy'!$A$4:$G$43,6,0)</f>
        <v>21303728.470508397</v>
      </c>
      <c r="AA12" s="63">
        <f>'NW Baseline Grid Char'!AA10*VLOOKUP(AA$2,'NW Baseline Energy'!$A$4:$G$43,6,0)</f>
        <v>21570216.000687655</v>
      </c>
      <c r="AB12" s="63">
        <f>'NW Baseline Grid Char'!AB10*VLOOKUP(AB$2,'NW Baseline Energy'!$A$4:$G$43,6,0)</f>
        <v>21840085.651327033</v>
      </c>
      <c r="AC12" s="63">
        <f>'NW Baseline Grid Char'!AC10*VLOOKUP(AC$2,'NW Baseline Energy'!$A$4:$G$43,6,0)</f>
        <v>22115382.052256707</v>
      </c>
      <c r="AD12" s="63">
        <f>'NW Baseline Grid Char'!AD10*VLOOKUP(AD$2,'NW Baseline Energy'!$A$4:$G$43,6,0)</f>
        <v>22398602.855379343</v>
      </c>
      <c r="AE12" s="63">
        <f>'NW Baseline Grid Char'!AE10*VLOOKUP(AE$2,'NW Baseline Energy'!$A$4:$G$43,6,0)</f>
        <v>22692761.356994532</v>
      </c>
      <c r="AF12" s="63">
        <f>'NW Baseline Grid Char'!AF10*VLOOKUP(AF$2,'NW Baseline Energy'!$A$4:$G$43,6,0)</f>
        <v>23231039.839931864</v>
      </c>
      <c r="AG12" s="63">
        <f>'NW Baseline Grid Char'!AG10*VLOOKUP(AG$2,'NW Baseline Energy'!$A$4:$G$43,6,0)</f>
        <v>23564431.953687496</v>
      </c>
      <c r="AH12" s="63">
        <f>'NW Baseline Grid Char'!AH10*VLOOKUP(AH$2,'NW Baseline Energy'!$A$4:$G$43,6,0)</f>
        <v>23901947.09196312</v>
      </c>
      <c r="AI12" s="63">
        <f>'NW Baseline Grid Char'!AI10*VLOOKUP(AI$2,'NW Baseline Energy'!$A$4:$G$43,6,0)</f>
        <v>24243632.315481111</v>
      </c>
      <c r="AJ12" s="63">
        <f>'NW Baseline Grid Char'!AJ10*VLOOKUP(AJ$2,'NW Baseline Energy'!$A$4:$G$43,6,0)</f>
        <v>24589535.562717866</v>
      </c>
      <c r="AK12" s="63">
        <f>'NW Baseline Grid Char'!AK10*VLOOKUP(AK$2,'NW Baseline Energy'!$A$4:$G$43,6,0)</f>
        <v>24939704.929942247</v>
      </c>
      <c r="AL12" s="63">
        <f>'NW Baseline Grid Char'!AL10*VLOOKUP(AL$2,'NW Baseline Energy'!$A$4:$G$43,6,0)</f>
        <v>25294189.408725511</v>
      </c>
      <c r="AM12" s="63">
        <f>'NW Baseline Grid Char'!AM10*VLOOKUP(AM$2,'NW Baseline Energy'!$A$4:$G$43,6,0)</f>
        <v>25653038.15295599</v>
      </c>
      <c r="AN12" s="63">
        <f>'NW Baseline Grid Char'!AN10*VLOOKUP(AN$2,'NW Baseline Energy'!$A$4:$G$43,6,0)</f>
        <v>26016301.22972047</v>
      </c>
      <c r="AO12" s="63">
        <f>'NW Baseline Grid Char'!AO10*VLOOKUP(AO$2,'NW Baseline Energy'!$A$4:$G$43,6,0)</f>
        <v>26384028.873059567</v>
      </c>
    </row>
    <row r="13" spans="1:41">
      <c r="A13" s="63" t="s">
        <v>196</v>
      </c>
      <c r="B13" s="63">
        <f>'NW Baseline Grid Char'!B13*VLOOKUP(B$2,'NW Baseline Energy'!$A$4:$G$43,6,0)</f>
        <v>7789867.564067537</v>
      </c>
      <c r="C13" s="63">
        <f>'NW Baseline Grid Char'!C13*VLOOKUP(C$2,'NW Baseline Energy'!$A$4:$G$43,6,0)</f>
        <v>7802224.0223681219</v>
      </c>
      <c r="D13" s="63">
        <f>'NW Baseline Grid Char'!D13*VLOOKUP(D$2,'NW Baseline Energy'!$A$4:$G$43,6,0)</f>
        <v>7811930.9489164473</v>
      </c>
      <c r="E13" s="63">
        <f>'NW Baseline Grid Char'!E13*VLOOKUP(E$2,'NW Baseline Energy'!$A$4:$G$43,6,0)</f>
        <v>7818876.8589515984</v>
      </c>
      <c r="F13" s="63">
        <f>'NW Baseline Grid Char'!F13*VLOOKUP(F$2,'NW Baseline Energy'!$A$4:$G$43,6,0)</f>
        <v>7822946.856835329</v>
      </c>
      <c r="G13" s="63">
        <f>'NW Baseline Grid Char'!G13*VLOOKUP(G$2,'NW Baseline Energy'!$A$4:$G$43,6,0)</f>
        <v>7824022.4777995022</v>
      </c>
      <c r="H13" s="63">
        <f>'NW Baseline Grid Char'!H13*VLOOKUP(H$2,'NW Baseline Energy'!$A$4:$G$43,6,0)</f>
        <v>7821981.8569591176</v>
      </c>
      <c r="I13" s="63">
        <f>'NW Baseline Grid Char'!I13*VLOOKUP(I$2,'NW Baseline Energy'!$A$4:$G$43,6,0)</f>
        <v>7816699.2394024916</v>
      </c>
      <c r="J13" s="63">
        <f>'NW Baseline Grid Char'!J13*VLOOKUP(J$2,'NW Baseline Energy'!$A$4:$G$43,6,0)</f>
        <v>7808045.1417811746</v>
      </c>
      <c r="K13" s="63">
        <f>'NW Baseline Grid Char'!K13*VLOOKUP(K$2,'NW Baseline Energy'!$A$4:$G$43,6,0)</f>
        <v>7827220.27064736</v>
      </c>
      <c r="L13" s="63">
        <f>'NW Baseline Grid Char'!L13*VLOOKUP(L$2,'NW Baseline Energy'!$A$4:$G$43,6,0)</f>
        <v>7860247.093451581</v>
      </c>
      <c r="M13" s="63">
        <f>'NW Baseline Grid Char'!M13*VLOOKUP(M$2,'NW Baseline Energy'!$A$4:$G$43,6,0)</f>
        <v>7893020.9455171563</v>
      </c>
      <c r="N13" s="63">
        <f>'NW Baseline Grid Char'!N13*VLOOKUP(N$2,'NW Baseline Energy'!$A$4:$G$43,6,0)</f>
        <v>7925531.8190021887</v>
      </c>
      <c r="O13" s="63">
        <f>'NW Baseline Grid Char'!O13*VLOOKUP(O$2,'NW Baseline Energy'!$A$4:$G$43,6,0)</f>
        <v>7957769.7363049388</v>
      </c>
      <c r="P13" s="63">
        <f>'NW Baseline Grid Char'!P13*VLOOKUP(P$2,'NW Baseline Energy'!$A$4:$G$43,6,0)</f>
        <v>7989724.3029737873</v>
      </c>
      <c r="Q13" s="63">
        <f>'NW Baseline Grid Char'!Q13*VLOOKUP(Q$2,'NW Baseline Energy'!$A$4:$G$43,6,0)</f>
        <v>8021384.9997692546</v>
      </c>
      <c r="R13" s="63">
        <f>'NW Baseline Grid Char'!R13*VLOOKUP(R$2,'NW Baseline Energy'!$A$4:$G$43,6,0)</f>
        <v>8052741.1059087692</v>
      </c>
      <c r="S13" s="63">
        <f>'NW Baseline Grid Char'!S13*VLOOKUP(S$2,'NW Baseline Energy'!$A$4:$G$43,6,0)</f>
        <v>8083781.6171330623</v>
      </c>
      <c r="T13" s="63">
        <f>'NW Baseline Grid Char'!T13*VLOOKUP(T$2,'NW Baseline Energy'!$A$4:$G$43,6,0)</f>
        <v>8114495.5564464442</v>
      </c>
      <c r="U13" s="63">
        <f>'NW Baseline Grid Char'!U13*VLOOKUP(U$2,'NW Baseline Energy'!$A$4:$G$43,6,0)</f>
        <v>8126469.9403944006</v>
      </c>
      <c r="V13" s="63">
        <f>'NW Baseline Grid Char'!V13*VLOOKUP(V$2,'NW Baseline Energy'!$A$4:$G$43,6,0)</f>
        <v>7764929.0663065808</v>
      </c>
      <c r="W13" s="63">
        <f>'NW Baseline Grid Char'!W13*VLOOKUP(W$2,'NW Baseline Energy'!$A$4:$G$43,6,0)</f>
        <v>7741385.9451200552</v>
      </c>
      <c r="X13" s="63">
        <f>'NW Baseline Grid Char'!X13*VLOOKUP(X$2,'NW Baseline Energy'!$A$4:$G$43,6,0)</f>
        <v>7720600.6076458255</v>
      </c>
      <c r="Y13" s="63">
        <f>'NW Baseline Grid Char'!Y13*VLOOKUP(Y$2,'NW Baseline Energy'!$A$4:$G$43,6,0)</f>
        <v>7701945.9787136344</v>
      </c>
      <c r="Z13" s="63">
        <f>'NW Baseline Grid Char'!Z13*VLOOKUP(Z$2,'NW Baseline Energy'!$A$4:$G$43,6,0)</f>
        <v>7684578.7634441173</v>
      </c>
      <c r="AA13" s="63">
        <f>'NW Baseline Grid Char'!AA13*VLOOKUP(AA$2,'NW Baseline Energy'!$A$4:$G$43,6,0)</f>
        <v>7667402.9358132044</v>
      </c>
      <c r="AB13" s="63">
        <f>'NW Baseline Grid Char'!AB13*VLOOKUP(AB$2,'NW Baseline Energy'!$A$4:$G$43,6,0)</f>
        <v>7649030.4800635632</v>
      </c>
      <c r="AC13" s="63">
        <f>'NW Baseline Grid Char'!AC13*VLOOKUP(AC$2,'NW Baseline Energy'!$A$4:$G$43,6,0)</f>
        <v>7627736.8518926939</v>
      </c>
      <c r="AD13" s="63">
        <f>'NW Baseline Grid Char'!AD13*VLOOKUP(AD$2,'NW Baseline Energy'!$A$4:$G$43,6,0)</f>
        <v>7601412.6286672959</v>
      </c>
      <c r="AE13" s="63">
        <f>'NW Baseline Grid Char'!AE13*VLOOKUP(AE$2,'NW Baseline Energy'!$A$4:$G$43,6,0)</f>
        <v>7567509.8588895239</v>
      </c>
      <c r="AF13" s="63">
        <f>'NW Baseline Grid Char'!AF13*VLOOKUP(AF$2,'NW Baseline Energy'!$A$4:$G$43,6,0)</f>
        <v>7327847.4928133087</v>
      </c>
      <c r="AG13" s="63">
        <f>'NW Baseline Grid Char'!AG13*VLOOKUP(AG$2,'NW Baseline Energy'!$A$4:$G$43,6,0)</f>
        <v>7264074.8834938761</v>
      </c>
      <c r="AH13" s="63">
        <f>'NW Baseline Grid Char'!AH13*VLOOKUP(AH$2,'NW Baseline Energy'!$A$4:$G$43,6,0)</f>
        <v>7198556.9679919332</v>
      </c>
      <c r="AI13" s="63">
        <f>'NW Baseline Grid Char'!AI13*VLOOKUP(AI$2,'NW Baseline Energy'!$A$4:$G$43,6,0)</f>
        <v>7131267.6438659243</v>
      </c>
      <c r="AJ13" s="63">
        <f>'NW Baseline Grid Char'!AJ13*VLOOKUP(AJ$2,'NW Baseline Energy'!$A$4:$G$43,6,0)</f>
        <v>7062180.1155608995</v>
      </c>
      <c r="AK13" s="63">
        <f>'NW Baseline Grid Char'!AK13*VLOOKUP(AK$2,'NW Baseline Energy'!$A$4:$G$43,6,0)</f>
        <v>6991267.6159958076</v>
      </c>
      <c r="AL13" s="63">
        <f>'NW Baseline Grid Char'!AL13*VLOOKUP(AL$2,'NW Baseline Energy'!$A$4:$G$43,6,0)</f>
        <v>6918502.6706937524</v>
      </c>
      <c r="AM13" s="63">
        <f>'NW Baseline Grid Char'!AM13*VLOOKUP(AM$2,'NW Baseline Energy'!$A$4:$G$43,6,0)</f>
        <v>6843857.8324217517</v>
      </c>
      <c r="AN13" s="63">
        <f>'NW Baseline Grid Char'!AN13*VLOOKUP(AN$2,'NW Baseline Energy'!$A$4:$G$43,6,0)</f>
        <v>6767305.0272414414</v>
      </c>
      <c r="AO13" s="63">
        <f>'NW Baseline Grid Char'!AO13*VLOOKUP(AO$2,'NW Baseline Energy'!$A$4:$G$43,6,0)</f>
        <v>6688815.8261228558</v>
      </c>
    </row>
    <row r="14" spans="1:41">
      <c r="A14" s="63" t="s">
        <v>199</v>
      </c>
      <c r="B14" s="63">
        <f>'NW Baseline Grid Char'!B16*VLOOKUP(B$2,'NW Baseline Energy'!$A$4:$G$43,6,0)</f>
        <v>3915970.210627438</v>
      </c>
      <c r="C14" s="63">
        <f>'NW Baseline Grid Char'!C16*VLOOKUP(C$2,'NW Baseline Energy'!$A$4:$G$43,6,0)</f>
        <v>3947689.3970011468</v>
      </c>
      <c r="D14" s="63">
        <f>'NW Baseline Grid Char'!D16*VLOOKUP(D$2,'NW Baseline Energy'!$A$4:$G$43,6,0)</f>
        <v>3979101.841930849</v>
      </c>
      <c r="E14" s="63">
        <f>'NW Baseline Grid Char'!E16*VLOOKUP(E$2,'NW Baseline Energy'!$A$4:$G$43,6,0)</f>
        <v>4010182.4679344292</v>
      </c>
      <c r="F14" s="63">
        <f>'NW Baseline Grid Char'!F16*VLOOKUP(F$2,'NW Baseline Energy'!$A$4:$G$43,6,0)</f>
        <v>4040905.2511140099</v>
      </c>
      <c r="G14" s="63">
        <f>'NW Baseline Grid Char'!G16*VLOOKUP(G$2,'NW Baseline Energy'!$A$4:$G$43,6,0)</f>
        <v>4071243.2555930591</v>
      </c>
      <c r="H14" s="63">
        <f>'NW Baseline Grid Char'!H16*VLOOKUP(H$2,'NW Baseline Energy'!$A$4:$G$43,6,0)</f>
        <v>4101168.6748850713</v>
      </c>
      <c r="I14" s="63">
        <f>'NW Baseline Grid Char'!I16*VLOOKUP(I$2,'NW Baseline Energy'!$A$4:$G$43,6,0)</f>
        <v>4130652.5363674792</v>
      </c>
      <c r="J14" s="63">
        <f>'NW Baseline Grid Char'!J16*VLOOKUP(J$2,'NW Baseline Energy'!$A$4:$G$43,6,0)</f>
        <v>4159665.0747942333</v>
      </c>
      <c r="K14" s="63">
        <f>'NW Baseline Grid Char'!K16*VLOOKUP(K$2,'NW Baseline Energy'!$A$4:$G$43,6,0)</f>
        <v>4205009.0143007999</v>
      </c>
      <c r="L14" s="63">
        <f>'NW Baseline Grid Char'!L16*VLOOKUP(L$2,'NW Baseline Energy'!$A$4:$G$43,6,0)</f>
        <v>4236219.6071711509</v>
      </c>
      <c r="M14" s="63">
        <f>'NW Baseline Grid Char'!M16*VLOOKUP(M$2,'NW Baseline Energy'!$A$4:$G$43,6,0)</f>
        <v>4267598.5720281387</v>
      </c>
      <c r="N14" s="63">
        <f>'NW Baseline Grid Char'!N16*VLOOKUP(N$2,'NW Baseline Energy'!$A$4:$G$43,6,0)</f>
        <v>4299145.8770781439</v>
      </c>
      <c r="O14" s="63">
        <f>'NW Baseline Grid Char'!O16*VLOOKUP(O$2,'NW Baseline Energy'!$A$4:$G$43,6,0)</f>
        <v>4330861.170617383</v>
      </c>
      <c r="P14" s="63">
        <f>'NW Baseline Grid Char'!P16*VLOOKUP(P$2,'NW Baseline Energy'!$A$4:$G$43,6,0)</f>
        <v>4362744.3725602608</v>
      </c>
      <c r="Q14" s="63">
        <f>'NW Baseline Grid Char'!Q16*VLOOKUP(Q$2,'NW Baseline Energy'!$A$4:$G$43,6,0)</f>
        <v>4394795.0751031721</v>
      </c>
      <c r="R14" s="63">
        <f>'NW Baseline Grid Char'!R16*VLOOKUP(R$2,'NW Baseline Energy'!$A$4:$G$43,6,0)</f>
        <v>4427013.1476899805</v>
      </c>
      <c r="S14" s="63">
        <f>'NW Baseline Grid Char'!S16*VLOOKUP(S$2,'NW Baseline Energy'!$A$4:$G$43,6,0)</f>
        <v>4459398.1240490358</v>
      </c>
      <c r="T14" s="63">
        <f>'NW Baseline Grid Char'!T16*VLOOKUP(T$2,'NW Baseline Energy'!$A$4:$G$43,6,0)</f>
        <v>4491949.820901012</v>
      </c>
      <c r="U14" s="63">
        <f>'NW Baseline Grid Char'!U16*VLOOKUP(U$2,'NW Baseline Energy'!$A$4:$G$43,6,0)</f>
        <v>4514445.2112060003</v>
      </c>
      <c r="V14" s="63">
        <f>'NW Baseline Grid Char'!V16*VLOOKUP(V$2,'NW Baseline Energy'!$A$4:$G$43,6,0)</f>
        <v>4409812.3755957419</v>
      </c>
      <c r="W14" s="63">
        <f>'NW Baseline Grid Char'!W16*VLOOKUP(W$2,'NW Baseline Energy'!$A$4:$G$43,6,0)</f>
        <v>4420586.3483140599</v>
      </c>
      <c r="X14" s="63">
        <f>'NW Baseline Grid Char'!X16*VLOOKUP(X$2,'NW Baseline Energy'!$A$4:$G$43,6,0)</f>
        <v>4432496.0947524998</v>
      </c>
      <c r="Y14" s="63">
        <f>'NW Baseline Grid Char'!Y16*VLOOKUP(Y$2,'NW Baseline Energy'!$A$4:$G$43,6,0)</f>
        <v>4445329.7997629233</v>
      </c>
      <c r="Z14" s="63">
        <f>'NW Baseline Grid Char'!Z16*VLOOKUP(Z$2,'NW Baseline Energy'!$A$4:$G$43,6,0)</f>
        <v>4458801.9270506054</v>
      </c>
      <c r="AA14" s="63">
        <f>'NW Baseline Grid Char'!AA16*VLOOKUP(AA$2,'NW Baseline Energy'!$A$4:$G$43,6,0)</f>
        <v>4472541.1755712042</v>
      </c>
      <c r="AB14" s="63">
        <f>'NW Baseline Grid Char'!AB16*VLOOKUP(AB$2,'NW Baseline Energy'!$A$4:$G$43,6,0)</f>
        <v>4486076.2459659539</v>
      </c>
      <c r="AC14" s="63">
        <f>'NW Baseline Grid Char'!AC16*VLOOKUP(AC$2,'NW Baseline Energy'!$A$4:$G$43,6,0)</f>
        <v>4498821.4552656207</v>
      </c>
      <c r="AD14" s="63">
        <f>'NW Baseline Grid Char'!AD16*VLOOKUP(AD$2,'NW Baseline Energy'!$A$4:$G$43,6,0)</f>
        <v>4510059.7740292288</v>
      </c>
      <c r="AE14" s="63">
        <f>'NW Baseline Grid Char'!AE16*VLOOKUP(AE$2,'NW Baseline Energy'!$A$4:$G$43,6,0)</f>
        <v>4518924.9906394146</v>
      </c>
      <c r="AF14" s="63">
        <f>'NW Baseline Grid Char'!AF16*VLOOKUP(AF$2,'NW Baseline Energy'!$A$4:$G$43,6,0)</f>
        <v>4457865.2429147363</v>
      </c>
      <c r="AG14" s="63">
        <f>'NW Baseline Grid Char'!AG16*VLOOKUP(AG$2,'NW Baseline Energy'!$A$4:$G$43,6,0)</f>
        <v>4456975.3830211544</v>
      </c>
      <c r="AH14" s="63">
        <f>'NW Baseline Grid Char'!AH16*VLOOKUP(AH$2,'NW Baseline Energy'!$A$4:$G$43,6,0)</f>
        <v>4455707.1412816811</v>
      </c>
      <c r="AI14" s="63">
        <f>'NW Baseline Grid Char'!AI16*VLOOKUP(AI$2,'NW Baseline Energy'!$A$4:$G$43,6,0)</f>
        <v>4454053.9495423501</v>
      </c>
      <c r="AJ14" s="63">
        <f>'NW Baseline Grid Char'!AJ16*VLOOKUP(AJ$2,'NW Baseline Energy'!$A$4:$G$43,6,0)</f>
        <v>4452008.8795449492</v>
      </c>
      <c r="AK14" s="63">
        <f>'NW Baseline Grid Char'!AK16*VLOOKUP(AK$2,'NW Baseline Energy'!$A$4:$G$43,6,0)</f>
        <v>4449565.0004863888</v>
      </c>
      <c r="AL14" s="63">
        <f>'NW Baseline Grid Char'!AL16*VLOOKUP(AL$2,'NW Baseline Energy'!$A$4:$G$43,6,0)</f>
        <v>4446715.1948845275</v>
      </c>
      <c r="AM14" s="63">
        <f>'NW Baseline Grid Char'!AM16*VLOOKUP(AM$2,'NW Baseline Energy'!$A$4:$G$43,6,0)</f>
        <v>4443452.5308927046</v>
      </c>
      <c r="AN14" s="63">
        <f>'NW Baseline Grid Char'!AN16*VLOOKUP(AN$2,'NW Baseline Energy'!$A$4:$G$43,6,0)</f>
        <v>4439769.7022842867</v>
      </c>
      <c r="AO14" s="63">
        <f>'NW Baseline Grid Char'!AO16*VLOOKUP(AO$2,'NW Baseline Energy'!$A$4:$G$43,6,0)</f>
        <v>4435659.3990701716</v>
      </c>
    </row>
    <row r="15" spans="1:41">
      <c r="A15" s="63" t="s">
        <v>202</v>
      </c>
      <c r="B15" s="63">
        <f>'NW Baseline Grid Char'!B19*VLOOKUP(B$2,'NW Baseline Energy'!$A$4:$G$43,6,0)</f>
        <v>1370406.4787949231</v>
      </c>
      <c r="C15" s="63">
        <f>'NW Baseline Grid Char'!C19*VLOOKUP(C$2,'NW Baseline Energy'!$A$4:$G$43,6,0)</f>
        <v>1396918.1803642253</v>
      </c>
      <c r="D15" s="63">
        <f>'NW Baseline Grid Char'!D19*VLOOKUP(D$2,'NW Baseline Energy'!$A$4:$G$43,6,0)</f>
        <v>1423941.9386672839</v>
      </c>
      <c r="E15" s="63">
        <f>'NW Baseline Grid Char'!E19*VLOOKUP(E$2,'NW Baseline Energy'!$A$4:$G$43,6,0)</f>
        <v>1451487.7534755939</v>
      </c>
      <c r="F15" s="63">
        <f>'NW Baseline Grid Char'!F19*VLOOKUP(F$2,'NW Baseline Energy'!$A$4:$G$43,6,0)</f>
        <v>1479565.5652454831</v>
      </c>
      <c r="G15" s="63">
        <f>'NW Baseline Grid Char'!G19*VLOOKUP(G$2,'NW Baseline Energy'!$A$4:$G$43,6,0)</f>
        <v>1508185.7626721803</v>
      </c>
      <c r="H15" s="63">
        <f>'NW Baseline Grid Char'!H19*VLOOKUP(H$2,'NW Baseline Energy'!$A$4:$G$43,6,0)</f>
        <v>1537358.7398990202</v>
      </c>
      <c r="I15" s="63">
        <f>'NW Baseline Grid Char'!I19*VLOOKUP(I$2,'NW Baseline Energy'!$A$4:$G$43,6,0)</f>
        <v>1567095.0871010229</v>
      </c>
      <c r="J15" s="63">
        <f>'NW Baseline Grid Char'!J19*VLOOKUP(J$2,'NW Baseline Energy'!$A$4:$G$43,6,0)</f>
        <v>1597405.8048489315</v>
      </c>
      <c r="K15" s="63">
        <f>'NW Baseline Grid Char'!K19*VLOOKUP(K$2,'NW Baseline Energy'!$A$4:$G$43,6,0)</f>
        <v>1634846.5493942399</v>
      </c>
      <c r="L15" s="63">
        <f>'NW Baseline Grid Char'!L19*VLOOKUP(L$2,'NW Baseline Energy'!$A$4:$G$43,6,0)</f>
        <v>1650878.7137444564</v>
      </c>
      <c r="M15" s="63">
        <f>'NW Baseline Grid Char'!M19*VLOOKUP(M$2,'NW Baseline Energy'!$A$4:$G$43,6,0)</f>
        <v>1667064.4550130954</v>
      </c>
      <c r="N15" s="63">
        <f>'NW Baseline Grid Char'!N19*VLOOKUP(N$2,'NW Baseline Energy'!$A$4:$G$43,6,0)</f>
        <v>1683405.1969316725</v>
      </c>
      <c r="O15" s="63">
        <f>'NW Baseline Grid Char'!O19*VLOOKUP(O$2,'NW Baseline Energy'!$A$4:$G$43,6,0)</f>
        <v>1699902.4510605682</v>
      </c>
      <c r="P15" s="63">
        <f>'NW Baseline Grid Char'!P19*VLOOKUP(P$2,'NW Baseline Energy'!$A$4:$G$43,6,0)</f>
        <v>1716557.5166923865</v>
      </c>
      <c r="Q15" s="63">
        <f>'NW Baseline Grid Char'!Q19*VLOOKUP(Q$2,'NW Baseline Energy'!$A$4:$G$43,6,0)</f>
        <v>1733371.9299871523</v>
      </c>
      <c r="R15" s="63">
        <f>'NW Baseline Grid Char'!R19*VLOOKUP(R$2,'NW Baseline Energy'!$A$4:$G$43,6,0)</f>
        <v>1750347.1655587906</v>
      </c>
      <c r="S15" s="63">
        <f>'NW Baseline Grid Char'!S19*VLOOKUP(S$2,'NW Baseline Energy'!$A$4:$G$43,6,0)</f>
        <v>1767484.7897229171</v>
      </c>
      <c r="T15" s="63">
        <f>'NW Baseline Grid Char'!T19*VLOOKUP(T$2,'NW Baseline Energy'!$A$4:$G$43,6,0)</f>
        <v>1784786.1466032176</v>
      </c>
      <c r="U15" s="63">
        <f>'NW Baseline Grid Char'!U19*VLOOKUP(U$2,'NW Baseline Energy'!$A$4:$G$43,6,0)</f>
        <v>1798181.0307215999</v>
      </c>
      <c r="V15" s="63">
        <f>'NW Baseline Grid Char'!V19*VLOOKUP(V$2,'NW Baseline Energy'!$A$4:$G$43,6,0)</f>
        <v>1815571.8529729359</v>
      </c>
      <c r="W15" s="63">
        <f>'NW Baseline Grid Char'!W19*VLOOKUP(W$2,'NW Baseline Energy'!$A$4:$G$43,6,0)</f>
        <v>1829522.2735632362</v>
      </c>
      <c r="X15" s="63">
        <f>'NW Baseline Grid Char'!X19*VLOOKUP(X$2,'NW Baseline Energy'!$A$4:$G$43,6,0)</f>
        <v>1843536.7306424105</v>
      </c>
      <c r="Y15" s="63">
        <f>'NW Baseline Grid Char'!Y19*VLOOKUP(Y$2,'NW Baseline Energy'!$A$4:$G$43,6,0)</f>
        <v>1857622.4621851556</v>
      </c>
      <c r="Z15" s="63">
        <f>'NW Baseline Grid Char'!Z19*VLOOKUP(Z$2,'NW Baseline Energy'!$A$4:$G$43,6,0)</f>
        <v>1871788.7291466852</v>
      </c>
      <c r="AA15" s="63">
        <f>'NW Baseline Grid Char'!AA19*VLOOKUP(AA$2,'NW Baseline Energy'!$A$4:$G$43,6,0)</f>
        <v>1886047.7486085161</v>
      </c>
      <c r="AB15" s="63">
        <f>'NW Baseline Grid Char'!AB19*VLOOKUP(AB$2,'NW Baseline Energy'!$A$4:$G$43,6,0)</f>
        <v>1900414.3919745467</v>
      </c>
      <c r="AC15" s="63">
        <f>'NW Baseline Grid Char'!AC19*VLOOKUP(AC$2,'NW Baseline Energy'!$A$4:$G$43,6,0)</f>
        <v>1914907.416922336</v>
      </c>
      <c r="AD15" s="63">
        <f>'NW Baseline Grid Char'!AD19*VLOOKUP(AD$2,'NW Baseline Energy'!$A$4:$G$43,6,0)</f>
        <v>1929549.2824588281</v>
      </c>
      <c r="AE15" s="63">
        <f>'NW Baseline Grid Char'!AE19*VLOOKUP(AE$2,'NW Baseline Energy'!$A$4:$G$43,6,0)</f>
        <v>1944367.3553905252</v>
      </c>
      <c r="AF15" s="63">
        <f>'NW Baseline Grid Char'!AF19*VLOOKUP(AF$2,'NW Baseline Energy'!$A$4:$G$43,6,0)</f>
        <v>1961433.639697639</v>
      </c>
      <c r="AG15" s="63">
        <f>'NW Baseline Grid Char'!AG19*VLOOKUP(AG$2,'NW Baseline Energy'!$A$4:$G$43,6,0)</f>
        <v>1976759.5314293606</v>
      </c>
      <c r="AH15" s="63">
        <f>'NW Baseline Grid Char'!AH19*VLOOKUP(AH$2,'NW Baseline Energy'!$A$4:$G$43,6,0)</f>
        <v>1992202.3453770666</v>
      </c>
      <c r="AI15" s="63">
        <f>'NW Baseline Grid Char'!AI19*VLOOKUP(AI$2,'NW Baseline Energy'!$A$4:$G$43,6,0)</f>
        <v>2007762.9441325504</v>
      </c>
      <c r="AJ15" s="63">
        <f>'NW Baseline Grid Char'!AJ19*VLOOKUP(AJ$2,'NW Baseline Energy'!$A$4:$G$43,6,0)</f>
        <v>2023442.1963380456</v>
      </c>
      <c r="AK15" s="63">
        <f>'NW Baseline Grid Char'!AK19*VLOOKUP(AK$2,'NW Baseline Energy'!$A$4:$G$43,6,0)</f>
        <v>2039240.9767252163</v>
      </c>
      <c r="AL15" s="63">
        <f>'NW Baseline Grid Char'!AL19*VLOOKUP(AL$2,'NW Baseline Energy'!$A$4:$G$43,6,0)</f>
        <v>2055160.1661543562</v>
      </c>
      <c r="AM15" s="63">
        <f>'NW Baseline Grid Char'!AM19*VLOOKUP(AM$2,'NW Baseline Energy'!$A$4:$G$43,6,0)</f>
        <v>2071200.6516537999</v>
      </c>
      <c r="AN15" s="63">
        <f>'NW Baseline Grid Char'!AN19*VLOOKUP(AN$2,'NW Baseline Energy'!$A$4:$G$43,6,0)</f>
        <v>2087363.3264595477</v>
      </c>
      <c r="AO15" s="63">
        <f>'NW Baseline Grid Char'!AO19*VLOOKUP(AO$2,'NW Baseline Energy'!$A$4:$G$43,6,0)</f>
        <v>2103649.0900551011</v>
      </c>
    </row>
    <row r="16" spans="1:41">
      <c r="A16" s="63" t="s">
        <v>205</v>
      </c>
      <c r="B16" s="63">
        <f>'NW Baseline Grid Char'!B22*VLOOKUP(B$2,'NW Baseline Energy'!$A$4:$G$43,6,0)</f>
        <v>0</v>
      </c>
      <c r="C16" s="63">
        <f>'NW Baseline Grid Char'!C22*VLOOKUP(C$2,'NW Baseline Energy'!$A$4:$G$43,6,0)</f>
        <v>0</v>
      </c>
      <c r="D16" s="63">
        <f>'NW Baseline Grid Char'!D22*VLOOKUP(D$2,'NW Baseline Energy'!$A$4:$G$43,6,0)</f>
        <v>0</v>
      </c>
      <c r="E16" s="63">
        <f>'NW Baseline Grid Char'!E22*VLOOKUP(E$2,'NW Baseline Energy'!$A$4:$G$43,6,0)</f>
        <v>0</v>
      </c>
      <c r="F16" s="63">
        <f>'NW Baseline Grid Char'!F22*VLOOKUP(F$2,'NW Baseline Energy'!$A$4:$G$43,6,0)</f>
        <v>0</v>
      </c>
      <c r="G16" s="63">
        <f>'NW Baseline Grid Char'!G22*VLOOKUP(G$2,'NW Baseline Energy'!$A$4:$G$43,6,0)</f>
        <v>0</v>
      </c>
      <c r="H16" s="63">
        <f>'NW Baseline Grid Char'!H22*VLOOKUP(H$2,'NW Baseline Energy'!$A$4:$G$43,6,0)</f>
        <v>0</v>
      </c>
      <c r="I16" s="63">
        <f>'NW Baseline Grid Char'!I22*VLOOKUP(I$2,'NW Baseline Energy'!$A$4:$G$43,6,0)</f>
        <v>0</v>
      </c>
      <c r="J16" s="63">
        <f>'NW Baseline Grid Char'!J22*VLOOKUP(J$2,'NW Baseline Energy'!$A$4:$G$43,6,0)</f>
        <v>0</v>
      </c>
      <c r="K16" s="63">
        <f>'NW Baseline Grid Char'!K22*VLOOKUP(K$2,'NW Baseline Energy'!$A$4:$G$43,6,0)</f>
        <v>0</v>
      </c>
      <c r="L16" s="63">
        <f>'NW Baseline Grid Char'!L22*VLOOKUP(L$2,'NW Baseline Energy'!$A$4:$G$43,6,0)</f>
        <v>0</v>
      </c>
      <c r="M16" s="63">
        <f>'NW Baseline Grid Char'!M22*VLOOKUP(M$2,'NW Baseline Energy'!$A$4:$G$43,6,0)</f>
        <v>0</v>
      </c>
      <c r="N16" s="63">
        <f>'NW Baseline Grid Char'!N22*VLOOKUP(N$2,'NW Baseline Energy'!$A$4:$G$43,6,0)</f>
        <v>0</v>
      </c>
      <c r="O16" s="63">
        <f>'NW Baseline Grid Char'!O22*VLOOKUP(O$2,'NW Baseline Energy'!$A$4:$G$43,6,0)</f>
        <v>0</v>
      </c>
      <c r="P16" s="63">
        <f>'NW Baseline Grid Char'!P22*VLOOKUP(P$2,'NW Baseline Energy'!$A$4:$G$43,6,0)</f>
        <v>0</v>
      </c>
      <c r="Q16" s="63">
        <f>'NW Baseline Grid Char'!Q22*VLOOKUP(Q$2,'NW Baseline Energy'!$A$4:$G$43,6,0)</f>
        <v>0</v>
      </c>
      <c r="R16" s="63">
        <f>'NW Baseline Grid Char'!R22*VLOOKUP(R$2,'NW Baseline Energy'!$A$4:$G$43,6,0)</f>
        <v>0</v>
      </c>
      <c r="S16" s="63">
        <f>'NW Baseline Grid Char'!S22*VLOOKUP(S$2,'NW Baseline Energy'!$A$4:$G$43,6,0)</f>
        <v>0</v>
      </c>
      <c r="T16" s="63">
        <f>'NW Baseline Grid Char'!T22*VLOOKUP(T$2,'NW Baseline Energy'!$A$4:$G$43,6,0)</f>
        <v>0</v>
      </c>
      <c r="U16" s="63">
        <f>'NW Baseline Grid Char'!U22*VLOOKUP(U$2,'NW Baseline Energy'!$A$4:$G$43,6,0)</f>
        <v>0</v>
      </c>
      <c r="V16" s="63">
        <f>'NW Baseline Grid Char'!V22*VLOOKUP(V$2,'NW Baseline Energy'!$A$4:$G$43,6,0)</f>
        <v>0</v>
      </c>
      <c r="W16" s="63">
        <f>'NW Baseline Grid Char'!W22*VLOOKUP(W$2,'NW Baseline Energy'!$A$4:$G$43,6,0)</f>
        <v>0</v>
      </c>
      <c r="X16" s="63">
        <f>'NW Baseline Grid Char'!X22*VLOOKUP(X$2,'NW Baseline Energy'!$A$4:$G$43,6,0)</f>
        <v>0</v>
      </c>
      <c r="Y16" s="63">
        <f>'NW Baseline Grid Char'!Y22*VLOOKUP(Y$2,'NW Baseline Energy'!$A$4:$G$43,6,0)</f>
        <v>0</v>
      </c>
      <c r="Z16" s="63">
        <f>'NW Baseline Grid Char'!Z22*VLOOKUP(Z$2,'NW Baseline Energy'!$A$4:$G$43,6,0)</f>
        <v>0</v>
      </c>
      <c r="AA16" s="63">
        <f>'NW Baseline Grid Char'!AA22*VLOOKUP(AA$2,'NW Baseline Energy'!$A$4:$G$43,6,0)</f>
        <v>0</v>
      </c>
      <c r="AB16" s="63">
        <f>'NW Baseline Grid Char'!AB22*VLOOKUP(AB$2,'NW Baseline Energy'!$A$4:$G$43,6,0)</f>
        <v>0</v>
      </c>
      <c r="AC16" s="63">
        <f>'NW Baseline Grid Char'!AC22*VLOOKUP(AC$2,'NW Baseline Energy'!$A$4:$G$43,6,0)</f>
        <v>0</v>
      </c>
      <c r="AD16" s="63">
        <f>'NW Baseline Grid Char'!AD22*VLOOKUP(AD$2,'NW Baseline Energy'!$A$4:$G$43,6,0)</f>
        <v>0</v>
      </c>
      <c r="AE16" s="63">
        <f>'NW Baseline Grid Char'!AE22*VLOOKUP(AE$2,'NW Baseline Energy'!$A$4:$G$43,6,0)</f>
        <v>0</v>
      </c>
      <c r="AF16" s="63">
        <f>'NW Baseline Grid Char'!AF22*VLOOKUP(AF$2,'NW Baseline Energy'!$A$4:$G$43,6,0)</f>
        <v>0</v>
      </c>
      <c r="AG16" s="63">
        <f>'NW Baseline Grid Char'!AG22*VLOOKUP(AG$2,'NW Baseline Energy'!$A$4:$G$43,6,0)</f>
        <v>0</v>
      </c>
      <c r="AH16" s="63">
        <f>'NW Baseline Grid Char'!AH22*VLOOKUP(AH$2,'NW Baseline Energy'!$A$4:$G$43,6,0)</f>
        <v>0</v>
      </c>
      <c r="AI16" s="63">
        <f>'NW Baseline Grid Char'!AI22*VLOOKUP(AI$2,'NW Baseline Energy'!$A$4:$G$43,6,0)</f>
        <v>0</v>
      </c>
      <c r="AJ16" s="63">
        <f>'NW Baseline Grid Char'!AJ22*VLOOKUP(AJ$2,'NW Baseline Energy'!$A$4:$G$43,6,0)</f>
        <v>0</v>
      </c>
      <c r="AK16" s="63">
        <f>'NW Baseline Grid Char'!AK22*VLOOKUP(AK$2,'NW Baseline Energy'!$A$4:$G$43,6,0)</f>
        <v>0</v>
      </c>
      <c r="AL16" s="63">
        <f>'NW Baseline Grid Char'!AL22*VLOOKUP(AL$2,'NW Baseline Energy'!$A$4:$G$43,6,0)</f>
        <v>0</v>
      </c>
      <c r="AM16" s="63">
        <f>'NW Baseline Grid Char'!AM22*VLOOKUP(AM$2,'NW Baseline Energy'!$A$4:$G$43,6,0)</f>
        <v>0</v>
      </c>
      <c r="AN16" s="63">
        <f>'NW Baseline Grid Char'!AN22*VLOOKUP(AN$2,'NW Baseline Energy'!$A$4:$G$43,6,0)</f>
        <v>0</v>
      </c>
      <c r="AO16" s="63">
        <f>'NW Baseline Grid Char'!AO22*VLOOKUP(AO$2,'NW Baseline Energy'!$A$4:$G$43,6,0)</f>
        <v>0</v>
      </c>
    </row>
    <row r="17" spans="1:41">
      <c r="A17" s="63" t="s">
        <v>188</v>
      </c>
      <c r="B17" s="63">
        <f>'NW Baseline Grid Char'!B5*VLOOKUP(B$2,'NW Baseline Energy'!$A$4:$G$43,7,0)</f>
        <v>1818449.282354383</v>
      </c>
      <c r="C17" s="63">
        <f>'NW Baseline Grid Char'!C5*VLOOKUP(C$2,'NW Baseline Energy'!$A$4:$G$43,7,0)</f>
        <v>1825408.5708291982</v>
      </c>
      <c r="D17" s="63">
        <f>'NW Baseline Grid Char'!D5*VLOOKUP(D$2,'NW Baseline Energy'!$A$4:$G$43,7,0)</f>
        <v>1832104.6721023906</v>
      </c>
      <c r="E17" s="63">
        <f>'NW Baseline Grid Char'!E5*VLOOKUP(E$2,'NW Baseline Energy'!$A$4:$G$43,7,0)</f>
        <v>1838526.9705766295</v>
      </c>
      <c r="F17" s="63">
        <f>'NW Baseline Grid Char'!F5*VLOOKUP(F$2,'NW Baseline Energy'!$A$4:$G$43,7,0)</f>
        <v>1844664.5684020468</v>
      </c>
      <c r="G17" s="63">
        <f>'NW Baseline Grid Char'!G5*VLOOKUP(G$2,'NW Baseline Energy'!$A$4:$G$43,7,0)</f>
        <v>1850506.2789259343</v>
      </c>
      <c r="H17" s="63">
        <f>'NW Baseline Grid Char'!H5*VLOOKUP(H$2,'NW Baseline Energy'!$A$4:$G$43,7,0)</f>
        <v>1856040.6199997554</v>
      </c>
      <c r="I17" s="63">
        <f>'NW Baseline Grid Char'!I5*VLOOKUP(I$2,'NW Baseline Energy'!$A$4:$G$43,7,0)</f>
        <v>1861255.8071404542</v>
      </c>
      <c r="J17" s="63">
        <f>'NW Baseline Grid Char'!J5*VLOOKUP(J$2,'NW Baseline Energy'!$A$4:$G$43,7,0)</f>
        <v>1866139.7465429923</v>
      </c>
      <c r="K17" s="63">
        <f>'NW Baseline Grid Char'!K5*VLOOKUP(K$2,'NW Baseline Energy'!$A$4:$G$43,7,0)</f>
        <v>1876381.8787047602</v>
      </c>
      <c r="L17" s="63">
        <f>'NW Baseline Grid Char'!L5*VLOOKUP(L$2,'NW Baseline Energy'!$A$4:$G$43,7,0)</f>
        <v>1905258.5110501563</v>
      </c>
      <c r="M17" s="63">
        <f>'NW Baseline Grid Char'!M5*VLOOKUP(M$2,'NW Baseline Energy'!$A$4:$G$43,7,0)</f>
        <v>1934504.8972658883</v>
      </c>
      <c r="N17" s="63">
        <f>'NW Baseline Grid Char'!N5*VLOOKUP(N$2,'NW Baseline Energy'!$A$4:$G$43,7,0)</f>
        <v>1964124.5488486772</v>
      </c>
      <c r="O17" s="63">
        <f>'NW Baseline Grid Char'!O5*VLOOKUP(O$2,'NW Baseline Energy'!$A$4:$G$43,7,0)</f>
        <v>1994120.982714765</v>
      </c>
      <c r="P17" s="63">
        <f>'NW Baseline Grid Char'!P5*VLOOKUP(P$2,'NW Baseline Energy'!$A$4:$G$43,7,0)</f>
        <v>2024497.7203008637</v>
      </c>
      <c r="Q17" s="63">
        <f>'NW Baseline Grid Char'!Q5*VLOOKUP(Q$2,'NW Baseline Energy'!$A$4:$G$43,7,0)</f>
        <v>2055258.2866323241</v>
      </c>
      <c r="R17" s="63">
        <f>'NW Baseline Grid Char'!R5*VLOOKUP(R$2,'NW Baseline Energy'!$A$4:$G$43,7,0)</f>
        <v>2086406.2093576787</v>
      </c>
      <c r="S17" s="63">
        <f>'NW Baseline Grid Char'!S5*VLOOKUP(S$2,'NW Baseline Energy'!$A$4:$G$43,7,0)</f>
        <v>2117945.0177486469</v>
      </c>
      <c r="T17" s="63">
        <f>'NW Baseline Grid Char'!T5*VLOOKUP(T$2,'NW Baseline Energy'!$A$4:$G$43,7,0)</f>
        <v>2149878.2416647389</v>
      </c>
      <c r="U17" s="63">
        <f>'NW Baseline Grid Char'!U5*VLOOKUP(U$2,'NW Baseline Energy'!$A$4:$G$43,7,0)</f>
        <v>2177898.7543000802</v>
      </c>
      <c r="V17" s="63">
        <f>'NW Baseline Grid Char'!V5*VLOOKUP(V$2,'NW Baseline Energy'!$A$4:$G$43,7,0)</f>
        <v>2206284.4732587994</v>
      </c>
      <c r="W17" s="63">
        <f>'NW Baseline Grid Char'!W5*VLOOKUP(W$2,'NW Baseline Energy'!$A$4:$G$43,7,0)</f>
        <v>2235040.1584701794</v>
      </c>
      <c r="X17" s="63">
        <f>'NW Baseline Grid Char'!X5*VLOOKUP(X$2,'NW Baseline Energy'!$A$4:$G$43,7,0)</f>
        <v>2264170.6319022072</v>
      </c>
      <c r="Y17" s="63">
        <f>'NW Baseline Grid Char'!Y5*VLOOKUP(Y$2,'NW Baseline Energy'!$A$4:$G$43,7,0)</f>
        <v>2293680.7783701573</v>
      </c>
      <c r="Z17" s="63">
        <f>'NW Baseline Grid Char'!Z5*VLOOKUP(Z$2,'NW Baseline Energy'!$A$4:$G$43,7,0)</f>
        <v>2323575.5463557132</v>
      </c>
      <c r="AA17" s="63">
        <f>'NW Baseline Grid Char'!AA5*VLOOKUP(AA$2,'NW Baseline Energy'!$A$4:$G$43,7,0)</f>
        <v>2353859.9488367653</v>
      </c>
      <c r="AB17" s="63">
        <f>'NW Baseline Grid Char'!AB5*VLOOKUP(AB$2,'NW Baseline Energy'!$A$4:$G$43,7,0)</f>
        <v>2384539.0641280259</v>
      </c>
      <c r="AC17" s="63">
        <f>'NW Baseline Grid Char'!AC5*VLOOKUP(AC$2,'NW Baseline Energy'!$A$4:$G$43,7,0)</f>
        <v>2415618.0367325987</v>
      </c>
      <c r="AD17" s="63">
        <f>'NW Baseline Grid Char'!AD5*VLOOKUP(AD$2,'NW Baseline Energy'!$A$4:$G$43,7,0)</f>
        <v>2447102.0782046458</v>
      </c>
      <c r="AE17" s="63">
        <f>'NW Baseline Grid Char'!AE5*VLOOKUP(AE$2,'NW Baseline Energy'!$A$4:$G$43,7,0)</f>
        <v>2478996.468023303</v>
      </c>
      <c r="AF17" s="63">
        <f>'NW Baseline Grid Char'!AF5*VLOOKUP(AF$2,'NW Baseline Energy'!$A$4:$G$43,7,0)</f>
        <v>2511306.5544779785</v>
      </c>
      <c r="AG17" s="63">
        <f>'NW Baseline Grid Char'!AG5*VLOOKUP(AG$2,'NW Baseline Energy'!$A$4:$G$43,7,0)</f>
        <v>2544037.7555651986</v>
      </c>
      <c r="AH17" s="63">
        <f>'NW Baseline Grid Char'!AH5*VLOOKUP(AH$2,'NW Baseline Energy'!$A$4:$G$43,7,0)</f>
        <v>2577195.5598971322</v>
      </c>
      <c r="AI17" s="63">
        <f>'NW Baseline Grid Char'!AI5*VLOOKUP(AI$2,'NW Baseline Energy'!$A$4:$G$43,7,0)</f>
        <v>2610785.5276219677</v>
      </c>
      <c r="AJ17" s="63">
        <f>'NW Baseline Grid Char'!AJ5*VLOOKUP(AJ$2,'NW Baseline Energy'!$A$4:$G$43,7,0)</f>
        <v>2644813.2913562758</v>
      </c>
      <c r="AK17" s="63">
        <f>'NW Baseline Grid Char'!AK5*VLOOKUP(AK$2,'NW Baseline Energy'!$A$4:$G$43,7,0)</f>
        <v>2679284.5571295335</v>
      </c>
      <c r="AL17" s="63">
        <f>'NW Baseline Grid Char'!AL5*VLOOKUP(AL$2,'NW Baseline Energy'!$A$4:$G$43,7,0)</f>
        <v>2714205.1053409474</v>
      </c>
      <c r="AM17" s="63">
        <f>'NW Baseline Grid Char'!AM5*VLOOKUP(AM$2,'NW Baseline Energy'!$A$4:$G$43,7,0)</f>
        <v>2749580.7917287606</v>
      </c>
      <c r="AN17" s="63">
        <f>'NW Baseline Grid Char'!AN5*VLOOKUP(AN$2,'NW Baseline Energy'!$A$4:$G$43,7,0)</f>
        <v>2785417.5483521824</v>
      </c>
      <c r="AO17" s="63">
        <f>'NW Baseline Grid Char'!AO5*VLOOKUP(AO$2,'NW Baseline Energy'!$A$4:$G$43,7,0)</f>
        <v>2821721.384586121</v>
      </c>
    </row>
    <row r="18" spans="1:41">
      <c r="A18" s="63" t="s">
        <v>191</v>
      </c>
      <c r="B18" s="63">
        <f>'NW Baseline Grid Char'!B8*VLOOKUP(B$2,'NW Baseline Energy'!$A$4:$G$43,7,0)</f>
        <v>0</v>
      </c>
      <c r="C18" s="63">
        <f>'NW Baseline Grid Char'!C8*VLOOKUP(C$2,'NW Baseline Energy'!$A$4:$G$43,7,0)</f>
        <v>0</v>
      </c>
      <c r="D18" s="63">
        <f>'NW Baseline Grid Char'!D8*VLOOKUP(D$2,'NW Baseline Energy'!$A$4:$G$43,7,0)</f>
        <v>0</v>
      </c>
      <c r="E18" s="63">
        <f>'NW Baseline Grid Char'!E8*VLOOKUP(E$2,'NW Baseline Energy'!$A$4:$G$43,7,0)</f>
        <v>0</v>
      </c>
      <c r="F18" s="63">
        <f>'NW Baseline Grid Char'!F8*VLOOKUP(F$2,'NW Baseline Energy'!$A$4:$G$43,7,0)</f>
        <v>0</v>
      </c>
      <c r="G18" s="63">
        <f>'NW Baseline Grid Char'!G8*VLOOKUP(G$2,'NW Baseline Energy'!$A$4:$G$43,7,0)</f>
        <v>0</v>
      </c>
      <c r="H18" s="63">
        <f>'NW Baseline Grid Char'!H8*VLOOKUP(H$2,'NW Baseline Energy'!$A$4:$G$43,7,0)</f>
        <v>0</v>
      </c>
      <c r="I18" s="63">
        <f>'NW Baseline Grid Char'!I8*VLOOKUP(I$2,'NW Baseline Energy'!$A$4:$G$43,7,0)</f>
        <v>0</v>
      </c>
      <c r="J18" s="63">
        <f>'NW Baseline Grid Char'!J8*VLOOKUP(J$2,'NW Baseline Energy'!$A$4:$G$43,7,0)</f>
        <v>0</v>
      </c>
      <c r="K18" s="63">
        <f>'NW Baseline Grid Char'!K8*VLOOKUP(K$2,'NW Baseline Energy'!$A$4:$G$43,7,0)</f>
        <v>0</v>
      </c>
      <c r="L18" s="63">
        <f>'NW Baseline Grid Char'!L8*VLOOKUP(L$2,'NW Baseline Energy'!$A$4:$G$43,7,0)</f>
        <v>0</v>
      </c>
      <c r="M18" s="63">
        <f>'NW Baseline Grid Char'!M8*VLOOKUP(M$2,'NW Baseline Energy'!$A$4:$G$43,7,0)</f>
        <v>0</v>
      </c>
      <c r="N18" s="63">
        <f>'NW Baseline Grid Char'!N8*VLOOKUP(N$2,'NW Baseline Energy'!$A$4:$G$43,7,0)</f>
        <v>0</v>
      </c>
      <c r="O18" s="63">
        <f>'NW Baseline Grid Char'!O8*VLOOKUP(O$2,'NW Baseline Energy'!$A$4:$G$43,7,0)</f>
        <v>0</v>
      </c>
      <c r="P18" s="63">
        <f>'NW Baseline Grid Char'!P8*VLOOKUP(P$2,'NW Baseline Energy'!$A$4:$G$43,7,0)</f>
        <v>0</v>
      </c>
      <c r="Q18" s="63">
        <f>'NW Baseline Grid Char'!Q8*VLOOKUP(Q$2,'NW Baseline Energy'!$A$4:$G$43,7,0)</f>
        <v>0</v>
      </c>
      <c r="R18" s="63">
        <f>'NW Baseline Grid Char'!R8*VLOOKUP(R$2,'NW Baseline Energy'!$A$4:$G$43,7,0)</f>
        <v>0</v>
      </c>
      <c r="S18" s="63">
        <f>'NW Baseline Grid Char'!S8*VLOOKUP(S$2,'NW Baseline Energy'!$A$4:$G$43,7,0)</f>
        <v>0</v>
      </c>
      <c r="T18" s="63">
        <f>'NW Baseline Grid Char'!T8*VLOOKUP(T$2,'NW Baseline Energy'!$A$4:$G$43,7,0)</f>
        <v>0</v>
      </c>
      <c r="U18" s="63">
        <f>'NW Baseline Grid Char'!U8*VLOOKUP(U$2,'NW Baseline Energy'!$A$4:$G$43,7,0)</f>
        <v>0</v>
      </c>
      <c r="V18" s="63">
        <f>'NW Baseline Grid Char'!V8*VLOOKUP(V$2,'NW Baseline Energy'!$A$4:$G$43,7,0)</f>
        <v>0</v>
      </c>
      <c r="W18" s="63">
        <f>'NW Baseline Grid Char'!W8*VLOOKUP(W$2,'NW Baseline Energy'!$A$4:$G$43,7,0)</f>
        <v>0</v>
      </c>
      <c r="X18" s="63">
        <f>'NW Baseline Grid Char'!X8*VLOOKUP(X$2,'NW Baseline Energy'!$A$4:$G$43,7,0)</f>
        <v>0</v>
      </c>
      <c r="Y18" s="63">
        <f>'NW Baseline Grid Char'!Y8*VLOOKUP(Y$2,'NW Baseline Energy'!$A$4:$G$43,7,0)</f>
        <v>0</v>
      </c>
      <c r="Z18" s="63">
        <f>'NW Baseline Grid Char'!Z8*VLOOKUP(Z$2,'NW Baseline Energy'!$A$4:$G$43,7,0)</f>
        <v>0</v>
      </c>
      <c r="AA18" s="63">
        <f>'NW Baseline Grid Char'!AA8*VLOOKUP(AA$2,'NW Baseline Energy'!$A$4:$G$43,7,0)</f>
        <v>0</v>
      </c>
      <c r="AB18" s="63">
        <f>'NW Baseline Grid Char'!AB8*VLOOKUP(AB$2,'NW Baseline Energy'!$A$4:$G$43,7,0)</f>
        <v>0</v>
      </c>
      <c r="AC18" s="63">
        <f>'NW Baseline Grid Char'!AC8*VLOOKUP(AC$2,'NW Baseline Energy'!$A$4:$G$43,7,0)</f>
        <v>0</v>
      </c>
      <c r="AD18" s="63">
        <f>'NW Baseline Grid Char'!AD8*VLOOKUP(AD$2,'NW Baseline Energy'!$A$4:$G$43,7,0)</f>
        <v>0</v>
      </c>
      <c r="AE18" s="63">
        <f>'NW Baseline Grid Char'!AE8*VLOOKUP(AE$2,'NW Baseline Energy'!$A$4:$G$43,7,0)</f>
        <v>0</v>
      </c>
      <c r="AF18" s="63">
        <f>'NW Baseline Grid Char'!AF8*VLOOKUP(AF$2,'NW Baseline Energy'!$A$4:$G$43,7,0)</f>
        <v>0</v>
      </c>
      <c r="AG18" s="63">
        <f>'NW Baseline Grid Char'!AG8*VLOOKUP(AG$2,'NW Baseline Energy'!$A$4:$G$43,7,0)</f>
        <v>0</v>
      </c>
      <c r="AH18" s="63">
        <f>'NW Baseline Grid Char'!AH8*VLOOKUP(AH$2,'NW Baseline Energy'!$A$4:$G$43,7,0)</f>
        <v>0</v>
      </c>
      <c r="AI18" s="63">
        <f>'NW Baseline Grid Char'!AI8*VLOOKUP(AI$2,'NW Baseline Energy'!$A$4:$G$43,7,0)</f>
        <v>0</v>
      </c>
      <c r="AJ18" s="63">
        <f>'NW Baseline Grid Char'!AJ8*VLOOKUP(AJ$2,'NW Baseline Energy'!$A$4:$G$43,7,0)</f>
        <v>0</v>
      </c>
      <c r="AK18" s="63">
        <f>'NW Baseline Grid Char'!AK8*VLOOKUP(AK$2,'NW Baseline Energy'!$A$4:$G$43,7,0)</f>
        <v>0</v>
      </c>
      <c r="AL18" s="63">
        <f>'NW Baseline Grid Char'!AL8*VLOOKUP(AL$2,'NW Baseline Energy'!$A$4:$G$43,7,0)</f>
        <v>0</v>
      </c>
      <c r="AM18" s="63">
        <f>'NW Baseline Grid Char'!AM8*VLOOKUP(AM$2,'NW Baseline Energy'!$A$4:$G$43,7,0)</f>
        <v>0</v>
      </c>
      <c r="AN18" s="63">
        <f>'NW Baseline Grid Char'!AN8*VLOOKUP(AN$2,'NW Baseline Energy'!$A$4:$G$43,7,0)</f>
        <v>0</v>
      </c>
      <c r="AO18" s="63">
        <f>'NW Baseline Grid Char'!AO8*VLOOKUP(AO$2,'NW Baseline Energy'!$A$4:$G$43,7,0)</f>
        <v>0</v>
      </c>
    </row>
    <row r="19" spans="1:41">
      <c r="A19" s="63" t="s">
        <v>194</v>
      </c>
      <c r="B19" s="63">
        <f>'NW Baseline Grid Char'!B11*VLOOKUP(B$2,'NW Baseline Energy'!$A$4:$G$43,7,0)</f>
        <v>2548311.8846815131</v>
      </c>
      <c r="C19" s="63">
        <f>'NW Baseline Grid Char'!C11*VLOOKUP(C$2,'NW Baseline Energy'!$A$4:$G$43,7,0)</f>
        <v>2558064.3906773566</v>
      </c>
      <c r="D19" s="63">
        <f>'NW Baseline Grid Char'!D11*VLOOKUP(D$2,'NW Baseline Energy'!$A$4:$G$43,7,0)</f>
        <v>2567448.0752382008</v>
      </c>
      <c r="E19" s="63">
        <f>'NW Baseline Grid Char'!E11*VLOOKUP(E$2,'NW Baseline Energy'!$A$4:$G$43,7,0)</f>
        <v>2576448.0620333706</v>
      </c>
      <c r="F19" s="63">
        <f>'NW Baseline Grid Char'!F11*VLOOKUP(F$2,'NW Baseline Energy'!$A$4:$G$43,7,0)</f>
        <v>2585049.0791932526</v>
      </c>
      <c r="G19" s="63">
        <f>'NW Baseline Grid Char'!G11*VLOOKUP(G$2,'NW Baseline Energy'!$A$4:$G$43,7,0)</f>
        <v>2593235.4501299327</v>
      </c>
      <c r="H19" s="63">
        <f>'NW Baseline Grid Char'!H11*VLOOKUP(H$2,'NW Baseline Energy'!$A$4:$G$43,7,0)</f>
        <v>2600991.0841578664</v>
      </c>
      <c r="I19" s="63">
        <f>'NW Baseline Grid Char'!I11*VLOOKUP(I$2,'NW Baseline Energy'!$A$4:$G$43,7,0)</f>
        <v>2608299.4669103804</v>
      </c>
      <c r="J19" s="63">
        <f>'NW Baseline Grid Char'!J11*VLOOKUP(J$2,'NW Baseline Energy'!$A$4:$G$43,7,0)</f>
        <v>2615143.6505476818</v>
      </c>
      <c r="K19" s="63">
        <f>'NW Baseline Grid Char'!K11*VLOOKUP(K$2,'NW Baseline Energy'!$A$4:$G$43,7,0)</f>
        <v>2629496.6200616402</v>
      </c>
      <c r="L19" s="63">
        <f>'NW Baseline Grid Char'!L11*VLOOKUP(L$2,'NW Baseline Energy'!$A$4:$G$43,7,0)</f>
        <v>2669963.3331613191</v>
      </c>
      <c r="M19" s="63">
        <f>'NW Baseline Grid Char'!M11*VLOOKUP(M$2,'NW Baseline Energy'!$A$4:$G$43,7,0)</f>
        <v>2710948.2065370786</v>
      </c>
      <c r="N19" s="63">
        <f>'NW Baseline Grid Char'!N11*VLOOKUP(N$2,'NW Baseline Energy'!$A$4:$G$43,7,0)</f>
        <v>2752456.1610788852</v>
      </c>
      <c r="O19" s="63">
        <f>'NW Baseline Grid Char'!O11*VLOOKUP(O$2,'NW Baseline Energy'!$A$4:$G$43,7,0)</f>
        <v>2794492.1252714335</v>
      </c>
      <c r="P19" s="63">
        <f>'NW Baseline Grid Char'!P11*VLOOKUP(P$2,'NW Baseline Energy'!$A$4:$G$43,7,0)</f>
        <v>2837061.0339342495</v>
      </c>
      <c r="Q19" s="63">
        <f>'NW Baseline Grid Char'!Q11*VLOOKUP(Q$2,'NW Baseline Energy'!$A$4:$G$43,7,0)</f>
        <v>2880167.8269158527</v>
      </c>
      <c r="R19" s="63">
        <f>'NW Baseline Grid Char'!R11*VLOOKUP(R$2,'NW Baseline Energy'!$A$4:$G$43,7,0)</f>
        <v>2923817.4477407979</v>
      </c>
      <c r="S19" s="63">
        <f>'NW Baseline Grid Char'!S11*VLOOKUP(S$2,'NW Baseline Energy'!$A$4:$G$43,7,0)</f>
        <v>2968014.8422083193</v>
      </c>
      <c r="T19" s="63">
        <f>'NW Baseline Grid Char'!T11*VLOOKUP(T$2,'NW Baseline Energy'!$A$4:$G$43,7,0)</f>
        <v>3012764.9569413587</v>
      </c>
      <c r="U19" s="63">
        <f>'NW Baseline Grid Char'!U11*VLOOKUP(U$2,'NW Baseline Energy'!$A$4:$G$43,7,0)</f>
        <v>3052031.9335111207</v>
      </c>
      <c r="V19" s="63">
        <f>'NW Baseline Grid Char'!V11*VLOOKUP(V$2,'NW Baseline Energy'!$A$4:$G$43,7,0)</f>
        <v>3091810.697582054</v>
      </c>
      <c r="W19" s="63">
        <f>'NW Baseline Grid Char'!W11*VLOOKUP(W$2,'NW Baseline Energy'!$A$4:$G$43,7,0)</f>
        <v>3132107.9195543076</v>
      </c>
      <c r="X19" s="63">
        <f>'NW Baseline Grid Char'!X11*VLOOKUP(X$2,'NW Baseline Energy'!$A$4:$G$43,7,0)</f>
        <v>3172930.3567669219</v>
      </c>
      <c r="Y19" s="63">
        <f>'NW Baseline Grid Char'!Y11*VLOOKUP(Y$2,'NW Baseline Energy'!$A$4:$G$43,7,0)</f>
        <v>3214284.8546309513</v>
      </c>
      <c r="Z19" s="63">
        <f>'NW Baseline Grid Char'!Z11*VLOOKUP(Z$2,'NW Baseline Energy'!$A$4:$G$43,7,0)</f>
        <v>3256178.3477773503</v>
      </c>
      <c r="AA19" s="63">
        <f>'NW Baseline Grid Char'!AA11*VLOOKUP(AA$2,'NW Baseline Energy'!$A$4:$G$43,7,0)</f>
        <v>3298617.861219828</v>
      </c>
      <c r="AB19" s="63">
        <f>'NW Baseline Grid Char'!AB11*VLOOKUP(AB$2,'NW Baseline Energy'!$A$4:$G$43,7,0)</f>
        <v>3341610.5115328538</v>
      </c>
      <c r="AC19" s="63">
        <f>'NW Baseline Grid Char'!AC11*VLOOKUP(AC$2,'NW Baseline Energy'!$A$4:$G$43,7,0)</f>
        <v>3385163.5080450154</v>
      </c>
      <c r="AD19" s="63">
        <f>'NW Baseline Grid Char'!AD11*VLOOKUP(AD$2,'NW Baseline Energy'!$A$4:$G$43,7,0)</f>
        <v>3429284.1540479367</v>
      </c>
      <c r="AE19" s="63">
        <f>'NW Baseline Grid Char'!AE11*VLOOKUP(AE$2,'NW Baseline Energy'!$A$4:$G$43,7,0)</f>
        <v>3473979.8480209457</v>
      </c>
      <c r="AF19" s="63">
        <f>'NW Baseline Grid Char'!AF11*VLOOKUP(AF$2,'NW Baseline Energy'!$A$4:$G$43,7,0)</f>
        <v>3519258.0848717061</v>
      </c>
      <c r="AG19" s="63">
        <f>'NW Baseline Grid Char'!AG11*VLOOKUP(AG$2,'NW Baseline Energy'!$A$4:$G$43,7,0)</f>
        <v>3565126.4571930235</v>
      </c>
      <c r="AH19" s="63">
        <f>'NW Baseline Grid Char'!AH11*VLOOKUP(AH$2,'NW Baseline Energy'!$A$4:$G$43,7,0)</f>
        <v>3611592.6565360213</v>
      </c>
      <c r="AI19" s="63">
        <f>'NW Baseline Grid Char'!AI11*VLOOKUP(AI$2,'NW Baseline Energy'!$A$4:$G$43,7,0)</f>
        <v>3658664.4746999252</v>
      </c>
      <c r="AJ19" s="63">
        <f>'NW Baseline Grid Char'!AJ11*VLOOKUP(AJ$2,'NW Baseline Energy'!$A$4:$G$43,7,0)</f>
        <v>3706349.8050386426</v>
      </c>
      <c r="AK19" s="63">
        <f>'NW Baseline Grid Char'!AK11*VLOOKUP(AK$2,'NW Baseline Energy'!$A$4:$G$43,7,0)</f>
        <v>3754656.6437843861</v>
      </c>
      <c r="AL19" s="63">
        <f>'NW Baseline Grid Char'!AL11*VLOOKUP(AL$2,'NW Baseline Energy'!$A$4:$G$43,7,0)</f>
        <v>3803593.0913885371</v>
      </c>
      <c r="AM19" s="63">
        <f>'NW Baseline Grid Char'!AM11*VLOOKUP(AM$2,'NW Baseline Energy'!$A$4:$G$43,7,0)</f>
        <v>3853167.3538799901</v>
      </c>
      <c r="AN19" s="63">
        <f>'NW Baseline Grid Char'!AN11*VLOOKUP(AN$2,'NW Baseline Energy'!$A$4:$G$43,7,0)</f>
        <v>3903387.7442412027</v>
      </c>
      <c r="AO19" s="63">
        <f>'NW Baseline Grid Char'!AO11*VLOOKUP(AO$2,'NW Baseline Energy'!$A$4:$G$43,7,0)</f>
        <v>3954262.6838021777</v>
      </c>
    </row>
    <row r="20" spans="1:41">
      <c r="A20" s="63" t="s">
        <v>197</v>
      </c>
      <c r="B20" s="63">
        <f>'NW Baseline Grid Char'!B14*VLOOKUP(B$2,'NW Baseline Energy'!$A$4:$G$43,7,0)</f>
        <v>21835361.019546222</v>
      </c>
      <c r="C20" s="63">
        <f>'NW Baseline Grid Char'!C14*VLOOKUP(C$2,'NW Baseline Energy'!$A$4:$G$43,7,0)</f>
        <v>21918925.943661131</v>
      </c>
      <c r="D20" s="63">
        <f>'NW Baseline Grid Char'!D14*VLOOKUP(D$2,'NW Baseline Energy'!$A$4:$G$43,7,0)</f>
        <v>21999330.599508502</v>
      </c>
      <c r="E20" s="63">
        <f>'NW Baseline Grid Char'!E14*VLOOKUP(E$2,'NW Baseline Energy'!$A$4:$G$43,7,0)</f>
        <v>22076447.518369567</v>
      </c>
      <c r="F20" s="63">
        <f>'NW Baseline Grid Char'!F14*VLOOKUP(F$2,'NW Baseline Energy'!$A$4:$G$43,7,0)</f>
        <v>22150145.842326809</v>
      </c>
      <c r="G20" s="63">
        <f>'NW Baseline Grid Char'!G14*VLOOKUP(G$2,'NW Baseline Energy'!$A$4:$G$43,7,0)</f>
        <v>22220291.245609995</v>
      </c>
      <c r="H20" s="63">
        <f>'NW Baseline Grid Char'!H14*VLOOKUP(H$2,'NW Baseline Energy'!$A$4:$G$43,7,0)</f>
        <v>22286745.854228899</v>
      </c>
      <c r="I20" s="63">
        <f>'NW Baseline Grid Char'!I14*VLOOKUP(I$2,'NW Baseline Energy'!$A$4:$G$43,7,0)</f>
        <v>22349368.16385648</v>
      </c>
      <c r="J20" s="63">
        <f>'NW Baseline Grid Char'!J14*VLOOKUP(J$2,'NW Baseline Energy'!$A$4:$G$43,7,0)</f>
        <v>22408012.955925655</v>
      </c>
      <c r="K20" s="63">
        <f>'NW Baseline Grid Char'!K14*VLOOKUP(K$2,'NW Baseline Energy'!$A$4:$G$43,7,0)</f>
        <v>22530997.223637842</v>
      </c>
      <c r="L20" s="63">
        <f>'NW Baseline Grid Char'!L14*VLOOKUP(L$2,'NW Baseline Energy'!$A$4:$G$43,7,0)</f>
        <v>22877738.646898251</v>
      </c>
      <c r="M20" s="63">
        <f>'NW Baseline Grid Char'!M14*VLOOKUP(M$2,'NW Baseline Energy'!$A$4:$G$43,7,0)</f>
        <v>23228919.95711372</v>
      </c>
      <c r="N20" s="63">
        <f>'NW Baseline Grid Char'!N14*VLOOKUP(N$2,'NW Baseline Energy'!$A$4:$G$43,7,0)</f>
        <v>23584583.3192208</v>
      </c>
      <c r="O20" s="63">
        <f>'NW Baseline Grid Char'!O14*VLOOKUP(O$2,'NW Baseline Energy'!$A$4:$G$43,7,0)</f>
        <v>23944770.963231936</v>
      </c>
      <c r="P20" s="63">
        <f>'NW Baseline Grid Char'!P14*VLOOKUP(P$2,'NW Baseline Energy'!$A$4:$G$43,7,0)</f>
        <v>24309525.173439939</v>
      </c>
      <c r="Q20" s="63">
        <f>'NW Baseline Grid Char'!Q14*VLOOKUP(Q$2,'NW Baseline Energy'!$A$4:$G$43,7,0)</f>
        <v>24678888.277228855</v>
      </c>
      <c r="R20" s="63">
        <f>'NW Baseline Grid Char'!R14*VLOOKUP(R$2,'NW Baseline Energy'!$A$4:$G$43,7,0)</f>
        <v>25052902.633481052</v>
      </c>
      <c r="S20" s="63">
        <f>'NW Baseline Grid Char'!S14*VLOOKUP(S$2,'NW Baseline Energy'!$A$4:$G$43,7,0)</f>
        <v>25431610.620569624</v>
      </c>
      <c r="T20" s="63">
        <f>'NW Baseline Grid Char'!T14*VLOOKUP(T$2,'NW Baseline Energy'!$A$4:$G$43,7,0)</f>
        <v>25815054.623925656</v>
      </c>
      <c r="U20" s="63">
        <f>'NW Baseline Grid Char'!U14*VLOOKUP(U$2,'NW Baseline Energy'!$A$4:$G$43,7,0)</f>
        <v>26151516.033810724</v>
      </c>
      <c r="V20" s="63">
        <f>'NW Baseline Grid Char'!V14*VLOOKUP(V$2,'NW Baseline Energy'!$A$4:$G$43,7,0)</f>
        <v>26492362.725152329</v>
      </c>
      <c r="W20" s="63">
        <f>'NW Baseline Grid Char'!W14*VLOOKUP(W$2,'NW Baseline Energy'!$A$4:$G$43,7,0)</f>
        <v>26837651.853668448</v>
      </c>
      <c r="X20" s="63">
        <f>'NW Baseline Grid Char'!X14*VLOOKUP(X$2,'NW Baseline Energy'!$A$4:$G$43,7,0)</f>
        <v>27187441.32001809</v>
      </c>
      <c r="Y20" s="63">
        <f>'NW Baseline Grid Char'!Y14*VLOOKUP(Y$2,'NW Baseline Energy'!$A$4:$G$43,7,0)</f>
        <v>27541789.779510513</v>
      </c>
      <c r="Z20" s="63">
        <f>'NW Baseline Grid Char'!Z14*VLOOKUP(Z$2,'NW Baseline Energy'!$A$4:$G$43,7,0)</f>
        <v>27900756.651940983</v>
      </c>
      <c r="AA20" s="63">
        <f>'NW Baseline Grid Char'!AA14*VLOOKUP(AA$2,'NW Baseline Energy'!$A$4:$G$43,7,0)</f>
        <v>28264402.131554715</v>
      </c>
      <c r="AB20" s="63">
        <f>'NW Baseline Grid Char'!AB14*VLOOKUP(AB$2,'NW Baseline Energy'!$A$4:$G$43,7,0)</f>
        <v>28632787.197140727</v>
      </c>
      <c r="AC20" s="63">
        <f>'NW Baseline Grid Char'!AC14*VLOOKUP(AC$2,'NW Baseline Energy'!$A$4:$G$43,7,0)</f>
        <v>29005973.622257192</v>
      </c>
      <c r="AD20" s="63">
        <f>'NW Baseline Grid Char'!AD14*VLOOKUP(AD$2,'NW Baseline Energy'!$A$4:$G$43,7,0)</f>
        <v>29384023.985590085</v>
      </c>
      <c r="AE20" s="63">
        <f>'NW Baseline Grid Char'!AE14*VLOOKUP(AE$2,'NW Baseline Energy'!$A$4:$G$43,7,0)</f>
        <v>29767001.68144688</v>
      </c>
      <c r="AF20" s="63">
        <f>'NW Baseline Grid Char'!AF14*VLOOKUP(AF$2,'NW Baseline Energy'!$A$4:$G$43,7,0)</f>
        <v>30154970.930386923</v>
      </c>
      <c r="AG20" s="63">
        <f>'NW Baseline Grid Char'!AG14*VLOOKUP(AG$2,'NW Baseline Energy'!$A$4:$G$43,7,0)</f>
        <v>30547996.789990488</v>
      </c>
      <c r="AH20" s="63">
        <f>'NW Baseline Grid Char'!AH14*VLOOKUP(AH$2,'NW Baseline Energy'!$A$4:$G$43,7,0)</f>
        <v>30946145.165768035</v>
      </c>
      <c r="AI20" s="63">
        <f>'NW Baseline Grid Char'!AI14*VLOOKUP(AI$2,'NW Baseline Energy'!$A$4:$G$43,7,0)</f>
        <v>31349482.822211813</v>
      </c>
      <c r="AJ20" s="63">
        <f>'NW Baseline Grid Char'!AJ14*VLOOKUP(AJ$2,'NW Baseline Energy'!$A$4:$G$43,7,0)</f>
        <v>31758077.393991377</v>
      </c>
      <c r="AK20" s="63">
        <f>'NW Baseline Grid Char'!AK14*VLOOKUP(AK$2,'NW Baseline Energy'!$A$4:$G$43,7,0)</f>
        <v>32171997.39729511</v>
      </c>
      <c r="AL20" s="63">
        <f>'NW Baseline Grid Char'!AL14*VLOOKUP(AL$2,'NW Baseline Energy'!$A$4:$G$43,7,0)</f>
        <v>32591312.241319504</v>
      </c>
      <c r="AM20" s="63">
        <f>'NW Baseline Grid Char'!AM14*VLOOKUP(AM$2,'NW Baseline Energy'!$A$4:$G$43,7,0)</f>
        <v>33016092.239908222</v>
      </c>
      <c r="AN20" s="63">
        <f>'NW Baseline Grid Char'!AN14*VLOOKUP(AN$2,'NW Baseline Energy'!$A$4:$G$43,7,0)</f>
        <v>33446408.623342846</v>
      </c>
      <c r="AO20" s="63">
        <f>'NW Baseline Grid Char'!AO14*VLOOKUP(AO$2,'NW Baseline Energy'!$A$4:$G$43,7,0)</f>
        <v>33882333.550287306</v>
      </c>
    </row>
    <row r="21" spans="1:41">
      <c r="A21" s="63" t="s">
        <v>200</v>
      </c>
      <c r="B21" s="63">
        <f>'NW Baseline Grid Char'!B17*VLOOKUP(B$2,'NW Baseline Energy'!$A$4:$G$43,7,0)</f>
        <v>606149.77570091304</v>
      </c>
      <c r="C21" s="63">
        <f>'NW Baseline Grid Char'!C17*VLOOKUP(C$2,'NW Baseline Energy'!$A$4:$G$43,7,0)</f>
        <v>608469.53858293605</v>
      </c>
      <c r="D21" s="63">
        <f>'NW Baseline Grid Char'!D17*VLOOKUP(D$2,'NW Baseline Energy'!$A$4:$G$43,7,0)</f>
        <v>610701.5723955927</v>
      </c>
      <c r="E21" s="63">
        <f>'NW Baseline Grid Char'!E17*VLOOKUP(E$2,'NW Baseline Energy'!$A$4:$G$43,7,0)</f>
        <v>612842.33860635222</v>
      </c>
      <c r="F21" s="63">
        <f>'NW Baseline Grid Char'!F17*VLOOKUP(F$2,'NW Baseline Energy'!$A$4:$G$43,7,0)</f>
        <v>614888.20459850261</v>
      </c>
      <c r="G21" s="63">
        <f>'NW Baseline Grid Char'!G17*VLOOKUP(G$2,'NW Baseline Energy'!$A$4:$G$43,7,0)</f>
        <v>616835.44148771605</v>
      </c>
      <c r="H21" s="63">
        <f>'NW Baseline Grid Char'!H17*VLOOKUP(H$2,'NW Baseline Energy'!$A$4:$G$43,7,0)</f>
        <v>618680.22189105267</v>
      </c>
      <c r="I21" s="63">
        <f>'NW Baseline Grid Char'!I17*VLOOKUP(I$2,'NW Baseline Energy'!$A$4:$G$43,7,0)</f>
        <v>620418.61764739733</v>
      </c>
      <c r="J21" s="63">
        <f>'NW Baseline Grid Char'!J17*VLOOKUP(J$2,'NW Baseline Energy'!$A$4:$G$43,7,0)</f>
        <v>622046.59748830472</v>
      </c>
      <c r="K21" s="63">
        <f>'NW Baseline Grid Char'!K17*VLOOKUP(K$2,'NW Baseline Energy'!$A$4:$G$43,7,0)</f>
        <v>625460.64162623999</v>
      </c>
      <c r="L21" s="63">
        <f>'NW Baseline Grid Char'!L17*VLOOKUP(L$2,'NW Baseline Energy'!$A$4:$G$43,7,0)</f>
        <v>635086.18597823731</v>
      </c>
      <c r="M21" s="63">
        <f>'NW Baseline Grid Char'!M17*VLOOKUP(M$2,'NW Baseline Energy'!$A$4:$G$43,7,0)</f>
        <v>644834.9816233794</v>
      </c>
      <c r="N21" s="63">
        <f>'NW Baseline Grid Char'!N17*VLOOKUP(N$2,'NW Baseline Energy'!$A$4:$G$43,7,0)</f>
        <v>654708.19906060223</v>
      </c>
      <c r="O21" s="63">
        <f>'NW Baseline Grid Char'!O17*VLOOKUP(O$2,'NW Baseline Energy'!$A$4:$G$43,7,0)</f>
        <v>664707.01059534866</v>
      </c>
      <c r="P21" s="63">
        <f>'NW Baseline Grid Char'!P17*VLOOKUP(P$2,'NW Baseline Energy'!$A$4:$G$43,7,0)</f>
        <v>674832.5900398849</v>
      </c>
      <c r="Q21" s="63">
        <f>'NW Baseline Grid Char'!Q17*VLOOKUP(Q$2,'NW Baseline Energy'!$A$4:$G$43,7,0)</f>
        <v>685086.11240269011</v>
      </c>
      <c r="R21" s="63">
        <f>'NW Baseline Grid Char'!R17*VLOOKUP(R$2,'NW Baseline Energy'!$A$4:$G$43,7,0)</f>
        <v>695468.7535666374</v>
      </c>
      <c r="S21" s="63">
        <f>'NW Baseline Grid Char'!S17*VLOOKUP(S$2,'NW Baseline Energy'!$A$4:$G$43,7,0)</f>
        <v>705981.68995566235</v>
      </c>
      <c r="T21" s="63">
        <f>'NW Baseline Grid Char'!T17*VLOOKUP(T$2,'NW Baseline Energy'!$A$4:$G$43,7,0)</f>
        <v>716626.09818963008</v>
      </c>
      <c r="U21" s="63">
        <f>'NW Baseline Grid Char'!U17*VLOOKUP(U$2,'NW Baseline Energy'!$A$4:$G$43,7,0)</f>
        <v>725966.26929792017</v>
      </c>
      <c r="V21" s="63">
        <f>'NW Baseline Grid Char'!V17*VLOOKUP(V$2,'NW Baseline Energy'!$A$4:$G$43,7,0)</f>
        <v>735428.17585033155</v>
      </c>
      <c r="W21" s="63">
        <f>'NW Baseline Grid Char'!W17*VLOOKUP(W$2,'NW Baseline Energy'!$A$4:$G$43,7,0)</f>
        <v>745013.40448999789</v>
      </c>
      <c r="X21" s="63">
        <f>'NW Baseline Grid Char'!X17*VLOOKUP(X$2,'NW Baseline Energy'!$A$4:$G$43,7,0)</f>
        <v>754723.56253962114</v>
      </c>
      <c r="Y21" s="63">
        <f>'NW Baseline Grid Char'!Y17*VLOOKUP(Y$2,'NW Baseline Energy'!$A$4:$G$43,7,0)</f>
        <v>764560.27827099955</v>
      </c>
      <c r="Z21" s="63">
        <f>'NW Baseline Grid Char'!Z17*VLOOKUP(Z$2,'NW Baseline Energy'!$A$4:$G$43,7,0)</f>
        <v>774525.20117806806</v>
      </c>
      <c r="AA21" s="63">
        <f>'NW Baseline Grid Char'!AA17*VLOOKUP(AA$2,'NW Baseline Energy'!$A$4:$G$43,7,0)</f>
        <v>784620.00225349795</v>
      </c>
      <c r="AB21" s="63">
        <f>'NW Baseline Grid Char'!AB17*VLOOKUP(AB$2,'NW Baseline Energy'!$A$4:$G$43,7,0)</f>
        <v>794846.37426890177</v>
      </c>
      <c r="AC21" s="63">
        <f>'NW Baseline Grid Char'!AC17*VLOOKUP(AC$2,'NW Baseline Energy'!$A$4:$G$43,7,0)</f>
        <v>805206.03205868963</v>
      </c>
      <c r="AD21" s="63">
        <f>'NW Baseline Grid Char'!AD17*VLOOKUP(AD$2,'NW Baseline Energy'!$A$4:$G$43,7,0)</f>
        <v>815700.71280762483</v>
      </c>
      <c r="AE21" s="63">
        <f>'NW Baseline Grid Char'!AE17*VLOOKUP(AE$2,'NW Baseline Energy'!$A$4:$G$43,7,0)</f>
        <v>826332.17634212936</v>
      </c>
      <c r="AF21" s="63">
        <f>'NW Baseline Grid Char'!AF17*VLOOKUP(AF$2,'NW Baseline Energy'!$A$4:$G$43,7,0)</f>
        <v>837102.20542538317</v>
      </c>
      <c r="AG21" s="63">
        <f>'NW Baseline Grid Char'!AG17*VLOOKUP(AG$2,'NW Baseline Energy'!$A$4:$G$43,7,0)</f>
        <v>848012.60605627275</v>
      </c>
      <c r="AH21" s="63">
        <f>'NW Baseline Grid Char'!AH17*VLOOKUP(AH$2,'NW Baseline Energy'!$A$4:$G$43,7,0)</f>
        <v>859065.20777223271</v>
      </c>
      <c r="AI21" s="63">
        <f>'NW Baseline Grid Char'!AI17*VLOOKUP(AI$2,'NW Baseline Energy'!$A$4:$G$43,7,0)</f>
        <v>870261.86395603826</v>
      </c>
      <c r="AJ21" s="63">
        <f>'NW Baseline Grid Char'!AJ17*VLOOKUP(AJ$2,'NW Baseline Energy'!$A$4:$G$43,7,0)</f>
        <v>881604.45214659255</v>
      </c>
      <c r="AK21" s="63">
        <f>'NW Baseline Grid Char'!AK17*VLOOKUP(AK$2,'NW Baseline Energy'!$A$4:$G$43,7,0)</f>
        <v>893094.87435376761</v>
      </c>
      <c r="AL21" s="63">
        <f>'NW Baseline Grid Char'!AL17*VLOOKUP(AL$2,'NW Baseline Energy'!$A$4:$G$43,7,0)</f>
        <v>904735.05737734702</v>
      </c>
      <c r="AM21" s="63">
        <f>'NW Baseline Grid Char'!AM17*VLOOKUP(AM$2,'NW Baseline Energy'!$A$4:$G$43,7,0)</f>
        <v>916526.95313012612</v>
      </c>
      <c r="AN21" s="63">
        <f>'NW Baseline Grid Char'!AN17*VLOOKUP(AN$2,'NW Baseline Energy'!$A$4:$G$43,7,0)</f>
        <v>928472.53896522336</v>
      </c>
      <c r="AO21" s="63">
        <f>'NW Baseline Grid Char'!AO17*VLOOKUP(AO$2,'NW Baseline Energy'!$A$4:$G$43,7,0)</f>
        <v>940573.81800765754</v>
      </c>
    </row>
    <row r="22" spans="1:41">
      <c r="A22" s="63" t="s">
        <v>203</v>
      </c>
      <c r="B22" s="63">
        <f>'NW Baseline Grid Char'!B20*VLOOKUP(B$2,'NW Baseline Energy'!$A$4:$G$43,7,0)</f>
        <v>0</v>
      </c>
      <c r="C22" s="63">
        <f>'NW Baseline Grid Char'!C20*VLOOKUP(C$2,'NW Baseline Energy'!$A$4:$G$43,7,0)</f>
        <v>0</v>
      </c>
      <c r="D22" s="63">
        <f>'NW Baseline Grid Char'!D20*VLOOKUP(D$2,'NW Baseline Energy'!$A$4:$G$43,7,0)</f>
        <v>0</v>
      </c>
      <c r="E22" s="63">
        <f>'NW Baseline Grid Char'!E20*VLOOKUP(E$2,'NW Baseline Energy'!$A$4:$G$43,7,0)</f>
        <v>0</v>
      </c>
      <c r="F22" s="63">
        <f>'NW Baseline Grid Char'!F20*VLOOKUP(F$2,'NW Baseline Energy'!$A$4:$G$43,7,0)</f>
        <v>0</v>
      </c>
      <c r="G22" s="63">
        <f>'NW Baseline Grid Char'!G20*VLOOKUP(G$2,'NW Baseline Energy'!$A$4:$G$43,7,0)</f>
        <v>0</v>
      </c>
      <c r="H22" s="63">
        <f>'NW Baseline Grid Char'!H20*VLOOKUP(H$2,'NW Baseline Energy'!$A$4:$G$43,7,0)</f>
        <v>0</v>
      </c>
      <c r="I22" s="63">
        <f>'NW Baseline Grid Char'!I20*VLOOKUP(I$2,'NW Baseline Energy'!$A$4:$G$43,7,0)</f>
        <v>0</v>
      </c>
      <c r="J22" s="63">
        <f>'NW Baseline Grid Char'!J20*VLOOKUP(J$2,'NW Baseline Energy'!$A$4:$G$43,7,0)</f>
        <v>0</v>
      </c>
      <c r="K22" s="63">
        <f>'NW Baseline Grid Char'!K20*VLOOKUP(K$2,'NW Baseline Energy'!$A$4:$G$43,7,0)</f>
        <v>0</v>
      </c>
      <c r="L22" s="63">
        <f>'NW Baseline Grid Char'!L20*VLOOKUP(L$2,'NW Baseline Energy'!$A$4:$G$43,7,0)</f>
        <v>0</v>
      </c>
      <c r="M22" s="63">
        <f>'NW Baseline Grid Char'!M20*VLOOKUP(M$2,'NW Baseline Energy'!$A$4:$G$43,7,0)</f>
        <v>0</v>
      </c>
      <c r="N22" s="63">
        <f>'NW Baseline Grid Char'!N20*VLOOKUP(N$2,'NW Baseline Energy'!$A$4:$G$43,7,0)</f>
        <v>0</v>
      </c>
      <c r="O22" s="63">
        <f>'NW Baseline Grid Char'!O20*VLOOKUP(O$2,'NW Baseline Energy'!$A$4:$G$43,7,0)</f>
        <v>0</v>
      </c>
      <c r="P22" s="63">
        <f>'NW Baseline Grid Char'!P20*VLOOKUP(P$2,'NW Baseline Energy'!$A$4:$G$43,7,0)</f>
        <v>0</v>
      </c>
      <c r="Q22" s="63">
        <f>'NW Baseline Grid Char'!Q20*VLOOKUP(Q$2,'NW Baseline Energy'!$A$4:$G$43,7,0)</f>
        <v>0</v>
      </c>
      <c r="R22" s="63">
        <f>'NW Baseline Grid Char'!R20*VLOOKUP(R$2,'NW Baseline Energy'!$A$4:$G$43,7,0)</f>
        <v>0</v>
      </c>
      <c r="S22" s="63">
        <f>'NW Baseline Grid Char'!S20*VLOOKUP(S$2,'NW Baseline Energy'!$A$4:$G$43,7,0)</f>
        <v>0</v>
      </c>
      <c r="T22" s="63">
        <f>'NW Baseline Grid Char'!T20*VLOOKUP(T$2,'NW Baseline Energy'!$A$4:$G$43,7,0)</f>
        <v>0</v>
      </c>
      <c r="U22" s="63">
        <f>'NW Baseline Grid Char'!U20*VLOOKUP(U$2,'NW Baseline Energy'!$A$4:$G$43,7,0)</f>
        <v>0</v>
      </c>
      <c r="V22" s="63">
        <f>'NW Baseline Grid Char'!V20*VLOOKUP(V$2,'NW Baseline Energy'!$A$4:$G$43,7,0)</f>
        <v>0</v>
      </c>
      <c r="W22" s="63">
        <f>'NW Baseline Grid Char'!W20*VLOOKUP(W$2,'NW Baseline Energy'!$A$4:$G$43,7,0)</f>
        <v>0</v>
      </c>
      <c r="X22" s="63">
        <f>'NW Baseline Grid Char'!X20*VLOOKUP(X$2,'NW Baseline Energy'!$A$4:$G$43,7,0)</f>
        <v>0</v>
      </c>
      <c r="Y22" s="63">
        <f>'NW Baseline Grid Char'!Y20*VLOOKUP(Y$2,'NW Baseline Energy'!$A$4:$G$43,7,0)</f>
        <v>0</v>
      </c>
      <c r="Z22" s="63">
        <f>'NW Baseline Grid Char'!Z20*VLOOKUP(Z$2,'NW Baseline Energy'!$A$4:$G$43,7,0)</f>
        <v>0</v>
      </c>
      <c r="AA22" s="63">
        <f>'NW Baseline Grid Char'!AA20*VLOOKUP(AA$2,'NW Baseline Energy'!$A$4:$G$43,7,0)</f>
        <v>0</v>
      </c>
      <c r="AB22" s="63">
        <f>'NW Baseline Grid Char'!AB20*VLOOKUP(AB$2,'NW Baseline Energy'!$A$4:$G$43,7,0)</f>
        <v>0</v>
      </c>
      <c r="AC22" s="63">
        <f>'NW Baseline Grid Char'!AC20*VLOOKUP(AC$2,'NW Baseline Energy'!$A$4:$G$43,7,0)</f>
        <v>0</v>
      </c>
      <c r="AD22" s="63">
        <f>'NW Baseline Grid Char'!AD20*VLOOKUP(AD$2,'NW Baseline Energy'!$A$4:$G$43,7,0)</f>
        <v>0</v>
      </c>
      <c r="AE22" s="63">
        <f>'NW Baseline Grid Char'!AE20*VLOOKUP(AE$2,'NW Baseline Energy'!$A$4:$G$43,7,0)</f>
        <v>0</v>
      </c>
      <c r="AF22" s="63">
        <f>'NW Baseline Grid Char'!AF20*VLOOKUP(AF$2,'NW Baseline Energy'!$A$4:$G$43,7,0)</f>
        <v>0</v>
      </c>
      <c r="AG22" s="63">
        <f>'NW Baseline Grid Char'!AG20*VLOOKUP(AG$2,'NW Baseline Energy'!$A$4:$G$43,7,0)</f>
        <v>0</v>
      </c>
      <c r="AH22" s="63">
        <f>'NW Baseline Grid Char'!AH20*VLOOKUP(AH$2,'NW Baseline Energy'!$A$4:$G$43,7,0)</f>
        <v>0</v>
      </c>
      <c r="AI22" s="63">
        <f>'NW Baseline Grid Char'!AI20*VLOOKUP(AI$2,'NW Baseline Energy'!$A$4:$G$43,7,0)</f>
        <v>0</v>
      </c>
      <c r="AJ22" s="63">
        <f>'NW Baseline Grid Char'!AJ20*VLOOKUP(AJ$2,'NW Baseline Energy'!$A$4:$G$43,7,0)</f>
        <v>0</v>
      </c>
      <c r="AK22" s="63">
        <f>'NW Baseline Grid Char'!AK20*VLOOKUP(AK$2,'NW Baseline Energy'!$A$4:$G$43,7,0)</f>
        <v>0</v>
      </c>
      <c r="AL22" s="63">
        <f>'NW Baseline Grid Char'!AL20*VLOOKUP(AL$2,'NW Baseline Energy'!$A$4:$G$43,7,0)</f>
        <v>0</v>
      </c>
      <c r="AM22" s="63">
        <f>'NW Baseline Grid Char'!AM20*VLOOKUP(AM$2,'NW Baseline Energy'!$A$4:$G$43,7,0)</f>
        <v>0</v>
      </c>
      <c r="AN22" s="63">
        <f>'NW Baseline Grid Char'!AN20*VLOOKUP(AN$2,'NW Baseline Energy'!$A$4:$G$43,7,0)</f>
        <v>0</v>
      </c>
      <c r="AO22" s="63">
        <f>'NW Baseline Grid Char'!AO20*VLOOKUP(AO$2,'NW Baseline Energy'!$A$4:$G$43,7,0)</f>
        <v>0</v>
      </c>
    </row>
    <row r="23" spans="1:41">
      <c r="A23" s="63" t="s">
        <v>314</v>
      </c>
      <c r="B23" s="63">
        <f>'NW Baseline Grid Char'!B23*VLOOKUP(B$2,'NW Baseline Energy'!$A$4:$G$43,7,0)</f>
        <v>6791946.6522974465</v>
      </c>
      <c r="C23" s="63">
        <f>'NW Baseline Grid Char'!C23*VLOOKUP(C$2,'NW Baseline Energy'!$A$4:$G$43,7,0)</f>
        <v>6817939.7424086519</v>
      </c>
      <c r="D23" s="63">
        <f>'NW Baseline Grid Char'!D23*VLOOKUP(D$2,'NW Baseline Energy'!$A$4:$G$43,7,0)</f>
        <v>6842949.8227376565</v>
      </c>
      <c r="E23" s="63">
        <f>'NW Baseline Grid Char'!E23*VLOOKUP(E$2,'NW Baseline Energy'!$A$4:$G$43,7,0)</f>
        <v>6866937.2438031957</v>
      </c>
      <c r="F23" s="63">
        <f>'NW Baseline Grid Char'!F23*VLOOKUP(F$2,'NW Baseline Energy'!$A$4:$G$43,7,0)</f>
        <v>6889861.3019047873</v>
      </c>
      <c r="G23" s="63">
        <f>'NW Baseline Grid Char'!G23*VLOOKUP(G$2,'NW Baseline Energy'!$A$4:$G$43,7,0)</f>
        <v>6911680.2146572173</v>
      </c>
      <c r="H23" s="63">
        <f>'NW Baseline Grid Char'!H23*VLOOKUP(H$2,'NW Baseline Energy'!$A$4:$G$43,7,0)</f>
        <v>6932351.095992079</v>
      </c>
      <c r="I23" s="63">
        <f>'NW Baseline Grid Char'!I23*VLOOKUP(I$2,'NW Baseline Energy'!$A$4:$G$43,7,0)</f>
        <v>6951829.9306151224</v>
      </c>
      <c r="J23" s="63">
        <f>'NW Baseline Grid Char'!J23*VLOOKUP(J$2,'NW Baseline Energy'!$A$4:$G$43,7,0)</f>
        <v>6970071.5479079317</v>
      </c>
      <c r="K23" s="63">
        <f>'NW Baseline Grid Char'!K23*VLOOKUP(K$2,'NW Baseline Energy'!$A$4:$G$43,7,0)</f>
        <v>7008326.1288432004</v>
      </c>
      <c r="L23" s="63">
        <f>'NW Baseline Grid Char'!L23*VLOOKUP(L$2,'NW Baseline Energy'!$A$4:$G$43,7,0)</f>
        <v>7116180.9633393306</v>
      </c>
      <c r="M23" s="63">
        <f>'NW Baseline Grid Char'!M23*VLOOKUP(M$2,'NW Baseline Energy'!$A$4:$G$43,7,0)</f>
        <v>7225416.8363863677</v>
      </c>
      <c r="N23" s="63">
        <f>'NW Baseline Grid Char'!N23*VLOOKUP(N$2,'NW Baseline Energy'!$A$4:$G$43,7,0)</f>
        <v>7336046.8634990696</v>
      </c>
      <c r="O23" s="63">
        <f>'NW Baseline Grid Char'!O23*VLOOKUP(O$2,'NW Baseline Energy'!$A$4:$G$43,7,0)</f>
        <v>7448084.1804342214</v>
      </c>
      <c r="P23" s="63">
        <f>'NW Baseline Grid Char'!P23*VLOOKUP(P$2,'NW Baseline Energy'!$A$4:$G$43,7,0)</f>
        <v>7561541.9398326566</v>
      </c>
      <c r="Q23" s="63">
        <f>'NW Baseline Grid Char'!Q23*VLOOKUP(Q$2,'NW Baseline Energy'!$A$4:$G$43,7,0)</f>
        <v>7676433.3077388527</v>
      </c>
      <c r="R23" s="63">
        <f>'NW Baseline Grid Char'!R23*VLOOKUP(R$2,'NW Baseline Energy'!$A$4:$G$43,7,0)</f>
        <v>7792771.4599949261</v>
      </c>
      <c r="S23" s="63">
        <f>'NW Baseline Grid Char'!S23*VLOOKUP(S$2,'NW Baseline Energy'!$A$4:$G$43,7,0)</f>
        <v>7910569.5785056315</v>
      </c>
      <c r="T23" s="63">
        <f>'NW Baseline Grid Char'!T23*VLOOKUP(T$2,'NW Baseline Energy'!$A$4:$G$43,7,0)</f>
        <v>8029840.8473711303</v>
      </c>
      <c r="U23" s="63">
        <f>'NW Baseline Grid Char'!U23*VLOOKUP(U$2,'NW Baseline Energy'!$A$4:$G$43,7,0)</f>
        <v>8134498.0565856015</v>
      </c>
      <c r="V23" s="63">
        <f>'NW Baseline Grid Char'!V23*VLOOKUP(V$2,'NW Baseline Energy'!$A$4:$G$43,7,0)</f>
        <v>8240519.3191666035</v>
      </c>
      <c r="W23" s="63">
        <f>'NW Baseline Grid Char'!W23*VLOOKUP(W$2,'NW Baseline Energy'!$A$4:$G$43,7,0)</f>
        <v>8347922.4135510027</v>
      </c>
      <c r="X23" s="63">
        <f>'NW Baseline Grid Char'!X23*VLOOKUP(X$2,'NW Baseline Energy'!$A$4:$G$43,7,0)</f>
        <v>8456725.3498915415</v>
      </c>
      <c r="Y23" s="63">
        <f>'NW Baseline Grid Char'!Y23*VLOOKUP(Y$2,'NW Baseline Energy'!$A$4:$G$43,7,0)</f>
        <v>8566946.373076912</v>
      </c>
      <c r="Z23" s="63">
        <f>'NW Baseline Grid Char'!Z23*VLOOKUP(Z$2,'NW Baseline Energy'!$A$4:$G$43,7,0)</f>
        <v>8678603.9657911938</v>
      </c>
      <c r="AA23" s="63">
        <f>'NW Baseline Grid Char'!AA23*VLOOKUP(AA$2,'NW Baseline Energy'!$A$4:$G$43,7,0)</f>
        <v>8791716.8516131714</v>
      </c>
      <c r="AB23" s="63">
        <f>'NW Baseline Grid Char'!AB23*VLOOKUP(AB$2,'NW Baseline Energy'!$A$4:$G$43,7,0)</f>
        <v>8906303.9981560446</v>
      </c>
      <c r="AC23" s="63">
        <f>'NW Baseline Grid Char'!AC23*VLOOKUP(AC$2,'NW Baseline Energy'!$A$4:$G$43,7,0)</f>
        <v>9022384.6202480569</v>
      </c>
      <c r="AD23" s="63">
        <f>'NW Baseline Grid Char'!AD23*VLOOKUP(AD$2,'NW Baseline Energy'!$A$4:$G$43,7,0)</f>
        <v>9139978.183154583</v>
      </c>
      <c r="AE23" s="63">
        <f>'NW Baseline Grid Char'!AE23*VLOOKUP(AE$2,'NW Baseline Energy'!$A$4:$G$43,7,0)</f>
        <v>9259104.4058422074</v>
      </c>
      <c r="AF23" s="63">
        <f>'NW Baseline Grid Char'!AF23*VLOOKUP(AF$2,'NW Baseline Energy'!$A$4:$G$43,7,0)</f>
        <v>9379783.2642853465</v>
      </c>
      <c r="AG23" s="63">
        <f>'NW Baseline Grid Char'!AG23*VLOOKUP(AG$2,'NW Baseline Energy'!$A$4:$G$43,7,0)</f>
        <v>9502034.9948159847</v>
      </c>
      <c r="AH23" s="63">
        <f>'NW Baseline Grid Char'!AH23*VLOOKUP(AH$2,'NW Baseline Energy'!$A$4:$G$43,7,0)</f>
        <v>9625880.0975170247</v>
      </c>
      <c r="AI23" s="63">
        <f>'NW Baseline Grid Char'!AI23*VLOOKUP(AI$2,'NW Baseline Energy'!$A$4:$G$43,7,0)</f>
        <v>9751339.3396599218</v>
      </c>
      <c r="AJ23" s="63">
        <f>'NW Baseline Grid Char'!AJ23*VLOOKUP(AJ$2,'NW Baseline Energy'!$A$4:$G$43,7,0)</f>
        <v>9878433.7591870762</v>
      </c>
      <c r="AK23" s="63">
        <f>'NW Baseline Grid Char'!AK23*VLOOKUP(AK$2,'NW Baseline Energy'!$A$4:$G$43,7,0)</f>
        <v>10007184.668239653</v>
      </c>
      <c r="AL23" s="63">
        <f>'NW Baseline Grid Char'!AL23*VLOOKUP(AL$2,'NW Baseline Energy'!$A$4:$G$43,7,0)</f>
        <v>10137613.656731334</v>
      </c>
      <c r="AM23" s="63">
        <f>'NW Baseline Grid Char'!AM23*VLOOKUP(AM$2,'NW Baseline Energy'!$A$4:$G$43,7,0)</f>
        <v>10269742.595968699</v>
      </c>
      <c r="AN23" s="63">
        <f>'NW Baseline Grid Char'!AN23*VLOOKUP(AN$2,'NW Baseline Energy'!$A$4:$G$43,7,0)</f>
        <v>10403593.642318757</v>
      </c>
      <c r="AO23" s="63">
        <f>'NW Baseline Grid Char'!AO23*VLOOKUP(AO$2,'NW Baseline Energy'!$A$4:$G$43,7,0)</f>
        <v>10539189.240924297</v>
      </c>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S44"/>
  <sheetViews>
    <sheetView workbookViewId="0">
      <selection activeCell="M4" sqref="M4"/>
    </sheetView>
  </sheetViews>
  <sheetFormatPr defaultRowHeight="14.4"/>
  <sheetData>
    <row r="1" spans="1:19" s="70" customFormat="1" ht="15" thickBot="1">
      <c r="A1" s="282" t="s">
        <v>369</v>
      </c>
      <c r="B1" s="283"/>
      <c r="C1" s="283"/>
      <c r="D1" s="283"/>
      <c r="E1" s="283"/>
      <c r="F1" s="284"/>
    </row>
    <row r="2" spans="1:19">
      <c r="A2" s="70"/>
      <c r="B2" s="398" t="s">
        <v>180</v>
      </c>
      <c r="C2" s="398"/>
      <c r="D2" s="398"/>
      <c r="E2" s="398"/>
      <c r="F2" s="398"/>
      <c r="G2" s="399"/>
      <c r="H2" s="399" t="s">
        <v>181</v>
      </c>
      <c r="I2" s="399"/>
      <c r="J2" s="399"/>
      <c r="K2" s="399"/>
      <c r="L2" s="399"/>
      <c r="M2" s="399"/>
      <c r="N2" s="399" t="s">
        <v>184</v>
      </c>
      <c r="O2" s="399"/>
      <c r="P2" s="399"/>
      <c r="Q2" s="399"/>
      <c r="R2" s="399"/>
      <c r="S2" s="399"/>
    </row>
    <row r="3" spans="1:19">
      <c r="A3" s="74"/>
      <c r="B3" s="397" t="s">
        <v>3</v>
      </c>
      <c r="C3" s="397"/>
      <c r="D3" s="397" t="s">
        <v>4</v>
      </c>
      <c r="E3" s="397"/>
      <c r="F3" s="397" t="s">
        <v>2</v>
      </c>
      <c r="G3" s="397"/>
      <c r="H3" s="397" t="s">
        <v>3</v>
      </c>
      <c r="I3" s="397"/>
      <c r="J3" s="397" t="s">
        <v>4</v>
      </c>
      <c r="K3" s="397"/>
      <c r="L3" s="397" t="s">
        <v>2</v>
      </c>
      <c r="M3" s="397"/>
      <c r="N3" s="397" t="s">
        <v>3</v>
      </c>
      <c r="O3" s="397"/>
      <c r="P3" s="397" t="s">
        <v>4</v>
      </c>
      <c r="Q3" s="397"/>
      <c r="R3" s="397" t="s">
        <v>2</v>
      </c>
      <c r="S3" s="397"/>
    </row>
    <row r="4" spans="1:19">
      <c r="A4" s="71" t="s">
        <v>177</v>
      </c>
      <c r="B4" s="75" t="s">
        <v>178</v>
      </c>
      <c r="C4" s="75" t="s">
        <v>179</v>
      </c>
      <c r="D4" s="75" t="s">
        <v>178</v>
      </c>
      <c r="E4" s="75" t="s">
        <v>179</v>
      </c>
      <c r="F4" s="75" t="s">
        <v>178</v>
      </c>
      <c r="G4" s="75" t="s">
        <v>179</v>
      </c>
      <c r="H4" s="75" t="s">
        <v>178</v>
      </c>
      <c r="I4" s="75" t="s">
        <v>179</v>
      </c>
      <c r="J4" s="75" t="s">
        <v>178</v>
      </c>
      <c r="K4" s="75" t="s">
        <v>179</v>
      </c>
      <c r="L4" s="75" t="s">
        <v>178</v>
      </c>
      <c r="M4" s="75" t="s">
        <v>179</v>
      </c>
      <c r="N4" s="75" t="s">
        <v>178</v>
      </c>
      <c r="O4" s="75" t="s">
        <v>179</v>
      </c>
      <c r="P4" s="75" t="s">
        <v>178</v>
      </c>
      <c r="Q4" s="75" t="s">
        <v>179</v>
      </c>
      <c r="R4" s="75" t="s">
        <v>178</v>
      </c>
      <c r="S4" s="75" t="s">
        <v>179</v>
      </c>
    </row>
    <row r="5" spans="1:19">
      <c r="A5" s="72">
        <v>2011</v>
      </c>
      <c r="B5" s="73">
        <v>19691.2</v>
      </c>
      <c r="C5" s="73">
        <v>8615.7999999999993</v>
      </c>
      <c r="D5" s="73">
        <v>6957.9</v>
      </c>
      <c r="E5" s="73">
        <v>11531.6</v>
      </c>
      <c r="F5" s="73">
        <v>6173.6</v>
      </c>
      <c r="G5" s="73">
        <v>8844.5999999999985</v>
      </c>
      <c r="H5" s="73">
        <v>19691.2</v>
      </c>
      <c r="I5" s="73">
        <v>8615.7999999999993</v>
      </c>
      <c r="J5" s="73">
        <v>6957.9</v>
      </c>
      <c r="K5" s="73">
        <v>11531.6</v>
      </c>
      <c r="L5" s="73">
        <v>6173.6</v>
      </c>
      <c r="M5" s="73">
        <v>8844.5999999999985</v>
      </c>
      <c r="N5" s="73">
        <v>19691.2</v>
      </c>
      <c r="O5" s="73">
        <v>8615.7999999999993</v>
      </c>
      <c r="P5" s="73">
        <v>6957.9</v>
      </c>
      <c r="Q5" s="73">
        <v>11531.6</v>
      </c>
      <c r="R5" s="73">
        <v>6173.6</v>
      </c>
      <c r="S5" s="73">
        <v>8844.5999999999985</v>
      </c>
    </row>
    <row r="6" spans="1:19">
      <c r="A6" s="72">
        <v>2012</v>
      </c>
      <c r="B6" s="73">
        <v>19844.400000000001</v>
      </c>
      <c r="C6" s="73">
        <v>8754.5999999999985</v>
      </c>
      <c r="D6" s="73">
        <v>7106.7999999999993</v>
      </c>
      <c r="E6" s="73">
        <v>11799.2</v>
      </c>
      <c r="F6" s="73">
        <v>6193.2000000000007</v>
      </c>
      <c r="G6" s="73">
        <v>8905.1999999999989</v>
      </c>
      <c r="H6" s="73">
        <v>19844.400000000001</v>
      </c>
      <c r="I6" s="73">
        <v>8754.5999999999985</v>
      </c>
      <c r="J6" s="73">
        <v>7106.7999999999993</v>
      </c>
      <c r="K6" s="73">
        <v>11799.2</v>
      </c>
      <c r="L6" s="73">
        <v>6193.2000000000007</v>
      </c>
      <c r="M6" s="73">
        <v>8905.1999999999989</v>
      </c>
      <c r="N6" s="73">
        <v>19844.400000000001</v>
      </c>
      <c r="O6" s="73">
        <v>8754.5999999999985</v>
      </c>
      <c r="P6" s="73">
        <v>7106.7999999999993</v>
      </c>
      <c r="Q6" s="73">
        <v>11799.2</v>
      </c>
      <c r="R6" s="73">
        <v>6193.2000000000007</v>
      </c>
      <c r="S6" s="73">
        <v>8905.1999999999989</v>
      </c>
    </row>
    <row r="7" spans="1:19">
      <c r="A7" s="72">
        <v>2013</v>
      </c>
      <c r="B7" s="73">
        <v>19997.600000000002</v>
      </c>
      <c r="C7" s="73">
        <v>8893.3999999999978</v>
      </c>
      <c r="D7" s="73">
        <v>7255.6999999999989</v>
      </c>
      <c r="E7" s="73">
        <v>12066.800000000001</v>
      </c>
      <c r="F7" s="73">
        <v>6212.8000000000011</v>
      </c>
      <c r="G7" s="73">
        <v>8965.7999999999993</v>
      </c>
      <c r="H7" s="73">
        <v>19997.600000000002</v>
      </c>
      <c r="I7" s="73">
        <v>8893.3999999999978</v>
      </c>
      <c r="J7" s="73">
        <v>7255.6999999999989</v>
      </c>
      <c r="K7" s="73">
        <v>12066.800000000001</v>
      </c>
      <c r="L7" s="73">
        <v>6212.8000000000011</v>
      </c>
      <c r="M7" s="73">
        <v>8965.7999999999993</v>
      </c>
      <c r="N7" s="73">
        <v>19997.600000000002</v>
      </c>
      <c r="O7" s="73">
        <v>8893.3999999999978</v>
      </c>
      <c r="P7" s="73">
        <v>7255.6999999999989</v>
      </c>
      <c r="Q7" s="73">
        <v>12066.800000000001</v>
      </c>
      <c r="R7" s="73">
        <v>6212.8000000000011</v>
      </c>
      <c r="S7" s="73">
        <v>8965.7999999999993</v>
      </c>
    </row>
    <row r="8" spans="1:19">
      <c r="A8" s="72">
        <v>2014</v>
      </c>
      <c r="B8" s="73">
        <v>20258.32454904433</v>
      </c>
      <c r="C8" s="73">
        <v>9062.3917325305119</v>
      </c>
      <c r="D8" s="73">
        <v>7444.1109015946568</v>
      </c>
      <c r="E8" s="73">
        <v>12375.62992246899</v>
      </c>
      <c r="F8" s="73">
        <v>6265.6560493610132</v>
      </c>
      <c r="G8" s="73">
        <v>9056.5723450004916</v>
      </c>
      <c r="H8" s="73">
        <v>19867.632707663714</v>
      </c>
      <c r="I8" s="73">
        <v>9070.2390747869558</v>
      </c>
      <c r="J8" s="73">
        <v>7300.5475289897513</v>
      </c>
      <c r="K8" s="73">
        <v>12386.346277103283</v>
      </c>
      <c r="L8" s="73">
        <v>6144.8197633465343</v>
      </c>
      <c r="M8" s="73">
        <v>9064.4146481097614</v>
      </c>
      <c r="N8" s="73">
        <v>20258.32454904433</v>
      </c>
      <c r="O8" s="73">
        <v>8991.2443980258577</v>
      </c>
      <c r="P8" s="73">
        <v>7444.1109015946568</v>
      </c>
      <c r="Q8" s="73">
        <v>12278.470904431942</v>
      </c>
      <c r="R8" s="73">
        <v>6265.6560493610132</v>
      </c>
      <c r="S8" s="73">
        <v>8985.4706975421941</v>
      </c>
    </row>
    <row r="9" spans="1:19">
      <c r="A9" s="72">
        <v>2015</v>
      </c>
      <c r="B9" s="73">
        <v>20523.122642174178</v>
      </c>
      <c r="C9" s="73">
        <v>9234.5941051168429</v>
      </c>
      <c r="D9" s="73">
        <v>7635.0180692308213</v>
      </c>
      <c r="E9" s="73">
        <v>12689.385553667271</v>
      </c>
      <c r="F9" s="73">
        <v>6319.4721610950055</v>
      </c>
      <c r="G9" s="73">
        <v>9150.0116272158739</v>
      </c>
      <c r="H9" s="73">
        <v>20225.723390844196</v>
      </c>
      <c r="I9" s="73">
        <v>9268.4753078418635</v>
      </c>
      <c r="J9" s="73">
        <v>7524.379513038888</v>
      </c>
      <c r="K9" s="73">
        <v>12735.942190537917</v>
      </c>
      <c r="L9" s="73">
        <v>6227.8970961169198</v>
      </c>
      <c r="M9" s="73">
        <v>9183.582501620218</v>
      </c>
      <c r="N9" s="73">
        <v>20320.924389541917</v>
      </c>
      <c r="O9" s="73">
        <v>9090.164751291828</v>
      </c>
      <c r="P9" s="73">
        <v>7559.7962163319953</v>
      </c>
      <c r="Q9" s="73">
        <v>12490.92314859663</v>
      </c>
      <c r="R9" s="73">
        <v>6257.2113516260879</v>
      </c>
      <c r="S9" s="73">
        <v>9006.9051461115323</v>
      </c>
    </row>
    <row r="10" spans="1:19">
      <c r="A10" s="72">
        <v>2016</v>
      </c>
      <c r="B10" s="73">
        <v>20792.047717945836</v>
      </c>
      <c r="C10" s="73">
        <v>9410.0681301055392</v>
      </c>
      <c r="D10" s="73">
        <v>7828.4744902873272</v>
      </c>
      <c r="E10" s="73">
        <v>13008.207781821988</v>
      </c>
      <c r="F10" s="73">
        <v>6374.2548573543354</v>
      </c>
      <c r="G10" s="73">
        <v>9246.1212085064599</v>
      </c>
      <c r="H10" s="73">
        <v>20508.771974255909</v>
      </c>
      <c r="I10" s="73">
        <v>9441.7485172534853</v>
      </c>
      <c r="J10" s="73">
        <v>7721.8175143474491</v>
      </c>
      <c r="K10" s="73">
        <v>13052.001838669525</v>
      </c>
      <c r="L10" s="73">
        <v>6287.4105113966416</v>
      </c>
      <c r="M10" s="73">
        <v>9277.2496440769937</v>
      </c>
      <c r="N10" s="73">
        <v>20384.370400949541</v>
      </c>
      <c r="O10" s="73">
        <v>9190.1729094361654</v>
      </c>
      <c r="P10" s="73">
        <v>7674.9787153800926</v>
      </c>
      <c r="Q10" s="73">
        <v>12704.230947526237</v>
      </c>
      <c r="R10" s="73">
        <v>6249.2725009578598</v>
      </c>
      <c r="S10" s="73">
        <v>9030.0571125435872</v>
      </c>
    </row>
    <row r="11" spans="1:19">
      <c r="A11" s="72">
        <v>2017</v>
      </c>
      <c r="B11" s="73">
        <v>21065.154232627301</v>
      </c>
      <c r="C11" s="73">
        <v>9588.8759785539078</v>
      </c>
      <c r="D11" s="73">
        <v>8024.5335086474124</v>
      </c>
      <c r="E11" s="73">
        <v>13332.237739501988</v>
      </c>
      <c r="F11" s="73">
        <v>6430.0109802965926</v>
      </c>
      <c r="G11" s="73">
        <v>9344.9069476663335</v>
      </c>
      <c r="H11" s="73">
        <v>20756.944024815195</v>
      </c>
      <c r="I11" s="73">
        <v>9603.7289299867862</v>
      </c>
      <c r="J11" s="73">
        <v>7907.1242975406321</v>
      </c>
      <c r="K11" s="73">
        <v>13352.889073410082</v>
      </c>
      <c r="L11" s="73">
        <v>6335.9316776441683</v>
      </c>
      <c r="M11" s="73">
        <v>9359.3819966031315</v>
      </c>
      <c r="N11" s="73">
        <v>20448.65283345697</v>
      </c>
      <c r="O11" s="73">
        <v>9291.2808516561417</v>
      </c>
      <c r="P11" s="73">
        <v>7789.6842366630744</v>
      </c>
      <c r="Q11" s="73">
        <v>12918.46567791812</v>
      </c>
      <c r="R11" s="73">
        <v>6241.8276552538782</v>
      </c>
      <c r="S11" s="73">
        <v>9054.8835105962899</v>
      </c>
    </row>
    <row r="12" spans="1:19">
      <c r="A12" s="72">
        <v>2018</v>
      </c>
      <c r="B12" s="73">
        <v>21342.497665571278</v>
      </c>
      <c r="C12" s="73">
        <v>9771.0810022821843</v>
      </c>
      <c r="D12" s="73">
        <v>8223.2488501080352</v>
      </c>
      <c r="E12" s="73">
        <v>13661.616978470945</v>
      </c>
      <c r="F12" s="73">
        <v>6486.7476867155619</v>
      </c>
      <c r="G12" s="73">
        <v>9446.3770776178244</v>
      </c>
      <c r="H12" s="73">
        <v>20980.502916640533</v>
      </c>
      <c r="I12" s="73">
        <v>9747.8784724590041</v>
      </c>
      <c r="J12" s="73">
        <v>8083.7725362512992</v>
      </c>
      <c r="K12" s="73">
        <v>13629.175933790031</v>
      </c>
      <c r="L12" s="73">
        <v>6376.724547108166</v>
      </c>
      <c r="M12" s="73">
        <v>9423.9455937509665</v>
      </c>
      <c r="N12" s="73">
        <v>20513.762381701657</v>
      </c>
      <c r="O12" s="73">
        <v>9393.5006881885092</v>
      </c>
      <c r="P12" s="73">
        <v>7903.937747119453</v>
      </c>
      <c r="Q12" s="73">
        <v>13133.696103743394</v>
      </c>
      <c r="R12" s="73">
        <v>6234.8654201796817</v>
      </c>
      <c r="S12" s="73">
        <v>9081.3441786805251</v>
      </c>
    </row>
    <row r="13" spans="1:19">
      <c r="A13" s="72">
        <v>2019</v>
      </c>
      <c r="B13" s="73">
        <v>21624.134525180401</v>
      </c>
      <c r="C13" s="73">
        <v>9956.7477563416396</v>
      </c>
      <c r="D13" s="73">
        <v>8424.6746471328061</v>
      </c>
      <c r="E13" s="73">
        <v>13996.487633793833</v>
      </c>
      <c r="F13" s="73">
        <v>6544.472443117591</v>
      </c>
      <c r="G13" s="73">
        <v>9550.5420943445242</v>
      </c>
      <c r="H13" s="73">
        <v>21185.496698807507</v>
      </c>
      <c r="I13" s="73">
        <v>9886.9759166462918</v>
      </c>
      <c r="J13" s="73">
        <v>8253.7831383506145</v>
      </c>
      <c r="K13" s="73">
        <v>13898.40734539233</v>
      </c>
      <c r="L13" s="73">
        <v>6411.7201628418816</v>
      </c>
      <c r="M13" s="73">
        <v>9483.6167379613744</v>
      </c>
      <c r="N13" s="73">
        <v>20579.690165093994</v>
      </c>
      <c r="O13" s="73">
        <v>9496.8446618015914</v>
      </c>
      <c r="P13" s="73">
        <v>8017.7633827529708</v>
      </c>
      <c r="Q13" s="73">
        <v>13349.988582798647</v>
      </c>
      <c r="R13" s="73">
        <v>6228.3748288988299</v>
      </c>
      <c r="S13" s="73">
        <v>9109.4016766889199</v>
      </c>
    </row>
    <row r="14" spans="1:19">
      <c r="A14" s="72">
        <v>2020</v>
      </c>
      <c r="B14" s="73">
        <v>21910.122355442178</v>
      </c>
      <c r="C14" s="73">
        <v>10145.942021906874</v>
      </c>
      <c r="D14" s="73">
        <v>8628.8654630023339</v>
      </c>
      <c r="E14" s="73">
        <v>14336.992578345851</v>
      </c>
      <c r="F14" s="73">
        <v>6603.1930212177413</v>
      </c>
      <c r="G14" s="73">
        <v>9657.4146564323928</v>
      </c>
      <c r="H14" s="73">
        <v>21394.444257797189</v>
      </c>
      <c r="I14" s="73">
        <v>10022.804338002712</v>
      </c>
      <c r="J14" s="73">
        <v>8425.7759113052234</v>
      </c>
      <c r="K14" s="73">
        <v>14162.989606868503</v>
      </c>
      <c r="L14" s="73">
        <v>6447.7798308975862</v>
      </c>
      <c r="M14" s="73">
        <v>9540.206055128785</v>
      </c>
      <c r="N14" s="73">
        <v>20646.427709208914</v>
      </c>
      <c r="O14" s="73">
        <v>9601.3251492996296</v>
      </c>
      <c r="P14" s="73">
        <v>8131.1844865218582</v>
      </c>
      <c r="Q14" s="73">
        <v>13567.407256080774</v>
      </c>
      <c r="R14" s="73">
        <v>6222.3453228987464</v>
      </c>
      <c r="S14" s="73">
        <v>9139.0211000429335</v>
      </c>
    </row>
    <row r="15" spans="1:19">
      <c r="A15" s="72">
        <v>2021</v>
      </c>
      <c r="B15" s="73">
        <v>22234.737888606138</v>
      </c>
      <c r="C15" s="73">
        <v>10429.662290122049</v>
      </c>
      <c r="D15" s="73">
        <v>8751.0121283152148</v>
      </c>
      <c r="E15" s="73">
        <v>14531.596638662615</v>
      </c>
      <c r="F15" s="73">
        <v>6713.5635353358266</v>
      </c>
      <c r="G15" s="73">
        <v>9827.7569637774668</v>
      </c>
      <c r="H15" s="73">
        <v>21635.324707892567</v>
      </c>
      <c r="I15" s="73">
        <v>10253.676354294914</v>
      </c>
      <c r="J15" s="73">
        <v>8515.0987552601437</v>
      </c>
      <c r="K15" s="73">
        <v>14286.396308836062</v>
      </c>
      <c r="L15" s="73">
        <v>6532.5765368472848</v>
      </c>
      <c r="M15" s="73">
        <v>9661.927336869021</v>
      </c>
      <c r="N15" s="73">
        <v>20745.893817473636</v>
      </c>
      <c r="O15" s="73">
        <v>9792.3295102308712</v>
      </c>
      <c r="P15" s="73">
        <v>8165.0419860574466</v>
      </c>
      <c r="Q15" s="73">
        <v>13643.604043662901</v>
      </c>
      <c r="R15" s="73">
        <v>6264.0215026915776</v>
      </c>
      <c r="S15" s="73">
        <v>9227.2052400892135</v>
      </c>
    </row>
    <row r="16" spans="1:19">
      <c r="A16" s="72">
        <v>2022</v>
      </c>
      <c r="B16" s="73">
        <v>22564.262846497935</v>
      </c>
      <c r="C16" s="73">
        <v>10717.300168811144</v>
      </c>
      <c r="D16" s="73">
        <v>8875.0635475597282</v>
      </c>
      <c r="E16" s="73">
        <v>14731.158283330391</v>
      </c>
      <c r="F16" s="73">
        <v>6825.4768614833783</v>
      </c>
      <c r="G16" s="73">
        <v>10001.548742379277</v>
      </c>
      <c r="H16" s="73">
        <v>21878.57270661744</v>
      </c>
      <c r="I16" s="73">
        <v>10474.231489183481</v>
      </c>
      <c r="J16" s="73">
        <v>8605.3652371485368</v>
      </c>
      <c r="K16" s="73">
        <v>14397.05518489003</v>
      </c>
      <c r="L16" s="73">
        <v>6618.0620562340237</v>
      </c>
      <c r="M16" s="73">
        <v>9774.7133259264883</v>
      </c>
      <c r="N16" s="73">
        <v>20845.931491044648</v>
      </c>
      <c r="O16" s="73">
        <v>9983.3923378546951</v>
      </c>
      <c r="P16" s="73">
        <v>8199.2027813934073</v>
      </c>
      <c r="Q16" s="73">
        <v>13722.386274251317</v>
      </c>
      <c r="R16" s="73">
        <v>6305.6978203157178</v>
      </c>
      <c r="S16" s="73">
        <v>9316.6547086107894</v>
      </c>
    </row>
    <row r="17" spans="1:19">
      <c r="A17" s="72">
        <v>2023</v>
      </c>
      <c r="B17" s="73">
        <v>22898.769259012417</v>
      </c>
      <c r="C17" s="73">
        <v>11009.007416897432</v>
      </c>
      <c r="D17" s="73">
        <v>9001.0453830146689</v>
      </c>
      <c r="E17" s="73">
        <v>14935.705561168596</v>
      </c>
      <c r="F17" s="73">
        <v>6938.9606623470736</v>
      </c>
      <c r="G17" s="73">
        <v>10178.844353150678</v>
      </c>
      <c r="H17" s="73">
        <v>22049.309383143689</v>
      </c>
      <c r="I17" s="73">
        <v>10693.10643176542</v>
      </c>
      <c r="J17" s="73">
        <v>8667.1398002622172</v>
      </c>
      <c r="K17" s="73">
        <v>14507.128858315893</v>
      </c>
      <c r="L17" s="73">
        <v>6681.5508165940992</v>
      </c>
      <c r="M17" s="73">
        <v>9886.7647099186888</v>
      </c>
      <c r="N17" s="73">
        <v>20946.54101645853</v>
      </c>
      <c r="O17" s="73">
        <v>10174.61254794593</v>
      </c>
      <c r="P17" s="73">
        <v>8233.6637473263436</v>
      </c>
      <c r="Q17" s="73">
        <v>13803.698322688449</v>
      </c>
      <c r="R17" s="73">
        <v>6347.3814894326679</v>
      </c>
      <c r="S17" s="73">
        <v>9407.3692166103065</v>
      </c>
    </row>
    <row r="18" spans="1:19">
      <c r="A18" s="72">
        <v>2024</v>
      </c>
      <c r="B18" s="73">
        <v>23238.330304715477</v>
      </c>
      <c r="C18" s="73">
        <v>11304.933999039456</v>
      </c>
      <c r="D18" s="73">
        <v>9128.9838050481976</v>
      </c>
      <c r="E18" s="73">
        <v>15145.271055339728</v>
      </c>
      <c r="F18" s="73">
        <v>7054.0428241760928</v>
      </c>
      <c r="G18" s="73">
        <v>10359.69986613063</v>
      </c>
      <c r="H18" s="73">
        <v>22288.09160608548</v>
      </c>
      <c r="I18" s="73">
        <v>10948.214063637537</v>
      </c>
      <c r="J18" s="73">
        <v>8755.6904755802425</v>
      </c>
      <c r="K18" s="73">
        <v>14667.371749340737</v>
      </c>
      <c r="L18" s="73">
        <v>6765.5959183342738</v>
      </c>
      <c r="M18" s="73">
        <v>10032.806187021723</v>
      </c>
      <c r="N18" s="73">
        <v>21047.7228014592</v>
      </c>
      <c r="O18" s="73">
        <v>10366.083876941319</v>
      </c>
      <c r="P18" s="73">
        <v>8268.4219592435675</v>
      </c>
      <c r="Q18" s="73">
        <v>13887.489313250544</v>
      </c>
      <c r="R18" s="73">
        <v>6389.0794237808577</v>
      </c>
      <c r="S18" s="73">
        <v>9499.3493780125027</v>
      </c>
    </row>
    <row r="19" spans="1:19">
      <c r="A19" s="72">
        <v>2025</v>
      </c>
      <c r="B19" s="73">
        <v>23583.020324168756</v>
      </c>
      <c r="C19" s="73">
        <v>11605.228421981541</v>
      </c>
      <c r="D19" s="73">
        <v>9258.9054926892641</v>
      </c>
      <c r="E19" s="73">
        <v>15359.891652616378</v>
      </c>
      <c r="F19" s="73">
        <v>7170.7514710908363</v>
      </c>
      <c r="G19" s="73">
        <v>10544.17303940159</v>
      </c>
      <c r="H19" s="73">
        <v>22529.549221583471</v>
      </c>
      <c r="I19" s="73">
        <v>11205.944470119675</v>
      </c>
      <c r="J19" s="73">
        <v>8845.3032804179184</v>
      </c>
      <c r="K19" s="73">
        <v>14831.42654911094</v>
      </c>
      <c r="L19" s="73">
        <v>6850.4286559986012</v>
      </c>
      <c r="M19" s="73">
        <v>10181.395252769387</v>
      </c>
      <c r="N19" s="73">
        <v>21149.477368630436</v>
      </c>
      <c r="O19" s="73">
        <v>10557.895326081481</v>
      </c>
      <c r="P19" s="73">
        <v>8303.4746815375038</v>
      </c>
      <c r="Q19" s="73">
        <v>13973.712743224654</v>
      </c>
      <c r="R19" s="73">
        <v>6430.7982552380981</v>
      </c>
      <c r="S19" s="73">
        <v>9592.5966471484826</v>
      </c>
    </row>
    <row r="20" spans="1:19">
      <c r="A20" s="72">
        <v>2026</v>
      </c>
      <c r="B20" s="73">
        <v>23932.914833719573</v>
      </c>
      <c r="C20" s="73">
        <v>11910.038042457409</v>
      </c>
      <c r="D20" s="73">
        <v>9390.8376346865844</v>
      </c>
      <c r="E20" s="73">
        <v>15579.608338065173</v>
      </c>
      <c r="F20" s="73">
        <v>7289.1149788619314</v>
      </c>
      <c r="G20" s="73">
        <v>10732.323302642919</v>
      </c>
      <c r="H20" s="73">
        <v>22773.70998325208</v>
      </c>
      <c r="I20" s="73">
        <v>11466.409448015205</v>
      </c>
      <c r="J20" s="73">
        <v>8935.9868732263039</v>
      </c>
      <c r="K20" s="73">
        <v>14999.294511666192</v>
      </c>
      <c r="L20" s="73">
        <v>6936.0623942596067</v>
      </c>
      <c r="M20" s="73">
        <v>10332.562572670606</v>
      </c>
      <c r="N20" s="73">
        <v>21251.805349480881</v>
      </c>
      <c r="O20" s="73">
        <v>10750.131562746476</v>
      </c>
      <c r="P20" s="73">
        <v>8338.8193568364404</v>
      </c>
      <c r="Q20" s="73">
        <v>14062.32614314183</v>
      </c>
      <c r="R20" s="73">
        <v>6472.5443506157389</v>
      </c>
      <c r="S20" s="73">
        <v>9687.1132624473084</v>
      </c>
    </row>
    <row r="21" spans="1:19">
      <c r="A21" s="72">
        <v>2027</v>
      </c>
      <c r="B21" s="73">
        <v>24288.090539741999</v>
      </c>
      <c r="C21" s="73">
        <v>12219.509349901924</v>
      </c>
      <c r="D21" s="73">
        <v>9524.8079310245394</v>
      </c>
      <c r="E21" s="73">
        <v>15804.466012384033</v>
      </c>
      <c r="F21" s="73">
        <v>7409.1619882105633</v>
      </c>
      <c r="G21" s="73">
        <v>10924.211744859676</v>
      </c>
      <c r="H21" s="73">
        <v>23020.602022056053</v>
      </c>
      <c r="I21" s="73">
        <v>11729.718481805232</v>
      </c>
      <c r="J21" s="73">
        <v>9027.7501377828848</v>
      </c>
      <c r="K21" s="73">
        <v>15170.980419276128</v>
      </c>
      <c r="L21" s="73">
        <v>7022.510442657167</v>
      </c>
      <c r="M21" s="73">
        <v>10486.339895788271</v>
      </c>
      <c r="N21" s="73">
        <v>21354.707478944878</v>
      </c>
      <c r="O21" s="73">
        <v>10942.873283751765</v>
      </c>
      <c r="P21" s="73">
        <v>8374.4535959854747</v>
      </c>
      <c r="Q21" s="73">
        <v>14153.290769589545</v>
      </c>
      <c r="R21" s="73">
        <v>6514.3238272873687</v>
      </c>
      <c r="S21" s="73">
        <v>9782.9021956459874</v>
      </c>
    </row>
    <row r="22" spans="1:19">
      <c r="A22" s="72">
        <v>2028</v>
      </c>
      <c r="B22" s="73">
        <v>24648.625353316806</v>
      </c>
      <c r="C22" s="73">
        <v>12533.788226820232</v>
      </c>
      <c r="D22" s="73">
        <v>9660.8445948683548</v>
      </c>
      <c r="E22" s="73">
        <v>16034.513329476185</v>
      </c>
      <c r="F22" s="73">
        <v>7530.9214176765981</v>
      </c>
      <c r="G22" s="73">
        <v>11119.901105884981</v>
      </c>
      <c r="H22" s="73">
        <v>23270.253846477321</v>
      </c>
      <c r="I22" s="73">
        <v>11995.979016426283</v>
      </c>
      <c r="J22" s="73">
        <v>9120.6021784782297</v>
      </c>
      <c r="K22" s="73">
        <v>15346.492373902358</v>
      </c>
      <c r="L22" s="73">
        <v>7109.786066168007</v>
      </c>
      <c r="M22" s="73">
        <v>10642.7600272909</v>
      </c>
      <c r="N22" s="73">
        <v>21458.18459026581</v>
      </c>
      <c r="O22" s="73">
        <v>11136.197544774426</v>
      </c>
      <c r="P22" s="73">
        <v>8410.3751687175245</v>
      </c>
      <c r="Q22" s="73">
        <v>14246.571327036558</v>
      </c>
      <c r="R22" s="73">
        <v>6556.1425677454781</v>
      </c>
      <c r="S22" s="73">
        <v>9879.9671059151733</v>
      </c>
    </row>
    <row r="23" spans="1:19">
      <c r="A23" s="72">
        <v>2029</v>
      </c>
      <c r="B23" s="73">
        <v>25014.598405339279</v>
      </c>
      <c r="C23" s="73">
        <v>12853.020189314302</v>
      </c>
      <c r="D23" s="73">
        <v>9798.9763549135077</v>
      </c>
      <c r="E23" s="73">
        <v>16269.802552143728</v>
      </c>
      <c r="F23" s="73">
        <v>7654.4224760968882</v>
      </c>
      <c r="G23" s="73">
        <v>11319.455771304814</v>
      </c>
      <c r="H23" s="73">
        <v>23522.694342947303</v>
      </c>
      <c r="I23" s="73">
        <v>12265.296706534546</v>
      </c>
      <c r="J23" s="73">
        <v>9214.5523160267603</v>
      </c>
      <c r="K23" s="73">
        <v>15525.841609171383</v>
      </c>
      <c r="L23" s="73">
        <v>7197.902495151845</v>
      </c>
      <c r="M23" s="73">
        <v>10801.856804595529</v>
      </c>
      <c r="N23" s="73">
        <v>21562.237610231678</v>
      </c>
      <c r="O23" s="73">
        <v>11330.178059565627</v>
      </c>
      <c r="P23" s="73">
        <v>8446.5819949597244</v>
      </c>
      <c r="Q23" s="73">
        <v>14342.135715543298</v>
      </c>
      <c r="R23" s="73">
        <v>6598.0062331710442</v>
      </c>
      <c r="S23" s="73">
        <v>9978.3122983722187</v>
      </c>
    </row>
    <row r="24" spans="1:19">
      <c r="A24" s="72">
        <v>2030</v>
      </c>
      <c r="B24" s="73">
        <v>25386.090062045649</v>
      </c>
      <c r="C24" s="73">
        <v>13177.35060996538</v>
      </c>
      <c r="D24" s="73">
        <v>9939.232458116745</v>
      </c>
      <c r="E24" s="73">
        <v>16510.389424041976</v>
      </c>
      <c r="F24" s="73">
        <v>7779.6946747325264</v>
      </c>
      <c r="G24" s="73">
        <v>11522.941770497979</v>
      </c>
      <c r="H24" s="73">
        <v>23777.9527765274</v>
      </c>
      <c r="I24" s="73">
        <v>12537.775644785155</v>
      </c>
      <c r="J24" s="73">
        <v>9309.6100835696834</v>
      </c>
      <c r="K24" s="73">
        <v>15709.042320701803</v>
      </c>
      <c r="L24" s="73">
        <v>7286.8729347242106</v>
      </c>
      <c r="M24" s="73">
        <v>10963.665076739324</v>
      </c>
      <c r="N24" s="73">
        <v>21666.8675547354</v>
      </c>
      <c r="O24" s="73">
        <v>11524.885472161646</v>
      </c>
      <c r="P24" s="73">
        <v>8483.0721367254646</v>
      </c>
      <c r="Q24" s="73">
        <v>14439.954801610349</v>
      </c>
      <c r="R24" s="73">
        <v>6639.9202760933949</v>
      </c>
      <c r="S24" s="73">
        <v>10077.942686517439</v>
      </c>
    </row>
    <row r="25" spans="1:19">
      <c r="A25" s="72">
        <v>2031</v>
      </c>
      <c r="B25" s="73">
        <v>25763.087281262775</v>
      </c>
      <c r="C25" s="73">
        <v>13509.607733226918</v>
      </c>
      <c r="D25" s="73">
        <v>10081.491611272822</v>
      </c>
      <c r="E25" s="73">
        <v>16754.214733246754</v>
      </c>
      <c r="F25" s="73">
        <v>7907.013560282744</v>
      </c>
      <c r="G25" s="73">
        <v>11729.862292317264</v>
      </c>
      <c r="H25" s="73">
        <v>24035.970477971263</v>
      </c>
      <c r="I25" s="73">
        <v>12816.063651976887</v>
      </c>
      <c r="J25" s="73">
        <v>9405.6442885517117</v>
      </c>
      <c r="K25" s="73">
        <v>15894.101938435067</v>
      </c>
      <c r="L25" s="73">
        <v>7376.9398220413532</v>
      </c>
      <c r="M25" s="73">
        <v>11127.685180489947</v>
      </c>
      <c r="N25" s="73">
        <v>21771.995529164389</v>
      </c>
      <c r="O25" s="73">
        <v>11722.715562791203</v>
      </c>
      <c r="P25" s="73">
        <v>8519.7161307440056</v>
      </c>
      <c r="Q25" s="73">
        <v>14538.164073611033</v>
      </c>
      <c r="R25" s="73">
        <v>6682.0976074836362</v>
      </c>
      <c r="S25" s="73">
        <v>10178.373936450374</v>
      </c>
    </row>
    <row r="26" spans="1:19">
      <c r="A26" s="72">
        <v>2032</v>
      </c>
      <c r="B26" s="73">
        <v>26145.671476205065</v>
      </c>
      <c r="C26" s="73">
        <v>13849.978010396122</v>
      </c>
      <c r="D26" s="73">
        <v>10225.782352638082</v>
      </c>
      <c r="E26" s="73">
        <v>17001.316215481889</v>
      </c>
      <c r="F26" s="73">
        <v>8036.4125107674672</v>
      </c>
      <c r="G26" s="73">
        <v>11940.270543329952</v>
      </c>
      <c r="H26" s="73">
        <v>24296.777148831461</v>
      </c>
      <c r="I26" s="73">
        <v>13100.278381882235</v>
      </c>
      <c r="J26" s="73">
        <v>9502.6649141758044</v>
      </c>
      <c r="K26" s="73">
        <v>16081.034577386397</v>
      </c>
      <c r="L26" s="73">
        <v>7468.1166260312584</v>
      </c>
      <c r="M26" s="73">
        <v>11293.943423967708</v>
      </c>
      <c r="N26" s="73">
        <v>21877.623848236039</v>
      </c>
      <c r="O26" s="73">
        <v>11923.713818806276</v>
      </c>
      <c r="P26" s="73">
        <v>8556.5146058133487</v>
      </c>
      <c r="Q26" s="73">
        <v>14636.761801662868</v>
      </c>
      <c r="R26" s="73">
        <v>6724.5398596795949</v>
      </c>
      <c r="S26" s="73">
        <v>10279.609741684846</v>
      </c>
    </row>
    <row r="27" spans="1:19">
      <c r="A27" s="72">
        <v>2033</v>
      </c>
      <c r="B27" s="73">
        <v>26533.925261162494</v>
      </c>
      <c r="C27" s="73">
        <v>14198.65208528798</v>
      </c>
      <c r="D27" s="73">
        <v>10372.133626036482</v>
      </c>
      <c r="E27" s="73">
        <v>17251.731951707181</v>
      </c>
      <c r="F27" s="73">
        <v>8167.925447505786</v>
      </c>
      <c r="G27" s="73">
        <v>12154.220462827749</v>
      </c>
      <c r="H27" s="73">
        <v>24560.402808917945</v>
      </c>
      <c r="I27" s="73">
        <v>13390.539725820701</v>
      </c>
      <c r="J27" s="73">
        <v>9600.6820451946187</v>
      </c>
      <c r="K27" s="73">
        <v>16269.854395397693</v>
      </c>
      <c r="L27" s="73">
        <v>7560.4169805053762</v>
      </c>
      <c r="M27" s="73">
        <v>11462.466364149725</v>
      </c>
      <c r="N27" s="73">
        <v>21983.754837111741</v>
      </c>
      <c r="O27" s="73">
        <v>12127.926305466835</v>
      </c>
      <c r="P27" s="73">
        <v>8593.4681932001131</v>
      </c>
      <c r="Q27" s="73">
        <v>14735.746216978216</v>
      </c>
      <c r="R27" s="73">
        <v>6767.2486749857717</v>
      </c>
      <c r="S27" s="73">
        <v>10381.653778692629</v>
      </c>
    </row>
    <row r="28" spans="1:19">
      <c r="A28" s="72">
        <v>2034</v>
      </c>
      <c r="B28" s="73">
        <v>26927.932469176008</v>
      </c>
      <c r="C28" s="73">
        <v>14555.824883813913</v>
      </c>
      <c r="D28" s="73">
        <v>10520.5747866078</v>
      </c>
      <c r="E28" s="73">
        <v>17505.500370070251</v>
      </c>
      <c r="F28" s="73">
        <v>8301.5868439415299</v>
      </c>
      <c r="G28" s="73">
        <v>12371.766731435378</v>
      </c>
      <c r="H28" s="73">
        <v>24826.87779969137</v>
      </c>
      <c r="I28" s="73">
        <v>13686.969852167944</v>
      </c>
      <c r="J28" s="73">
        <v>9699.7058689377518</v>
      </c>
      <c r="K28" s="73">
        <v>16460.57559257247</v>
      </c>
      <c r="L28" s="73">
        <v>7653.8546861696213</v>
      </c>
      <c r="M28" s="73">
        <v>11633.280808393598</v>
      </c>
      <c r="N28" s="73">
        <v>22090.390831442306</v>
      </c>
      <c r="O28" s="73">
        <v>12335.399671986286</v>
      </c>
      <c r="P28" s="73">
        <v>8630.5775266486908</v>
      </c>
      <c r="Q28" s="73">
        <v>14835.115511937962</v>
      </c>
      <c r="R28" s="73">
        <v>6810.2257057331217</v>
      </c>
      <c r="S28" s="73">
        <v>10484.509706525942</v>
      </c>
    </row>
    <row r="29" spans="1:19">
      <c r="A29" s="72">
        <v>2035</v>
      </c>
      <c r="B29" s="73">
        <v>27327.778169972244</v>
      </c>
      <c r="C29" s="73">
        <v>14921.695705374561</v>
      </c>
      <c r="D29" s="73">
        <v>10671.135606637077</v>
      </c>
      <c r="E29" s="73">
        <v>17762.660247862099</v>
      </c>
      <c r="F29" s="73">
        <v>8437.4317346118896</v>
      </c>
      <c r="G29" s="73">
        <v>12592.964779803948</v>
      </c>
      <c r="H29" s="73">
        <v>25096.232787692396</v>
      </c>
      <c r="I29" s="73">
        <v>13989.693246509985</v>
      </c>
      <c r="J29" s="73">
        <v>9799.7466763493267</v>
      </c>
      <c r="K29" s="73">
        <v>16653.21241070906</v>
      </c>
      <c r="L29" s="73">
        <v>7748.4437126598023</v>
      </c>
      <c r="M29" s="73">
        <v>11806.413815965105</v>
      </c>
      <c r="N29" s="73">
        <v>22197.53417741353</v>
      </c>
      <c r="O29" s="73">
        <v>12546.181157627529</v>
      </c>
      <c r="P29" s="73">
        <v>8667.843242390516</v>
      </c>
      <c r="Q29" s="73">
        <v>14934.8678401744</v>
      </c>
      <c r="R29" s="73">
        <v>6853.4726143391836</v>
      </c>
      <c r="S29" s="73">
        <v>10588.181166443206</v>
      </c>
    </row>
    <row r="30" spans="1:19">
      <c r="A30" s="72">
        <v>2036</v>
      </c>
      <c r="B30" s="73">
        <v>27733.548688161653</v>
      </c>
      <c r="C30" s="73">
        <v>15296.468316101689</v>
      </c>
      <c r="D30" s="73">
        <v>10823.846281466429</v>
      </c>
      <c r="E30" s="73">
        <v>18023.250713476678</v>
      </c>
      <c r="F30" s="73">
        <v>8575.49572426144</v>
      </c>
      <c r="G30" s="73">
        <v>12817.87079739</v>
      </c>
      <c r="H30" s="73">
        <v>25368.498768007459</v>
      </c>
      <c r="I30" s="73">
        <v>14298.836752452327</v>
      </c>
      <c r="J30" s="73">
        <v>9900.8148630359919</v>
      </c>
      <c r="K30" s="73">
        <v>16847.779132732572</v>
      </c>
      <c r="L30" s="73">
        <v>7844.1982006017824</v>
      </c>
      <c r="M30" s="73">
        <v>11981.892699570191</v>
      </c>
      <c r="N30" s="73">
        <v>22305.187231792068</v>
      </c>
      <c r="O30" s="73">
        <v>12760.318597850046</v>
      </c>
      <c r="P30" s="73">
        <v>8705.2659791532915</v>
      </c>
      <c r="Q30" s="73">
        <v>15035.001316663511</v>
      </c>
      <c r="R30" s="73">
        <v>6896.9910733685774</v>
      </c>
      <c r="S30" s="73">
        <v>10692.671781538262</v>
      </c>
    </row>
    <row r="31" spans="1:19">
      <c r="A31" s="72">
        <v>2037</v>
      </c>
      <c r="B31" s="73">
        <v>28145.331621703535</v>
      </c>
      <c r="C31" s="73">
        <v>15680.351043985018</v>
      </c>
      <c r="D31" s="73">
        <v>10978.737435490451</v>
      </c>
      <c r="E31" s="73">
        <v>18287.311248374634</v>
      </c>
      <c r="F31" s="73">
        <v>8715.8149971038747</v>
      </c>
      <c r="G31" s="73">
        <v>13046.541741321114</v>
      </c>
      <c r="H31" s="73">
        <v>25643.70706777116</v>
      </c>
      <c r="I31" s="73">
        <v>14614.529613094215</v>
      </c>
      <c r="J31" s="73">
        <v>10002.920930325494</v>
      </c>
      <c r="K31" s="73">
        <v>17044.290082125626</v>
      </c>
      <c r="L31" s="73">
        <v>7941.1324636966738</v>
      </c>
      <c r="M31" s="73">
        <v>12159.745026891336</v>
      </c>
      <c r="N31" s="73">
        <v>22413.352361971345</v>
      </c>
      <c r="O31" s="73">
        <v>12977.860430508648</v>
      </c>
      <c r="P31" s="73">
        <v>8742.8463781703122</v>
      </c>
      <c r="Q31" s="73">
        <v>15135.514017826577</v>
      </c>
      <c r="R31" s="73">
        <v>6940.7827655938463</v>
      </c>
      <c r="S31" s="73">
        <v>10797.985156373165</v>
      </c>
    </row>
    <row r="32" spans="1:19">
      <c r="A32" s="72">
        <v>2038</v>
      </c>
      <c r="B32" s="73">
        <v>28563.215860642194</v>
      </c>
      <c r="C32" s="73">
        <v>16073.556875920256</v>
      </c>
      <c r="D32" s="73">
        <v>11135.840128236268</v>
      </c>
      <c r="E32" s="73">
        <v>18554.881689051472</v>
      </c>
      <c r="F32" s="73">
        <v>8858.4263262338591</v>
      </c>
      <c r="G32" s="73">
        <v>13279.035345348975</v>
      </c>
      <c r="H32" s="73">
        <v>25921.889349705878</v>
      </c>
      <c r="I32" s="73">
        <v>14936.903513178146</v>
      </c>
      <c r="J32" s="73">
        <v>10106.075486335836</v>
      </c>
      <c r="K32" s="73">
        <v>17242.75962235832</v>
      </c>
      <c r="L32" s="73">
        <v>8039.2609908313334</v>
      </c>
      <c r="M32" s="73">
        <v>12339.998622128491</v>
      </c>
      <c r="N32" s="73">
        <v>22522.031946017774</v>
      </c>
      <c r="O32" s="73">
        <v>13198.855702104283</v>
      </c>
      <c r="P32" s="73">
        <v>8780.5850831897551</v>
      </c>
      <c r="Q32" s="73">
        <v>15236.403981641179</v>
      </c>
      <c r="R32" s="73">
        <v>6984.8493840566525</v>
      </c>
      <c r="S32" s="73">
        <v>10904.12487661472</v>
      </c>
    </row>
    <row r="33" spans="1:19">
      <c r="A33" s="72">
        <v>2039</v>
      </c>
      <c r="B33" s="73">
        <v>28987.291606117971</v>
      </c>
      <c r="C33" s="73">
        <v>16476.303556715557</v>
      </c>
      <c r="D33" s="73">
        <v>11295.185860529591</v>
      </c>
      <c r="E33" s="73">
        <v>18826.002229010421</v>
      </c>
      <c r="F33" s="73">
        <v>9003.3670831914387</v>
      </c>
      <c r="G33" s="73">
        <v>13515.410128890815</v>
      </c>
      <c r="H33" s="73">
        <v>26203.077615698869</v>
      </c>
      <c r="I33" s="73">
        <v>15266.092621925247</v>
      </c>
      <c r="J33" s="73">
        <v>10210.289247055252</v>
      </c>
      <c r="K33" s="73">
        <v>17443.202156317606</v>
      </c>
      <c r="L33" s="73">
        <v>8138.5984482145241</v>
      </c>
      <c r="M33" s="73">
        <v>12522.681567544745</v>
      </c>
      <c r="N33" s="73">
        <v>22631.228372717083</v>
      </c>
      <c r="O33" s="73">
        <v>13423.354074087611</v>
      </c>
      <c r="P33" s="73">
        <v>8818.4827404840707</v>
      </c>
      <c r="Q33" s="73">
        <v>15337.669207761621</v>
      </c>
      <c r="R33" s="73">
        <v>7029.1926321293413</v>
      </c>
      <c r="S33" s="73">
        <v>11011.094508674905</v>
      </c>
    </row>
    <row r="34" spans="1:19">
      <c r="A34" s="72">
        <v>2040</v>
      </c>
      <c r="B34" s="73">
        <v>29417.650389657312</v>
      </c>
      <c r="C34" s="73">
        <v>16888.813690094019</v>
      </c>
      <c r="D34" s="73">
        <v>11456.806580747821</v>
      </c>
      <c r="E34" s="73">
        <v>19100.713420740296</v>
      </c>
      <c r="F34" s="73">
        <v>9150.6752476814509</v>
      </c>
      <c r="G34" s="73">
        <v>13755.725406160196</v>
      </c>
      <c r="H34" s="73">
        <v>26487.304210417326</v>
      </c>
      <c r="I34" s="73">
        <v>15602.233636566907</v>
      </c>
      <c r="J34" s="73">
        <v>10315.573037432976</v>
      </c>
      <c r="K34" s="73">
        <v>17645.632125736367</v>
      </c>
      <c r="L34" s="73">
        <v>8239.1596815389967</v>
      </c>
      <c r="M34" s="73">
        <v>12707.822205016926</v>
      </c>
      <c r="N34" s="73">
        <v>22740.944041620922</v>
      </c>
      <c r="O34" s="73">
        <v>13651.405829215721</v>
      </c>
      <c r="P34" s="73">
        <v>8856.5399988593563</v>
      </c>
      <c r="Q34" s="73">
        <v>15439.307657648833</v>
      </c>
      <c r="R34" s="73">
        <v>7073.8142235768701</v>
      </c>
      <c r="S34" s="73">
        <v>11118.897599355347</v>
      </c>
    </row>
    <row r="35" spans="1:19">
      <c r="A35" s="72">
        <v>2041</v>
      </c>
      <c r="B35" s="73">
        <v>29854.385092745899</v>
      </c>
      <c r="C35" s="73">
        <v>17311.314841730862</v>
      </c>
      <c r="D35" s="73">
        <v>11620.73469116153</v>
      </c>
      <c r="E35" s="73">
        <v>19379.056177698469</v>
      </c>
      <c r="F35" s="73">
        <v>9300.389417450453</v>
      </c>
      <c r="G35" s="73">
        <v>14000.041295388068</v>
      </c>
      <c r="H35" s="73">
        <v>26774.601824961741</v>
      </c>
      <c r="I35" s="73">
        <v>15945.465826583582</v>
      </c>
      <c r="J35" s="73">
        <v>10421.937792480994</v>
      </c>
      <c r="K35" s="73">
        <v>17850.064010622456</v>
      </c>
      <c r="L35" s="73">
        <v>8340.9597181698409</v>
      </c>
      <c r="M35" s="73">
        <v>12895.44913759128</v>
      </c>
      <c r="N35" s="73">
        <v>22851.181363093583</v>
      </c>
      <c r="O35" s="73">
        <v>13883.0618779627</v>
      </c>
      <c r="P35" s="73">
        <v>8894.7575096647652</v>
      </c>
      <c r="Q35" s="73">
        <v>15541.317254709656</v>
      </c>
      <c r="R35" s="73">
        <v>7118.7158826190807</v>
      </c>
      <c r="S35" s="73">
        <v>11227.53767549596</v>
      </c>
    </row>
    <row r="36" spans="1:19">
      <c r="A36" s="72">
        <v>2042</v>
      </c>
      <c r="B36" s="73">
        <v>30297.589966688938</v>
      </c>
      <c r="C36" s="73">
        <v>17744.039644364409</v>
      </c>
      <c r="D36" s="73">
        <v>11787.003054365578</v>
      </c>
      <c r="E36" s="73">
        <v>19661.07177629945</v>
      </c>
      <c r="F36" s="73">
        <v>9452.548818323723</v>
      </c>
      <c r="G36" s="73">
        <v>14248.418728135064</v>
      </c>
      <c r="H36" s="73">
        <v>27065.003500557996</v>
      </c>
      <c r="I36" s="73">
        <v>16295.931078661606</v>
      </c>
      <c r="J36" s="73">
        <v>10529.394558386903</v>
      </c>
      <c r="K36" s="73">
        <v>18056.512328688008</v>
      </c>
      <c r="L36" s="73">
        <v>8444.0137693594097</v>
      </c>
      <c r="M36" s="73">
        <v>13085.591231044466</v>
      </c>
      <c r="N36" s="73">
        <v>22961.94275835895</v>
      </c>
      <c r="O36" s="73">
        <v>14118.373764984553</v>
      </c>
      <c r="P36" s="73">
        <v>8933.1359268019914</v>
      </c>
      <c r="Q36" s="73">
        <v>15643.695884445673</v>
      </c>
      <c r="R36" s="73">
        <v>7163.8993439933656</v>
      </c>
      <c r="S36" s="73">
        <v>11337.018243627936</v>
      </c>
    </row>
    <row r="37" spans="1:19">
      <c r="A37" s="72">
        <v>2043</v>
      </c>
      <c r="B37" s="73">
        <v>30747.360652762953</v>
      </c>
      <c r="C37" s="73">
        <v>18187.225905020881</v>
      </c>
      <c r="D37" s="73">
        <v>11955.644999801038</v>
      </c>
      <c r="E37" s="73">
        <v>19946.801857909162</v>
      </c>
      <c r="F37" s="73">
        <v>9607.1933144049235</v>
      </c>
      <c r="G37" s="73">
        <v>14500.91945869604</v>
      </c>
      <c r="H37" s="73">
        <v>27358.542632288609</v>
      </c>
      <c r="I37" s="73">
        <v>16653.773942379135</v>
      </c>
      <c r="J37" s="73">
        <v>10637.954493637902</v>
      </c>
      <c r="K37" s="73">
        <v>18264.991634779271</v>
      </c>
      <c r="L37" s="73">
        <v>8548.3372324891425</v>
      </c>
      <c r="M37" s="73">
        <v>13278.277615449972</v>
      </c>
      <c r="N37" s="73">
        <v>23073.230659547658</v>
      </c>
      <c r="O37" s="73">
        <v>14357.393675639103</v>
      </c>
      <c r="P37" s="73">
        <v>8971.6759067347357</v>
      </c>
      <c r="Q37" s="73">
        <v>15746.441394611495</v>
      </c>
      <c r="R37" s="73">
        <v>7209.3663530176818</v>
      </c>
      <c r="S37" s="73">
        <v>11447.342789631197</v>
      </c>
    </row>
    <row r="38" spans="1:19">
      <c r="A38" s="72">
        <v>2044</v>
      </c>
      <c r="B38" s="73">
        <v>31203.794202663146</v>
      </c>
      <c r="C38" s="73">
        <v>18641.116714393716</v>
      </c>
      <c r="D38" s="73">
        <v>12126.694330369284</v>
      </c>
      <c r="E38" s="73">
        <v>20236.288430845354</v>
      </c>
      <c r="F38" s="73">
        <v>9764.3634184410148</v>
      </c>
      <c r="G38" s="73">
        <v>14757.606073597917</v>
      </c>
      <c r="H38" s="73">
        <v>27655.252972863516</v>
      </c>
      <c r="I38" s="73">
        <v>17019.14167663252</v>
      </c>
      <c r="J38" s="73">
        <v>10747.62887015611</v>
      </c>
      <c r="K38" s="73">
        <v>18475.51652030725</v>
      </c>
      <c r="L38" s="73">
        <v>8653.9456933385973</v>
      </c>
      <c r="M38" s="73">
        <v>13473.537686750349</v>
      </c>
      <c r="N38" s="73">
        <v>23185.047509744414</v>
      </c>
      <c r="O38" s="73">
        <v>14600.174442561462</v>
      </c>
      <c r="P38" s="73">
        <v>9010.3781084982311</v>
      </c>
      <c r="Q38" s="73">
        <v>15849.551595382512</v>
      </c>
      <c r="R38" s="73">
        <v>7255.1186656539303</v>
      </c>
      <c r="S38" s="73">
        <v>11558.514778396519</v>
      </c>
    </row>
    <row r="39" spans="1:19">
      <c r="A39" s="72">
        <v>2045</v>
      </c>
      <c r="B39" s="73">
        <v>31666.989099250844</v>
      </c>
      <c r="C39" s="73">
        <v>19105.960558418836</v>
      </c>
      <c r="D39" s="73">
        <v>12300.185329139524</v>
      </c>
      <c r="E39" s="73">
        <v>20529.573872384342</v>
      </c>
      <c r="F39" s="73">
        <v>9924.100302355173</v>
      </c>
      <c r="G39" s="73">
        <v>15018.542001191703</v>
      </c>
      <c r="H39" s="73">
        <v>27955.168636430801</v>
      </c>
      <c r="I39" s="73">
        <v>17392.184296814528</v>
      </c>
      <c r="J39" s="73">
        <v>10858.429074445292</v>
      </c>
      <c r="K39" s="73">
        <v>18688.101612679438</v>
      </c>
      <c r="L39" s="73">
        <v>8760.8549283820594</v>
      </c>
      <c r="M39" s="73">
        <v>13671.401108335192</v>
      </c>
      <c r="N39" s="73">
        <v>23297.395763035507</v>
      </c>
      <c r="O39" s="73">
        <v>14846.769552295686</v>
      </c>
      <c r="P39" s="73">
        <v>9049.2431937088058</v>
      </c>
      <c r="Q39" s="73">
        <v>15953.024259532192</v>
      </c>
      <c r="R39" s="73">
        <v>7301.1580485717377</v>
      </c>
      <c r="S39" s="73">
        <v>11670.537653492358</v>
      </c>
    </row>
    <row r="40" spans="1:19">
      <c r="A40" s="72">
        <v>2046</v>
      </c>
      <c r="B40" s="73">
        <v>32137.045277605321</v>
      </c>
      <c r="C40" s="73">
        <v>19582.011432088297</v>
      </c>
      <c r="D40" s="73">
        <v>12476.152766151057</v>
      </c>
      <c r="E40" s="73">
        <v>20826.700930774536</v>
      </c>
      <c r="F40" s="73">
        <v>10086.445807950337</v>
      </c>
      <c r="G40" s="73">
        <v>15283.791521339946</v>
      </c>
      <c r="H40" s="73">
        <v>28258.324102427887</v>
      </c>
      <c r="I40" s="73">
        <v>17773.054622756066</v>
      </c>
      <c r="J40" s="73">
        <v>10970.366608749082</v>
      </c>
      <c r="K40" s="73">
        <v>18902.761574732973</v>
      </c>
      <c r="L40" s="73">
        <v>8869.0809071130134</v>
      </c>
      <c r="M40" s="73">
        <v>13871.897812625384</v>
      </c>
      <c r="N40" s="73">
        <v>23410.277884556599</v>
      </c>
      <c r="O40" s="73">
        <v>15097.233151983271</v>
      </c>
      <c r="P40" s="73">
        <v>9088.2718265734493</v>
      </c>
      <c r="Q40" s="73">
        <v>16056.857122618823</v>
      </c>
      <c r="R40" s="73">
        <v>7347.4862792125759</v>
      </c>
      <c r="S40" s="73">
        <v>11783.414836836659</v>
      </c>
    </row>
    <row r="41" spans="1:19">
      <c r="A41" s="72">
        <v>2047</v>
      </c>
      <c r="B41" s="73">
        <v>32614.064146384419</v>
      </c>
      <c r="C41" s="73">
        <v>20069.528955545225</v>
      </c>
      <c r="D41" s="73">
        <v>12654.631905311675</v>
      </c>
      <c r="E41" s="73">
        <v>21127.712727256901</v>
      </c>
      <c r="F41" s="73">
        <v>10251.442457786223</v>
      </c>
      <c r="G41" s="73">
        <v>15553.419775200502</v>
      </c>
      <c r="H41" s="73">
        <v>28564.754219473441</v>
      </c>
      <c r="I41" s="73">
        <v>18161.908327443278</v>
      </c>
      <c r="J41" s="73">
        <v>11083.453092220892</v>
      </c>
      <c r="K41" s="73">
        <v>19119.511104169411</v>
      </c>
      <c r="L41" s="73">
        <v>8978.639794396835</v>
      </c>
      <c r="M41" s="73">
        <v>14075.058002663563</v>
      </c>
      <c r="N41" s="73">
        <v>23523.696350540591</v>
      </c>
      <c r="O41" s="73">
        <v>15351.620056109135</v>
      </c>
      <c r="P41" s="73">
        <v>9127.4646738994616</v>
      </c>
      <c r="Q41" s="73">
        <v>16161.047883181765</v>
      </c>
      <c r="R41" s="73">
        <v>7394.1051458542806</v>
      </c>
      <c r="S41" s="73">
        <v>11897.149728373673</v>
      </c>
    </row>
    <row r="42" spans="1:19">
      <c r="A42" s="72">
        <v>2048</v>
      </c>
      <c r="B42" s="73">
        <v>33098.148609498588</v>
      </c>
      <c r="C42" s="73">
        <v>20568.778492504003</v>
      </c>
      <c r="D42" s="73">
        <v>12835.658511393422</v>
      </c>
      <c r="E42" s="73">
        <v>21432.65275809286</v>
      </c>
      <c r="F42" s="73">
        <v>10419.133466232539</v>
      </c>
      <c r="G42" s="73">
        <v>15827.492775107819</v>
      </c>
      <c r="H42" s="73">
        <v>28874.494209300599</v>
      </c>
      <c r="I42" s="73">
        <v>18558.903986521909</v>
      </c>
      <c r="J42" s="73">
        <v>11197.700262105505</v>
      </c>
      <c r="K42" s="73">
        <v>19338.364932991506</v>
      </c>
      <c r="L42" s="73">
        <v>9089.5479528520718</v>
      </c>
      <c r="M42" s="73">
        <v>14280.912153711262</v>
      </c>
      <c r="N42" s="73">
        <v>23637.653648365784</v>
      </c>
      <c r="O42" s="73">
        <v>15609.985753305691</v>
      </c>
      <c r="P42" s="73">
        <v>9166.8224051040779</v>
      </c>
      <c r="Q42" s="73">
        <v>16265.594202947166</v>
      </c>
      <c r="R42" s="73">
        <v>7441.0164476759428</v>
      </c>
      <c r="S42" s="73">
        <v>12011.745705756024</v>
      </c>
    </row>
    <row r="43" spans="1:19">
      <c r="A43" s="72">
        <v>2049</v>
      </c>
      <c r="B43" s="73">
        <v>33589.403088102845</v>
      </c>
      <c r="C43" s="73">
        <v>21080.031271040429</v>
      </c>
      <c r="D43" s="73">
        <v>13019.268857127248</v>
      </c>
      <c r="E43" s="73">
        <v>21741.564896599841</v>
      </c>
      <c r="F43" s="73">
        <v>10589.562750701314</v>
      </c>
      <c r="G43" s="73">
        <v>16106.077414552792</v>
      </c>
      <c r="H43" s="73">
        <v>29187.579670731815</v>
      </c>
      <c r="I43" s="73">
        <v>18964.203128601257</v>
      </c>
      <c r="J43" s="73">
        <v>11313.119974932602</v>
      </c>
      <c r="K43" s="73">
        <v>19559.337826942221</v>
      </c>
      <c r="L43" s="73">
        <v>9201.8219452605899</v>
      </c>
      <c r="M43" s="73">
        <v>14489.491014852789</v>
      </c>
      <c r="N43" s="73">
        <v>23752.152276604182</v>
      </c>
      <c r="O43" s="73">
        <v>15872.386413215761</v>
      </c>
      <c r="P43" s="73">
        <v>9206.345692224173</v>
      </c>
      <c r="Q43" s="73">
        <v>16370.493707043144</v>
      </c>
      <c r="R43" s="73">
        <v>7488.2219948231714</v>
      </c>
      <c r="S43" s="73">
        <v>12127.206124032067</v>
      </c>
    </row>
    <row r="44" spans="1:19">
      <c r="A44" s="72">
        <v>2050</v>
      </c>
      <c r="B44" s="73">
        <v>34087.933542911349</v>
      </c>
      <c r="C44" s="73">
        <v>21603.564506797436</v>
      </c>
      <c r="D44" s="73">
        <v>13205.499730397829</v>
      </c>
      <c r="E44" s="73">
        <v>22054.493395194968</v>
      </c>
      <c r="F44" s="73">
        <v>10762.774943061198</v>
      </c>
      <c r="G44" s="73">
        <v>16389.241478262316</v>
      </c>
      <c r="H44" s="73">
        <v>29504.046583695901</v>
      </c>
      <c r="I44" s="73">
        <v>19377.970286370077</v>
      </c>
      <c r="J44" s="73">
        <v>11429.724207722253</v>
      </c>
      <c r="K44" s="73">
        <v>19782.444584946308</v>
      </c>
      <c r="L44" s="73">
        <v>9315.4785370070276</v>
      </c>
      <c r="M44" s="73">
        <v>14700.825610606214</v>
      </c>
      <c r="N44" s="73">
        <v>23867.194745070043</v>
      </c>
      <c r="O44" s="73">
        <v>16138.878893414974</v>
      </c>
      <c r="P44" s="73">
        <v>9246.0352099259726</v>
      </c>
      <c r="Q44" s="73">
        <v>16475.74398422442</v>
      </c>
      <c r="R44" s="73">
        <v>7535.7236084737642</v>
      </c>
      <c r="S44" s="73">
        <v>12243.534315338764</v>
      </c>
    </row>
  </sheetData>
  <mergeCells count="12">
    <mergeCell ref="L3:M3"/>
    <mergeCell ref="N3:O3"/>
    <mergeCell ref="P3:Q3"/>
    <mergeCell ref="R3:S3"/>
    <mergeCell ref="B2:G2"/>
    <mergeCell ref="H2:M2"/>
    <mergeCell ref="N2:S2"/>
    <mergeCell ref="B3:C3"/>
    <mergeCell ref="D3:E3"/>
    <mergeCell ref="F3:G3"/>
    <mergeCell ref="H3:I3"/>
    <mergeCell ref="J3:K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AO5"/>
  <sheetViews>
    <sheetView workbookViewId="0">
      <selection activeCell="D10" sqref="D10"/>
    </sheetView>
  </sheetViews>
  <sheetFormatPr defaultRowHeight="14.4"/>
  <cols>
    <col min="1" max="1" width="30" bestFit="1" customWidth="1"/>
  </cols>
  <sheetData>
    <row r="1" spans="1:41" s="70" customFormat="1" ht="15" thickBot="1">
      <c r="A1" s="282" t="s">
        <v>369</v>
      </c>
      <c r="B1" s="283"/>
      <c r="C1" s="283"/>
      <c r="D1" s="284"/>
    </row>
    <row r="2" spans="1:41">
      <c r="A2" s="285"/>
      <c r="B2" s="286">
        <v>2011</v>
      </c>
      <c r="C2" s="286">
        <v>2012</v>
      </c>
      <c r="D2" s="286">
        <v>2013</v>
      </c>
      <c r="E2" s="68">
        <v>2014</v>
      </c>
      <c r="F2" s="68">
        <v>2015</v>
      </c>
      <c r="G2" s="68">
        <v>2016</v>
      </c>
      <c r="H2" s="68">
        <v>2017</v>
      </c>
      <c r="I2" s="68">
        <v>2018</v>
      </c>
      <c r="J2" s="68">
        <v>2019</v>
      </c>
      <c r="K2" s="68">
        <v>2020</v>
      </c>
      <c r="L2" s="68">
        <v>2021</v>
      </c>
      <c r="M2" s="68">
        <v>2022</v>
      </c>
      <c r="N2" s="68">
        <v>2023</v>
      </c>
      <c r="O2" s="68">
        <v>2024</v>
      </c>
      <c r="P2" s="68">
        <v>2025</v>
      </c>
      <c r="Q2" s="68">
        <v>2026</v>
      </c>
      <c r="R2" s="68">
        <v>2027</v>
      </c>
      <c r="S2" s="68">
        <v>2028</v>
      </c>
      <c r="T2" s="68">
        <v>2029</v>
      </c>
      <c r="U2" s="68">
        <v>2030</v>
      </c>
      <c r="V2" s="68">
        <v>2031</v>
      </c>
      <c r="W2" s="68">
        <v>2032</v>
      </c>
      <c r="X2" s="68">
        <v>2033</v>
      </c>
      <c r="Y2" s="68">
        <v>2034</v>
      </c>
      <c r="Z2" s="68">
        <v>2035</v>
      </c>
      <c r="AA2" s="68">
        <v>2036</v>
      </c>
      <c r="AB2" s="68">
        <v>2037</v>
      </c>
      <c r="AC2" s="68">
        <v>2038</v>
      </c>
      <c r="AD2" s="68">
        <v>2039</v>
      </c>
      <c r="AE2" s="68">
        <v>2040</v>
      </c>
      <c r="AF2" s="68">
        <v>2041</v>
      </c>
      <c r="AG2" s="68">
        <v>2042</v>
      </c>
      <c r="AH2" s="68">
        <v>2043</v>
      </c>
      <c r="AI2" s="68">
        <v>2044</v>
      </c>
      <c r="AJ2" s="68">
        <v>2045</v>
      </c>
      <c r="AK2" s="68">
        <v>2046</v>
      </c>
      <c r="AL2" s="68">
        <v>2047</v>
      </c>
      <c r="AM2" s="68">
        <v>2048</v>
      </c>
      <c r="AN2" s="68">
        <v>2049</v>
      </c>
      <c r="AO2" s="68">
        <v>2050</v>
      </c>
    </row>
    <row r="3" spans="1:41">
      <c r="A3" s="67" t="s">
        <v>208</v>
      </c>
      <c r="B3" s="69">
        <v>5874919</v>
      </c>
      <c r="C3" s="69">
        <v>5966561</v>
      </c>
      <c r="D3" s="69">
        <v>6060419</v>
      </c>
      <c r="E3" s="69">
        <v>6154480</v>
      </c>
      <c r="F3" s="69">
        <v>6249711</v>
      </c>
      <c r="G3" s="69">
        <v>6345977</v>
      </c>
      <c r="H3" s="69">
        <v>6441457</v>
      </c>
      <c r="I3" s="69">
        <v>6536223</v>
      </c>
      <c r="J3" s="69">
        <v>6630423</v>
      </c>
      <c r="K3" s="69">
        <v>6724196</v>
      </c>
      <c r="L3" s="69">
        <v>6816156</v>
      </c>
      <c r="M3" s="69">
        <v>6907512</v>
      </c>
      <c r="N3" s="69">
        <v>6998378</v>
      </c>
      <c r="O3" s="69">
        <v>7088375</v>
      </c>
      <c r="P3" s="69">
        <v>7177924</v>
      </c>
      <c r="Q3" s="69">
        <v>7266466</v>
      </c>
      <c r="R3" s="69">
        <v>7353492</v>
      </c>
      <c r="S3" s="69">
        <v>7438640</v>
      </c>
      <c r="T3" s="69">
        <v>7522347</v>
      </c>
      <c r="U3" s="69">
        <v>7605304</v>
      </c>
      <c r="V3" s="69">
        <v>7689175.8559417697</v>
      </c>
      <c r="W3" s="69">
        <v>7773972.6569244107</v>
      </c>
      <c r="X3" s="69">
        <v>7859704.6033103568</v>
      </c>
      <c r="Y3" s="69">
        <v>7946382.0079523949</v>
      </c>
      <c r="Z3" s="69">
        <v>8034015.2974342164</v>
      </c>
      <c r="AA3" s="69">
        <v>8122615.01332465</v>
      </c>
      <c r="AB3" s="69">
        <v>8212191.8134457264</v>
      </c>
      <c r="AC3" s="69">
        <v>8302756.4731547274</v>
      </c>
      <c r="AD3" s="69">
        <v>8394319.8866403718</v>
      </c>
      <c r="AE3" s="69">
        <v>8486893.0682333019</v>
      </c>
      <c r="AF3" s="69">
        <v>8580487.1537310109</v>
      </c>
      <c r="AG3" s="69">
        <v>8675113.4017373938</v>
      </c>
      <c r="AH3" s="69">
        <v>8770783.1950170621</v>
      </c>
      <c r="AI3" s="69">
        <v>8867508.0418646</v>
      </c>
      <c r="AJ3" s="69">
        <v>8965299.577488916</v>
      </c>
      <c r="AK3" s="69">
        <v>9064169.565412866</v>
      </c>
      <c r="AL3" s="69">
        <v>9164129.8988883048</v>
      </c>
      <c r="AM3" s="69">
        <v>9265192.6023267508</v>
      </c>
      <c r="AN3" s="69">
        <v>9367369.832745824</v>
      </c>
      <c r="AO3" s="69">
        <v>9470673.8812316358</v>
      </c>
    </row>
    <row r="4" spans="1:41">
      <c r="A4" s="67" t="s">
        <v>209</v>
      </c>
      <c r="B4" s="69">
        <v>368109.8661258581</v>
      </c>
      <c r="C4" s="69">
        <v>373486.05763078062</v>
      </c>
      <c r="D4" s="69">
        <v>378939.52680845541</v>
      </c>
      <c r="E4" s="69">
        <v>384222.696794555</v>
      </c>
      <c r="F4" s="69">
        <v>389432.25250224111</v>
      </c>
      <c r="G4" s="69">
        <v>394176.6962072298</v>
      </c>
      <c r="H4" s="69">
        <v>398910.99371926603</v>
      </c>
      <c r="I4" s="69">
        <v>404211.04209112196</v>
      </c>
      <c r="J4" s="69">
        <v>409461.45527194545</v>
      </c>
      <c r="K4" s="69">
        <v>414973.96221003355</v>
      </c>
      <c r="L4" s="69">
        <v>420270.55792898097</v>
      </c>
      <c r="M4" s="69">
        <v>425475.03615722148</v>
      </c>
      <c r="N4" s="69">
        <v>430609.97963586426</v>
      </c>
      <c r="O4" s="69">
        <v>435727.19666466326</v>
      </c>
      <c r="P4" s="69">
        <v>440815.13833749207</v>
      </c>
      <c r="Q4" s="69">
        <v>445687.17196607753</v>
      </c>
      <c r="R4" s="69">
        <v>450729.45878165902</v>
      </c>
      <c r="S4" s="69">
        <v>455977.8439503425</v>
      </c>
      <c r="T4" s="69">
        <v>461256.43179383531</v>
      </c>
      <c r="U4" s="69">
        <v>466415.471809601</v>
      </c>
      <c r="V4" s="69">
        <v>471632.21442212129</v>
      </c>
      <c r="W4" s="69">
        <v>476907.30502078304</v>
      </c>
      <c r="X4" s="69">
        <v>482241.39621349488</v>
      </c>
      <c r="Y4" s="69">
        <v>487635.14790742495</v>
      </c>
      <c r="Z4" s="69">
        <v>493089.22739064106</v>
      </c>
      <c r="AA4" s="69">
        <v>498604.30941466434</v>
      </c>
      <c r="AB4" s="69">
        <v>504181.07627794618</v>
      </c>
      <c r="AC4" s="69">
        <v>509820.21791027865</v>
      </c>
      <c r="AD4" s="69">
        <v>515522.43195814936</v>
      </c>
      <c r="AE4" s="69">
        <v>521288.42387105065</v>
      </c>
      <c r="AF4" s="69">
        <v>527118.90698875429</v>
      </c>
      <c r="AG4" s="69">
        <v>533014.60262956249</v>
      </c>
      <c r="AH4" s="69">
        <v>538976.2401795456</v>
      </c>
      <c r="AI4" s="69">
        <v>545004.55718277826</v>
      </c>
      <c r="AJ4" s="69">
        <v>551100.29943258467</v>
      </c>
      <c r="AK4" s="69">
        <v>557264.22106380423</v>
      </c>
      <c r="AL4" s="69">
        <v>563497.08464608958</v>
      </c>
      <c r="AM4" s="69">
        <v>569799.66127824772</v>
      </c>
      <c r="AN4" s="69">
        <v>576172.73068363674</v>
      </c>
      <c r="AO4" s="69">
        <v>582617.08130662923</v>
      </c>
    </row>
    <row r="5" spans="1:41">
      <c r="A5" s="67" t="s">
        <v>210</v>
      </c>
      <c r="B5" s="69">
        <v>34446.785272905516</v>
      </c>
      <c r="C5" s="69">
        <v>34949.875603803535</v>
      </c>
      <c r="D5" s="69">
        <v>35460.19738282248</v>
      </c>
      <c r="E5" s="69">
        <v>35954.582996516438</v>
      </c>
      <c r="F5" s="69">
        <v>36442.079973216722</v>
      </c>
      <c r="G5" s="69">
        <v>36886.0529513527</v>
      </c>
      <c r="H5" s="69">
        <v>37329.076474551082</v>
      </c>
      <c r="I5" s="69">
        <v>37825.041524667162</v>
      </c>
      <c r="J5" s="69">
        <v>38316.361839814657</v>
      </c>
      <c r="K5" s="69">
        <v>38832.208222336769</v>
      </c>
      <c r="L5" s="69">
        <v>39327.850181972783</v>
      </c>
      <c r="M5" s="69">
        <v>39814.872021057141</v>
      </c>
      <c r="N5" s="69">
        <v>40295.386975081325</v>
      </c>
      <c r="O5" s="69">
        <v>40774.243133002463</v>
      </c>
      <c r="P5" s="69">
        <v>41250.359777550853</v>
      </c>
      <c r="Q5" s="69">
        <v>41706.272296311967</v>
      </c>
      <c r="R5" s="69">
        <v>42178.116675406534</v>
      </c>
      <c r="S5" s="69">
        <v>42669.247214334624</v>
      </c>
      <c r="T5" s="69">
        <v>43163.204042774523</v>
      </c>
      <c r="U5" s="69">
        <v>43645.973889471999</v>
      </c>
      <c r="V5" s="69">
        <v>44134.143398452405</v>
      </c>
      <c r="W5" s="69">
        <v>44627.772963613519</v>
      </c>
      <c r="X5" s="69">
        <v>45126.923654344042</v>
      </c>
      <c r="Y5" s="69">
        <v>45631.657223078801</v>
      </c>
      <c r="Z5" s="69">
        <v>46142.036112938462</v>
      </c>
      <c r="AA5" s="69">
        <v>46658.123465454672</v>
      </c>
      <c r="AB5" s="69">
        <v>47179.983128381617</v>
      </c>
      <c r="AC5" s="69">
        <v>47707.67966359495</v>
      </c>
      <c r="AD5" s="69">
        <v>48241.278355079055</v>
      </c>
      <c r="AE5" s="69">
        <v>48780.845217003669</v>
      </c>
      <c r="AF5" s="69">
        <v>49326.447001890818</v>
      </c>
      <c r="AG5" s="69">
        <v>49878.151208873111</v>
      </c>
      <c r="AH5" s="69">
        <v>50436.026092044391</v>
      </c>
      <c r="AI5" s="69">
        <v>51000.140668903798</v>
      </c>
      <c r="AJ5" s="69">
        <v>51570.564728894264</v>
      </c>
      <c r="AK5" s="69">
        <v>52147.368842036514</v>
      </c>
      <c r="AL5" s="69">
        <v>52730.624367659635</v>
      </c>
      <c r="AM5" s="69">
        <v>53320.403463229319</v>
      </c>
      <c r="AN5" s="69">
        <v>53916.779093274788</v>
      </c>
      <c r="AO5" s="69">
        <v>54519.825038415627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6"/>
  <sheetViews>
    <sheetView tabSelected="1" workbookViewId="0">
      <selection activeCell="A11" sqref="A11"/>
    </sheetView>
  </sheetViews>
  <sheetFormatPr defaultRowHeight="14.4"/>
  <cols>
    <col min="1" max="1" width="30.88671875" bestFit="1" customWidth="1"/>
    <col min="2" max="2" width="9.77734375" customWidth="1"/>
    <col min="3" max="3" width="9.77734375" style="70" customWidth="1"/>
    <col min="4" max="4" width="9.77734375" customWidth="1"/>
    <col min="5" max="5" width="9.77734375" style="70" customWidth="1"/>
    <col min="6" max="6" width="9.77734375" customWidth="1"/>
    <col min="7" max="7" width="9.77734375" style="70" customWidth="1"/>
    <col min="8" max="8" width="9.77734375" customWidth="1"/>
    <col min="9" max="9" width="9.77734375" style="70" customWidth="1"/>
    <col min="10" max="10" width="4" customWidth="1"/>
    <col min="11" max="11" width="31.88671875" customWidth="1"/>
    <col min="12" max="12" width="9.77734375" customWidth="1"/>
    <col min="13" max="13" width="9.77734375" style="70" customWidth="1"/>
    <col min="14" max="14" width="9.77734375" customWidth="1"/>
    <col min="15" max="15" width="9.77734375" style="70" customWidth="1"/>
    <col min="16" max="16" width="9.77734375" customWidth="1"/>
    <col min="17" max="17" width="9.77734375" style="70" customWidth="1"/>
    <col min="18" max="18" width="9.77734375" customWidth="1"/>
    <col min="19" max="19" width="9.77734375" style="70" customWidth="1"/>
    <col min="20" max="20" width="4" customWidth="1"/>
    <col min="21" max="21" width="31.77734375" customWidth="1"/>
    <col min="22" max="22" width="9.77734375" customWidth="1"/>
    <col min="23" max="23" width="9.77734375" style="70" customWidth="1"/>
    <col min="24" max="24" width="9.77734375" customWidth="1"/>
    <col min="25" max="25" width="9.77734375" style="70" customWidth="1"/>
    <col min="26" max="26" width="9.77734375" customWidth="1"/>
    <col min="27" max="27" width="9.77734375" style="70" customWidth="1"/>
    <col min="28" max="28" width="9.77734375" customWidth="1"/>
    <col min="29" max="29" width="9.77734375" style="70" customWidth="1"/>
  </cols>
  <sheetData>
    <row r="1" spans="1:29" ht="15" thickBot="1">
      <c r="A1" s="329"/>
      <c r="B1" s="402" t="s">
        <v>266</v>
      </c>
      <c r="C1" s="402"/>
      <c r="D1" s="402"/>
      <c r="E1" s="402"/>
      <c r="F1" s="402"/>
      <c r="G1" s="402"/>
      <c r="H1" s="402"/>
      <c r="I1" s="403"/>
      <c r="K1" s="327"/>
      <c r="L1" s="431" t="s">
        <v>379</v>
      </c>
      <c r="M1" s="431"/>
      <c r="N1" s="431"/>
      <c r="O1" s="431"/>
      <c r="P1" s="431"/>
      <c r="Q1" s="431"/>
      <c r="R1" s="431"/>
      <c r="S1" s="432"/>
      <c r="U1" s="335"/>
      <c r="V1" s="448" t="s">
        <v>268</v>
      </c>
      <c r="W1" s="448"/>
      <c r="X1" s="448"/>
      <c r="Y1" s="448"/>
      <c r="Z1" s="448"/>
      <c r="AA1" s="448"/>
      <c r="AB1" s="448"/>
      <c r="AC1" s="449"/>
    </row>
    <row r="2" spans="1:29" ht="15" thickBot="1">
      <c r="A2" s="296"/>
      <c r="B2" s="410">
        <v>2015</v>
      </c>
      <c r="C2" s="411"/>
      <c r="D2" s="410">
        <v>2020</v>
      </c>
      <c r="E2" s="411"/>
      <c r="F2" s="410">
        <v>2025</v>
      </c>
      <c r="G2" s="411"/>
      <c r="H2" s="410">
        <v>2030</v>
      </c>
      <c r="I2" s="412"/>
      <c r="K2" s="217"/>
      <c r="L2" s="438">
        <v>2015</v>
      </c>
      <c r="M2" s="439"/>
      <c r="N2" s="438">
        <v>2020</v>
      </c>
      <c r="O2" s="439"/>
      <c r="P2" s="438">
        <v>2025</v>
      </c>
      <c r="Q2" s="439"/>
      <c r="R2" s="438">
        <v>2030</v>
      </c>
      <c r="S2" s="455"/>
      <c r="U2" s="216"/>
      <c r="V2" s="408">
        <v>2015</v>
      </c>
      <c r="W2" s="409"/>
      <c r="X2" s="408">
        <v>2020</v>
      </c>
      <c r="Y2" s="409"/>
      <c r="Z2" s="408">
        <v>2025</v>
      </c>
      <c r="AA2" s="409"/>
      <c r="AB2" s="408">
        <v>2030</v>
      </c>
      <c r="AC2" s="454"/>
    </row>
    <row r="3" spans="1:29" s="70" customFormat="1" ht="15" thickBot="1">
      <c r="A3" s="218"/>
      <c r="B3" s="304" t="s">
        <v>178</v>
      </c>
      <c r="C3" s="319" t="s">
        <v>373</v>
      </c>
      <c r="D3" s="304" t="s">
        <v>178</v>
      </c>
      <c r="E3" s="319" t="s">
        <v>373</v>
      </c>
      <c r="F3" s="304" t="s">
        <v>178</v>
      </c>
      <c r="G3" s="319" t="s">
        <v>373</v>
      </c>
      <c r="H3" s="304" t="s">
        <v>178</v>
      </c>
      <c r="I3" s="305" t="s">
        <v>373</v>
      </c>
      <c r="K3" s="328"/>
      <c r="L3" s="304" t="s">
        <v>178</v>
      </c>
      <c r="M3" s="319" t="s">
        <v>373</v>
      </c>
      <c r="N3" s="304" t="s">
        <v>178</v>
      </c>
      <c r="O3" s="319" t="s">
        <v>373</v>
      </c>
      <c r="P3" s="304" t="s">
        <v>178</v>
      </c>
      <c r="Q3" s="319" t="s">
        <v>373</v>
      </c>
      <c r="R3" s="304" t="s">
        <v>178</v>
      </c>
      <c r="S3" s="305" t="s">
        <v>373</v>
      </c>
      <c r="U3" s="336"/>
      <c r="V3" s="304" t="s">
        <v>178</v>
      </c>
      <c r="W3" s="305" t="s">
        <v>373</v>
      </c>
      <c r="X3" s="304" t="s">
        <v>178</v>
      </c>
      <c r="Y3" s="305" t="s">
        <v>373</v>
      </c>
      <c r="Z3" s="304" t="s">
        <v>178</v>
      </c>
      <c r="AA3" s="305" t="s">
        <v>373</v>
      </c>
      <c r="AB3" s="304" t="s">
        <v>178</v>
      </c>
      <c r="AC3" s="305" t="s">
        <v>373</v>
      </c>
    </row>
    <row r="4" spans="1:29" ht="15" thickBot="1">
      <c r="A4" s="334"/>
      <c r="B4" s="406" t="s">
        <v>279</v>
      </c>
      <c r="C4" s="406"/>
      <c r="D4" s="406"/>
      <c r="E4" s="406"/>
      <c r="F4" s="406"/>
      <c r="G4" s="406"/>
      <c r="H4" s="406"/>
      <c r="I4" s="407"/>
      <c r="K4" s="334"/>
      <c r="L4" s="406" t="s">
        <v>279</v>
      </c>
      <c r="M4" s="406"/>
      <c r="N4" s="406"/>
      <c r="O4" s="406"/>
      <c r="P4" s="406"/>
      <c r="Q4" s="406"/>
      <c r="R4" s="406"/>
      <c r="S4" s="407"/>
      <c r="U4" s="334"/>
      <c r="V4" s="406" t="s">
        <v>279</v>
      </c>
      <c r="W4" s="406"/>
      <c r="X4" s="406"/>
      <c r="Y4" s="406"/>
      <c r="Z4" s="406"/>
      <c r="AA4" s="406"/>
      <c r="AB4" s="406"/>
      <c r="AC4" s="407"/>
    </row>
    <row r="5" spans="1:29">
      <c r="A5" s="330"/>
      <c r="B5" s="404" t="s">
        <v>3</v>
      </c>
      <c r="C5" s="404"/>
      <c r="D5" s="404"/>
      <c r="E5" s="404"/>
      <c r="F5" s="404"/>
      <c r="G5" s="404"/>
      <c r="H5" s="404"/>
      <c r="I5" s="405"/>
      <c r="K5" s="332"/>
      <c r="L5" s="429" t="s">
        <v>3</v>
      </c>
      <c r="M5" s="429"/>
      <c r="N5" s="429"/>
      <c r="O5" s="429"/>
      <c r="P5" s="429"/>
      <c r="Q5" s="429"/>
      <c r="R5" s="429"/>
      <c r="S5" s="430"/>
      <c r="U5" s="338"/>
      <c r="V5" s="450" t="s">
        <v>3</v>
      </c>
      <c r="W5" s="450"/>
      <c r="X5" s="450"/>
      <c r="Y5" s="450"/>
      <c r="Z5" s="450"/>
      <c r="AA5" s="450"/>
      <c r="AB5" s="450"/>
      <c r="AC5" s="451"/>
    </row>
    <row r="6" spans="1:29">
      <c r="A6" s="306" t="str">
        <f>'Res-Capacity-Base'!A58</f>
        <v>a. Space Cooling - CAC Switch</v>
      </c>
      <c r="B6" s="311">
        <f>VLOOKUP($A6,'Res-Capacity-Base'!$A$82:$W$85,2+MATCH(SummaryTables!B$2,'Res-Capacity-Base'!$C$80:$W$80,0),0)*KeyAssumptions!$M$6</f>
        <v>0</v>
      </c>
      <c r="C6" s="232">
        <f>VLOOKUP($A6,'Res-Capacity-Base'!$A$82:$W$85,2+MATCH(SummaryTables!B$2,'Res-Capacity-Base'!$C$80:$W$80,0),0)*KeyAssumptions!$N$6</f>
        <v>7.7146823190937495</v>
      </c>
      <c r="D6" s="311">
        <f>VLOOKUP($A6,'Res-Capacity-Base'!$A$82:$W$85,2+MATCH(SummaryTables!D$2,'Res-Capacity-Base'!$C$80:$W$80,0),0)*KeyAssumptions!$M$6</f>
        <v>0</v>
      </c>
      <c r="E6" s="297">
        <f>VLOOKUP($A6,'Res-Capacity-Base'!$A$82:$W$85,2+MATCH(SummaryTables!D$2,'Res-Capacity-Base'!$C$80:$W$80,0),0)*KeyAssumptions!$N$6</f>
        <v>99.604674823499977</v>
      </c>
      <c r="F6" s="311">
        <f>VLOOKUP($A6,'Res-Capacity-Base'!$A$82:$W$85,2+MATCH(SummaryTables!F$2,'Res-Capacity-Base'!$C$80:$W$80,0),0)*KeyAssumptions!$M$6</f>
        <v>0</v>
      </c>
      <c r="G6" s="297">
        <f>VLOOKUP($A6,'Res-Capacity-Base'!$A$82:$W$85,2+MATCH(SummaryTables!F$2,'Res-Capacity-Base'!$C$80:$W$80,0),0)*KeyAssumptions!$N$6</f>
        <v>106.32569097149998</v>
      </c>
      <c r="H6" s="311">
        <f>VLOOKUP($A6,'Res-Capacity-Base'!$A$82:$W$85,2+MATCH(SummaryTables!H$2,'Res-Capacity-Base'!$C$80:$W$80,0),0)*KeyAssumptions!$M$6</f>
        <v>0</v>
      </c>
      <c r="I6" s="232">
        <f>VLOOKUP($A6,'Res-Capacity-Base'!$A$82:$W$85,2+MATCH(SummaryTables!H$2,'Res-Capacity-Base'!$C$80:$W$80,0),0)*KeyAssumptions!$N$6</f>
        <v>112.65641748899998</v>
      </c>
      <c r="K6" s="306" t="str">
        <f>'Res-Capacity-Smart'!A58</f>
        <v>a. Space Cooling - CAC PCT</v>
      </c>
      <c r="L6" s="311">
        <f>VLOOKUP($K6,'Res-Capacity-Smart'!$A$82:$W$85,2+MATCH(SummaryTables!L$2,'Res-Capacity-Base'!$C$80:$W$80,0),0)*KeyAssumptions!$W$6</f>
        <v>0</v>
      </c>
      <c r="M6" s="232">
        <f>VLOOKUP($K6,'Res-Capacity-Smart'!$A$82:$W$85,2+MATCH(SummaryTables!L$2,'Res-Capacity-Base'!$C$80:$W$80,0),0)*KeyAssumptions!$X$6</f>
        <v>7.7146823190937495</v>
      </c>
      <c r="N6" s="311">
        <f>VLOOKUP($K6,'Res-Capacity-Smart'!$A$82:$W$85,2+MATCH(SummaryTables!N$2,'Res-Capacity-Base'!$C$80:$W$80,0),0)*KeyAssumptions!$W$6</f>
        <v>0</v>
      </c>
      <c r="O6" s="297">
        <f>VLOOKUP($K6,'Res-Capacity-Smart'!$A$82:$W$85,2+MATCH(SummaryTables!N$2,'Res-Capacity-Base'!$C$80:$W$80,0),0)*KeyAssumptions!$X$6</f>
        <v>232.41090792149993</v>
      </c>
      <c r="P6" s="311">
        <f>VLOOKUP($K6,'Res-Capacity-Smart'!$A$82:$W$85,2+MATCH(SummaryTables!P$2,'Res-Capacity-Base'!$C$80:$W$80,0),0)*KeyAssumptions!$W$6</f>
        <v>0</v>
      </c>
      <c r="Q6" s="297">
        <f>VLOOKUP($K6,'Res-Capacity-Smart'!$A$82:$W$85,2+MATCH(SummaryTables!P$2,'Res-Capacity-Base'!$C$80:$W$80,0),0)*KeyAssumptions!$X$6</f>
        <v>248.09327893349993</v>
      </c>
      <c r="R6" s="311">
        <f>VLOOKUP($K6,'Res-Capacity-Smart'!$A$82:$W$85,2+MATCH(SummaryTables!R$2,'Res-Capacity-Base'!$C$80:$W$80,0),0)*KeyAssumptions!$W$6</f>
        <v>0</v>
      </c>
      <c r="S6" s="232">
        <f>VLOOKUP($K6,'Res-Capacity-Smart'!$A$82:$W$85,2+MATCH(SummaryTables!R$2,'Res-Capacity-Base'!$C$80:$W$80,0),0)*KeyAssumptions!$X$6</f>
        <v>262.86497414099995</v>
      </c>
      <c r="U6" s="306" t="str">
        <f>'Res-Balancing'!A20</f>
        <v>a. Water Heating - WH Controls</v>
      </c>
      <c r="V6" s="311">
        <f>VLOOKUP($U6,'Res-Balancing'!$A$38:$W$38,2+MATCH(SummaryTables!V$2,'Res-Balancing'!$C$36:$W$36,0),0)*KeyAssumptions!$AG$5</f>
        <v>3.0059157558874634E-2</v>
      </c>
      <c r="W6" s="232">
        <f>VLOOKUP($U6,'Res-Balancing'!$A$38:$W$38,2+MATCH(SummaryTables!V$2,'Res-Balancing'!$C$36:$W$36,0),0)*KeyAssumptions!$AH$5</f>
        <v>3.0059157558874634E-2</v>
      </c>
      <c r="X6" s="311">
        <f>VLOOKUP($U6,'Res-Balancing'!$A$38:$W$38,2+MATCH(SummaryTables!X$2,'Res-Balancing'!$C$36:$W$36,0),0)*KeyAssumptions!$AG$5</f>
        <v>12.936512873683572</v>
      </c>
      <c r="Y6" s="232">
        <f>VLOOKUP($U6,'Res-Balancing'!$A$38:$W$38,2+MATCH(SummaryTables!X$2,'Res-Balancing'!$C$36:$W$36,0),0)*KeyAssumptions!$AH$5</f>
        <v>12.936512873683572</v>
      </c>
      <c r="Z6" s="311">
        <f>VLOOKUP($U6,'Res-Balancing'!$A$38:$W$38,2+MATCH(SummaryTables!Z$2,'Res-Balancing'!$C$36:$W$36,0),0)*KeyAssumptions!$AG$5</f>
        <v>13.80942884953417</v>
      </c>
      <c r="AA6" s="232">
        <f>VLOOKUP($U6,'Res-Balancing'!$A$38:$W$38,2+MATCH(SummaryTables!Z$2,'Res-Balancing'!$C$36:$W$36,0),0)*KeyAssumptions!$AH$5</f>
        <v>13.80942884953417</v>
      </c>
      <c r="AB6" s="311">
        <f>VLOOKUP($U6,'Res-Balancing'!$A$38:$W$38,2+MATCH(SummaryTables!AB$2,'Res-Balancing'!$C$36:$W$36,0),0)*KeyAssumptions!$AG$5</f>
        <v>14.631654565732044</v>
      </c>
      <c r="AC6" s="232">
        <f>VLOOKUP($U6,'Res-Balancing'!$A$38:$W$38,2+MATCH(SummaryTables!AB$2,'Res-Balancing'!$C$36:$W$36,0),0)*KeyAssumptions!$AH$5</f>
        <v>14.631654565732044</v>
      </c>
    </row>
    <row r="7" spans="1:29">
      <c r="A7" s="306" t="str">
        <f>'Res-Capacity-Base'!A59</f>
        <v>b. Space Cooling - RAC Switch</v>
      </c>
      <c r="B7" s="311">
        <f>VLOOKUP($A7,'Res-Capacity-Base'!$A$82:$W$85,2+MATCH(SummaryTables!B$2,'Res-Capacity-Base'!$C$80:$W$80,0),0)*KeyAssumptions!$M$7</f>
        <v>0</v>
      </c>
      <c r="C7" s="232">
        <f>VLOOKUP($A7,'Res-Capacity-Base'!$A$82:$W$85,2+MATCH(SummaryTables!B$2,'Res-Capacity-Base'!$C$80:$W$80,0),0)*KeyAssumptions!$N$7</f>
        <v>0.34716070435921881</v>
      </c>
      <c r="D7" s="311">
        <f>VLOOKUP($A7,'Res-Capacity-Base'!$A$82:$W$85,2+MATCH(SummaryTables!D$2,'Res-Capacity-Base'!$C$80:$W$80,0),0)*KeyAssumptions!$M$7</f>
        <v>0</v>
      </c>
      <c r="E7" s="297">
        <f>VLOOKUP($A7,'Res-Capacity-Base'!$A$82:$W$85,2+MATCH(SummaryTables!D$2,'Res-Capacity-Base'!$C$80:$W$80,0),0)*KeyAssumptions!$N$7</f>
        <v>4.4822103670574993</v>
      </c>
      <c r="F7" s="311">
        <f>VLOOKUP($A7,'Res-Capacity-Base'!$A$82:$W$85,2+MATCH(SummaryTables!F$2,'Res-Capacity-Base'!$C$80:$W$80,0),0)*KeyAssumptions!$M$7</f>
        <v>0</v>
      </c>
      <c r="G7" s="297">
        <f>VLOOKUP($A7,'Res-Capacity-Base'!$A$82:$W$85,2+MATCH(SummaryTables!F$2,'Res-Capacity-Base'!$C$80:$W$80,0),0)*KeyAssumptions!$N$7</f>
        <v>4.7846560937174987</v>
      </c>
      <c r="H7" s="311">
        <f>VLOOKUP($A7,'Res-Capacity-Base'!$A$82:$W$85,2+MATCH(SummaryTables!H$2,'Res-Capacity-Base'!$C$80:$W$80,0),0)*KeyAssumptions!$M$7</f>
        <v>0</v>
      </c>
      <c r="I7" s="232">
        <f>VLOOKUP($A7,'Res-Capacity-Base'!$A$82:$W$85,2+MATCH(SummaryTables!H$2,'Res-Capacity-Base'!$C$80:$W$80,0),0)*KeyAssumptions!$N$7</f>
        <v>5.0695387870049995</v>
      </c>
      <c r="K7" s="306" t="str">
        <f>'Res-Capacity-Smart'!A59</f>
        <v>b. Space Cooling - RAC PCT</v>
      </c>
      <c r="L7" s="311">
        <f>VLOOKUP($K7,'Res-Capacity-Smart'!$A$82:$W$85,2+MATCH(SummaryTables!L$2,'Res-Capacity-Base'!$C$80:$W$80,0),0)*KeyAssumptions!$W$7</f>
        <v>0</v>
      </c>
      <c r="M7" s="232">
        <f>VLOOKUP($K7,'Res-Capacity-Smart'!$A$82:$W$85,2+MATCH(SummaryTables!L$2,'Res-Capacity-Base'!$C$80:$W$80,0),0)*KeyAssumptions!$X$7</f>
        <v>3.4716070435921877</v>
      </c>
      <c r="N7" s="311">
        <f>VLOOKUP($K7,'Res-Capacity-Smart'!$A$82:$W$85,2+MATCH(SummaryTables!N$2,'Res-Capacity-Base'!$C$80:$W$80,0),0)*KeyAssumptions!$W$7</f>
        <v>0</v>
      </c>
      <c r="O7" s="297">
        <f>VLOOKUP($K7,'Res-Capacity-Smart'!$A$82:$W$85,2+MATCH(SummaryTables!N$2,'Res-Capacity-Base'!$C$80:$W$80,0),0)*KeyAssumptions!$X$7</f>
        <v>104.58490856467498</v>
      </c>
      <c r="P7" s="311">
        <f>VLOOKUP($K7,'Res-Capacity-Smart'!$A$82:$W$85,2+MATCH(SummaryTables!P$2,'Res-Capacity-Base'!$C$80:$W$80,0),0)*KeyAssumptions!$W$7</f>
        <v>0</v>
      </c>
      <c r="Q7" s="297">
        <f>VLOOKUP($K7,'Res-Capacity-Smart'!$A$82:$W$85,2+MATCH(SummaryTables!P$2,'Res-Capacity-Base'!$C$80:$W$80,0),0)*KeyAssumptions!$X$7</f>
        <v>111.64197552007499</v>
      </c>
      <c r="R7" s="311">
        <f>VLOOKUP($K7,'Res-Capacity-Smart'!$A$82:$W$85,2+MATCH(SummaryTables!R$2,'Res-Capacity-Base'!$C$80:$W$80,0),0)*KeyAssumptions!$W$7</f>
        <v>0</v>
      </c>
      <c r="S7" s="232">
        <f>VLOOKUP($K7,'Res-Capacity-Smart'!$A$82:$W$85,2+MATCH(SummaryTables!R$2,'Res-Capacity-Base'!$C$80:$W$80,0),0)*KeyAssumptions!$X$7</f>
        <v>118.28923836344998</v>
      </c>
      <c r="U7" s="308"/>
      <c r="V7" s="265"/>
      <c r="W7" s="299"/>
      <c r="X7" s="265"/>
      <c r="Y7" s="299"/>
      <c r="Z7" s="265"/>
      <c r="AA7" s="299"/>
      <c r="AB7" s="265"/>
      <c r="AC7" s="267"/>
    </row>
    <row r="8" spans="1:29">
      <c r="A8" s="306" t="str">
        <f>'Res-Capacity-Base'!A60</f>
        <v>c. Space Heating - Switch</v>
      </c>
      <c r="B8" s="311">
        <f>VLOOKUP($A8,'Res-Capacity-Base'!$A$82:$W$85,2+MATCH(SummaryTables!B$2,'Res-Capacity-Base'!$C$80:$W$80,0),0)*KeyAssumptions!$M$4</f>
        <v>21.094145655350623</v>
      </c>
      <c r="C8" s="232">
        <f>VLOOKUP($A8,'Res-Capacity-Base'!$A$82:$W$85,2+MATCH(SummaryTables!B$2,'Res-Capacity-Base'!$C$80:$W$80,0),0)*KeyAssumptions!$N$4</f>
        <v>0</v>
      </c>
      <c r="D8" s="311">
        <f>VLOOKUP($A8,'Res-Capacity-Base'!$A$82:$W$85,2+MATCH(SummaryTables!D$2,'Res-Capacity-Base'!$C$80:$W$80,0),0)*KeyAssumptions!$M$4</f>
        <v>272.34763944597</v>
      </c>
      <c r="E8" s="297">
        <f>VLOOKUP($A8,'Res-Capacity-Base'!$A$82:$W$85,2+MATCH(SummaryTables!D$2,'Res-Capacity-Base'!$C$80:$W$80,0),0)*KeyAssumptions!$N$4</f>
        <v>0</v>
      </c>
      <c r="F8" s="311">
        <f>VLOOKUP($A8,'Res-Capacity-Base'!$A$82:$W$85,2+MATCH(SummaryTables!F$2,'Res-Capacity-Base'!$C$80:$W$80,0),0)*KeyAssumptions!$M$4</f>
        <v>290.72481788492996</v>
      </c>
      <c r="G8" s="297">
        <f>VLOOKUP($A8,'Res-Capacity-Base'!$A$82:$W$85,2+MATCH(SummaryTables!F$2,'Res-Capacity-Base'!$C$80:$W$80,0),0)*KeyAssumptions!$N$4</f>
        <v>0</v>
      </c>
      <c r="H8" s="311">
        <f>VLOOKUP($A8,'Res-Capacity-Base'!$A$82:$W$85,2+MATCH(SummaryTables!H$2,'Res-Capacity-Base'!$C$80:$W$80,0),0)*KeyAssumptions!$M$4</f>
        <v>308.03483296278</v>
      </c>
      <c r="I8" s="232">
        <f>VLOOKUP($A8,'Res-Capacity-Base'!$A$82:$W$85,2+MATCH(SummaryTables!H$2,'Res-Capacity-Base'!$C$80:$W$80,0),0)*KeyAssumptions!$N$4</f>
        <v>0</v>
      </c>
      <c r="K8" s="306" t="str">
        <f>'Res-Capacity-Smart'!A60</f>
        <v>c. Space Heating - PCT</v>
      </c>
      <c r="L8" s="311">
        <f>VLOOKUP($K8,'Res-Capacity-Smart'!$A$82:$W$85,2+MATCH(SummaryTables!L$2,'Res-Capacity-Base'!$C$80:$W$80,0),0)*KeyAssumptions!$W$4</f>
        <v>21.094145655350623</v>
      </c>
      <c r="M8" s="232">
        <f>VLOOKUP($K8,'Res-Capacity-Smart'!$A$82:$W$85,2+MATCH(SummaryTables!L$2,'Res-Capacity-Base'!$C$80:$W$80,0),0)*KeyAssumptions!$X$4</f>
        <v>0</v>
      </c>
      <c r="N8" s="311">
        <f>VLOOKUP($K8,'Res-Capacity-Smart'!$A$82:$W$85,2+MATCH(SummaryTables!N$2,'Res-Capacity-Base'!$C$80:$W$80,0),0)*KeyAssumptions!$W$4</f>
        <v>635.47782537393005</v>
      </c>
      <c r="O8" s="297">
        <f>VLOOKUP($K8,'Res-Capacity-Smart'!$A$82:$W$85,2+MATCH(SummaryTables!N$2,'Res-Capacity-Base'!$C$80:$W$80,0),0)*KeyAssumptions!$X$4</f>
        <v>0</v>
      </c>
      <c r="P8" s="311">
        <f>VLOOKUP($K8,'Res-Capacity-Smart'!$A$82:$W$85,2+MATCH(SummaryTables!P$2,'Res-Capacity-Base'!$C$80:$W$80,0),0)*KeyAssumptions!$W$4</f>
        <v>678.35790839816991</v>
      </c>
      <c r="Q8" s="297">
        <f>VLOOKUP($K8,'Res-Capacity-Smart'!$A$82:$W$85,2+MATCH(SummaryTables!P$2,'Res-Capacity-Base'!$C$80:$W$80,0),0)*KeyAssumptions!$X$4</f>
        <v>0</v>
      </c>
      <c r="R8" s="311">
        <f>VLOOKUP($K8,'Res-Capacity-Smart'!$A$82:$W$85,2+MATCH(SummaryTables!R$2,'Res-Capacity-Base'!$C$80:$W$80,0),0)*KeyAssumptions!$W$4</f>
        <v>718.74794357982</v>
      </c>
      <c r="S8" s="232">
        <f>VLOOKUP($K8,'Res-Capacity-Smart'!$A$82:$W$85,2+MATCH(SummaryTables!R$2,'Res-Capacity-Base'!$C$80:$W$80,0),0)*KeyAssumptions!$X$4</f>
        <v>0</v>
      </c>
      <c r="U8" s="308"/>
      <c r="V8" s="265"/>
      <c r="W8" s="299"/>
      <c r="X8" s="265"/>
      <c r="Y8" s="299"/>
      <c r="Z8" s="265"/>
      <c r="AA8" s="299"/>
      <c r="AB8" s="265"/>
      <c r="AC8" s="267"/>
    </row>
    <row r="9" spans="1:29" s="70" customFormat="1">
      <c r="A9" s="306" t="str">
        <f>'Res-Capacity-Base'!A61</f>
        <v>d. Water Heating - Switch</v>
      </c>
      <c r="B9" s="311">
        <f>VLOOKUP($A9,'Res-Capacity-Base'!$A$82:$W$85,2+MATCH(SummaryTables!B$2,'Res-Capacity-Base'!$C$80:$W$80,0),0)*KeyAssumptions!$M$5</f>
        <v>21.861205497363375</v>
      </c>
      <c r="C9" s="232">
        <f>VLOOKUP($A9,'Res-Capacity-Base'!$A$82:$W$85,2+MATCH(SummaryTables!B$2,'Res-Capacity-Base'!$C$80:$W$80,0),0)*KeyAssumptions!$N$5</f>
        <v>21.861205497363375</v>
      </c>
      <c r="D9" s="311">
        <f>VLOOKUP($A9,'Res-Capacity-Base'!$A$82:$W$85,2+MATCH(SummaryTables!D$2,'Res-Capacity-Base'!$C$80:$W$80,0),0)*KeyAssumptions!$M$5</f>
        <v>470.41864995212995</v>
      </c>
      <c r="E9" s="297">
        <f>VLOOKUP($A9,'Res-Capacity-Base'!$A$82:$W$85,2+MATCH(SummaryTables!D$2,'Res-Capacity-Base'!$C$80:$W$80,0),0)*KeyAssumptions!$N$5</f>
        <v>470.41864995212995</v>
      </c>
      <c r="F9" s="311">
        <f>VLOOKUP($A9,'Res-Capacity-Base'!$A$82:$W$85,2+MATCH(SummaryTables!F$2,'Res-Capacity-Base'!$C$80:$W$80,0),0)*KeyAssumptions!$M$5</f>
        <v>502.16104907396993</v>
      </c>
      <c r="G9" s="297">
        <f>VLOOKUP($A9,'Res-Capacity-Base'!$A$82:$W$85,2+MATCH(SummaryTables!F$2,'Res-Capacity-Base'!$C$80:$W$80,0),0)*KeyAssumptions!$N$5</f>
        <v>502.16104907396993</v>
      </c>
      <c r="H9" s="311">
        <f>VLOOKUP($A9,'Res-Capacity-Base'!$A$82:$W$85,2+MATCH(SummaryTables!H$2,'Res-Capacity-Base'!$C$80:$W$80,0),0)*KeyAssumptions!$M$5</f>
        <v>532.06016602661998</v>
      </c>
      <c r="I9" s="232">
        <f>VLOOKUP($A9,'Res-Capacity-Base'!$A$82:$W$85,2+MATCH(SummaryTables!H$2,'Res-Capacity-Base'!$C$80:$W$80,0),0)*KeyAssumptions!$N$5</f>
        <v>532.06016602661998</v>
      </c>
      <c r="K9" s="306" t="str">
        <f>'Res-Capacity-Smart'!A61</f>
        <v>d. Water Heating - WH Controls</v>
      </c>
      <c r="L9" s="311">
        <f>VLOOKUP($K9,'Res-Capacity-Smart'!$A$82:$W$85,2+MATCH(SummaryTables!L$2,'Res-Capacity-Base'!$C$80:$W$80,0),0)*KeyAssumptions!$W$5</f>
        <v>2.4290228330403743</v>
      </c>
      <c r="M9" s="232">
        <f>VLOOKUP($K9,'Res-Capacity-Smart'!$A$82:$W$85,2+MATCH(SummaryTables!L$2,'Res-Capacity-Base'!$C$80:$W$80,0),0)*KeyAssumptions!$X$5</f>
        <v>2.4290228330403743</v>
      </c>
      <c r="N9" s="311">
        <f>VLOOKUP($K9,'Res-Capacity-Smart'!$A$82:$W$85,2+MATCH(SummaryTables!N$2,'Res-Capacity-Base'!$C$80:$W$80,0),0)*KeyAssumptions!$W$5</f>
        <v>52.268738883569988</v>
      </c>
      <c r="O9" s="297">
        <f>VLOOKUP($K9,'Res-Capacity-Smart'!$A$82:$W$85,2+MATCH(SummaryTables!N$2,'Res-Capacity-Base'!$C$80:$W$80,0),0)*KeyAssumptions!$X$5</f>
        <v>52.268738883569988</v>
      </c>
      <c r="P9" s="311">
        <f>VLOOKUP($K9,'Res-Capacity-Smart'!$A$82:$W$85,2+MATCH(SummaryTables!P$2,'Res-Capacity-Base'!$C$80:$W$80,0),0)*KeyAssumptions!$W$5</f>
        <v>55.795672119329978</v>
      </c>
      <c r="Q9" s="297">
        <f>VLOOKUP($K9,'Res-Capacity-Smart'!$A$82:$W$85,2+MATCH(SummaryTables!P$2,'Res-Capacity-Base'!$C$80:$W$80,0),0)*KeyAssumptions!$X$5</f>
        <v>55.795672119329978</v>
      </c>
      <c r="R9" s="311">
        <f>VLOOKUP($K9,'Res-Capacity-Smart'!$A$82:$W$85,2+MATCH(SummaryTables!R$2,'Res-Capacity-Base'!$C$80:$W$80,0),0)*KeyAssumptions!$W$5</f>
        <v>59.11779622517998</v>
      </c>
      <c r="S9" s="232">
        <f>VLOOKUP($K9,'Res-Capacity-Smart'!$A$82:$W$85,2+MATCH(SummaryTables!R$2,'Res-Capacity-Base'!$C$80:$W$80,0),0)*KeyAssumptions!$X$5</f>
        <v>59.11779622517998</v>
      </c>
      <c r="U9" s="308"/>
      <c r="V9" s="265"/>
      <c r="W9" s="299"/>
      <c r="X9" s="265"/>
      <c r="Y9" s="299"/>
      <c r="Z9" s="265"/>
      <c r="AA9" s="299"/>
      <c r="AB9" s="265"/>
      <c r="AC9" s="267"/>
    </row>
    <row r="10" spans="1:29" s="70" customFormat="1" ht="15" thickBot="1">
      <c r="A10" s="307" t="s">
        <v>340</v>
      </c>
      <c r="B10" s="312">
        <f>SUM(B6:B9)</f>
        <v>42.955351152714002</v>
      </c>
      <c r="C10" s="287">
        <f t="shared" ref="C10:I10" si="0">SUM(C6:C9)</f>
        <v>29.923048520816344</v>
      </c>
      <c r="D10" s="312">
        <f t="shared" si="0"/>
        <v>742.76628939809996</v>
      </c>
      <c r="E10" s="298">
        <f t="shared" si="0"/>
        <v>574.50553514268745</v>
      </c>
      <c r="F10" s="312">
        <f t="shared" si="0"/>
        <v>792.8858669588999</v>
      </c>
      <c r="G10" s="298">
        <f t="shared" si="0"/>
        <v>613.27139613918746</v>
      </c>
      <c r="H10" s="312">
        <f t="shared" si="0"/>
        <v>840.09499898939998</v>
      </c>
      <c r="I10" s="287">
        <f t="shared" si="0"/>
        <v>649.78612230262502</v>
      </c>
      <c r="K10" s="307" t="s">
        <v>340</v>
      </c>
      <c r="L10" s="312">
        <f>SUM(L6:L9)</f>
        <v>23.523168488390997</v>
      </c>
      <c r="M10" s="287">
        <f t="shared" ref="M10:S10" si="1">SUM(M6:M9)</f>
        <v>13.615312195726311</v>
      </c>
      <c r="N10" s="312">
        <f t="shared" si="1"/>
        <v>687.74656425750004</v>
      </c>
      <c r="O10" s="298">
        <f t="shared" si="1"/>
        <v>389.26455536974493</v>
      </c>
      <c r="P10" s="312">
        <f t="shared" si="1"/>
        <v>734.1535805174999</v>
      </c>
      <c r="Q10" s="298">
        <f t="shared" si="1"/>
        <v>415.53092657290495</v>
      </c>
      <c r="R10" s="312">
        <f t="shared" si="1"/>
        <v>777.86573980499998</v>
      </c>
      <c r="S10" s="287">
        <f t="shared" si="1"/>
        <v>440.27200872962987</v>
      </c>
      <c r="U10" s="307" t="s">
        <v>340</v>
      </c>
      <c r="V10" s="312">
        <f t="shared" ref="V10" si="2">SUM(V6:V9)</f>
        <v>3.0059157558874634E-2</v>
      </c>
      <c r="W10" s="287">
        <f>SUM(W6)</f>
        <v>3.0059157558874634E-2</v>
      </c>
      <c r="X10" s="312">
        <f t="shared" ref="X10" si="3">SUM(X6:X9)</f>
        <v>12.936512873683572</v>
      </c>
      <c r="Y10" s="298">
        <f>SUM(Y6)</f>
        <v>12.936512873683572</v>
      </c>
      <c r="Z10" s="312">
        <f t="shared" ref="Z10" si="4">SUM(Z6:Z9)</f>
        <v>13.80942884953417</v>
      </c>
      <c r="AA10" s="298">
        <f>SUM(AA6)</f>
        <v>13.80942884953417</v>
      </c>
      <c r="AB10" s="312">
        <f t="shared" ref="AB10" si="5">SUM(AB6:AB9)</f>
        <v>14.631654565732044</v>
      </c>
      <c r="AC10" s="287">
        <f>SUM(AC6)</f>
        <v>14.631654565732044</v>
      </c>
    </row>
    <row r="11" spans="1:29">
      <c r="A11" s="330"/>
      <c r="B11" s="421" t="s">
        <v>4</v>
      </c>
      <c r="C11" s="421"/>
      <c r="D11" s="421"/>
      <c r="E11" s="421"/>
      <c r="F11" s="421"/>
      <c r="G11" s="421"/>
      <c r="H11" s="421"/>
      <c r="I11" s="422"/>
      <c r="K11" s="337"/>
      <c r="L11" s="429" t="s">
        <v>4</v>
      </c>
      <c r="M11" s="429"/>
      <c r="N11" s="429"/>
      <c r="O11" s="429"/>
      <c r="P11" s="429"/>
      <c r="Q11" s="429"/>
      <c r="R11" s="429"/>
      <c r="S11" s="430"/>
      <c r="U11" s="339"/>
      <c r="V11" s="450" t="s">
        <v>4</v>
      </c>
      <c r="W11" s="450"/>
      <c r="X11" s="450"/>
      <c r="Y11" s="450"/>
      <c r="Z11" s="450"/>
      <c r="AA11" s="450"/>
      <c r="AB11" s="450"/>
      <c r="AC11" s="451"/>
    </row>
    <row r="12" spans="1:29">
      <c r="A12" s="306" t="str">
        <f>'Com-Capacity-Base'!A36</f>
        <v>a. Space Cooling, Small - Switch</v>
      </c>
      <c r="B12" s="311">
        <f>VLOOKUP($A12,'Com-Capacity-Base'!$A$56:$W$57,2+MATCH(SummaryTables!B$2,'Res-Capacity-Base'!$C$80:$W$80,0),0)*KeyAssumptions!$M$8</f>
        <v>0.63252079024993191</v>
      </c>
      <c r="C12" s="297">
        <f>VLOOKUP($A12,'Com-Capacity-Base'!$A$56:$W$57,2+MATCH(SummaryTables!B$2,'Res-Capacity-Base'!$C$80:$W$80,0),0)*KeyAssumptions!$N$8</f>
        <v>1.2650415804998638</v>
      </c>
      <c r="D12" s="311">
        <f>VLOOKUP($A12,'Com-Capacity-Base'!$A$56:$W$57,2+MATCH(SummaryTables!D$2,'Res-Capacity-Base'!$C$80:$W$80,0),0)*KeyAssumptions!$M$8</f>
        <v>8.1277350593322915</v>
      </c>
      <c r="E12" s="297">
        <f>VLOOKUP($A12,'Com-Capacity-Base'!$A$56:$W$57,2+MATCH(SummaryTables!D$2,'Res-Capacity-Base'!$C$80:$W$80,0),0)*KeyAssumptions!$N$8</f>
        <v>16.255470118664583</v>
      </c>
      <c r="F12" s="311">
        <f>VLOOKUP($A12,'Com-Capacity-Base'!$A$56:$W$57,2+MATCH(SummaryTables!F$2,'Res-Capacity-Base'!$C$80:$W$80,0),0)*KeyAssumptions!$M$8</f>
        <v>8.6657780151688968</v>
      </c>
      <c r="G12" s="297">
        <f>VLOOKUP($A12,'Com-Capacity-Base'!$A$56:$W$57,2+MATCH(SummaryTables!F$2,'Res-Capacity-Base'!$C$80:$W$80,0),0)*KeyAssumptions!$N$8</f>
        <v>17.331556030337794</v>
      </c>
      <c r="H12" s="311">
        <f>VLOOKUP($A12,'Com-Capacity-Base'!$A$56:$W$57,2+MATCH(SummaryTables!H$2,'Res-Capacity-Base'!$C$80:$W$80,0),0)*KeyAssumptions!$M$8</f>
        <v>9.1898564474723177</v>
      </c>
      <c r="I12" s="232">
        <f>VLOOKUP($A12,'Com-Capacity-Base'!$A$56:$W$57,2+MATCH(SummaryTables!H$2,'Res-Capacity-Base'!$C$80:$W$80,0),0)*KeyAssumptions!$N$8</f>
        <v>18.379712894944635</v>
      </c>
      <c r="K12" s="306" t="str">
        <f>'Com-Capacity-Smart'!A47</f>
        <v>a. Space Cooling, Small - PCT</v>
      </c>
      <c r="L12" s="311">
        <f>VLOOKUP($K12,'Com-Capacity-Smart'!$A$69:$W$71,2+MATCH(SummaryTables!L$2,'Res-Capacity-Base'!$C$80:$W$80,0),0)*KeyAssumptions!$W$8</f>
        <v>0.31626039512496595</v>
      </c>
      <c r="M12" s="297">
        <f>VLOOKUP($K12,'Com-Capacity-Smart'!$A$69:$W$71,2+MATCH(SummaryTables!L$2,'Res-Capacity-Base'!$C$80:$W$80,0),0)*KeyAssumptions!$X$8</f>
        <v>0.63252079024993191</v>
      </c>
      <c r="N12" s="311">
        <f>VLOOKUP($K12,'Com-Capacity-Smart'!$A$69:$W$71,2+MATCH(SummaryTables!N$2,'Res-Capacity-Base'!$C$80:$W$80,0),0)*KeyAssumptions!$W$8</f>
        <v>9.4823575692210049</v>
      </c>
      <c r="O12" s="297">
        <f>VLOOKUP($K12,'Com-Capacity-Smart'!$A$69:$W$71,2+MATCH(SummaryTables!N$2,'Res-Capacity-Base'!$C$80:$W$80,0),0)*KeyAssumptions!$X$8</f>
        <v>18.96471513844201</v>
      </c>
      <c r="P12" s="311">
        <f>VLOOKUP($K12,'Com-Capacity-Smart'!$A$69:$W$71,2+MATCH(SummaryTables!P$2,'Res-Capacity-Base'!$C$80:$W$80,0),0)*KeyAssumptions!$W$8</f>
        <v>10.110074351030377</v>
      </c>
      <c r="Q12" s="297">
        <f>VLOOKUP($K12,'Com-Capacity-Smart'!$A$69:$W$71,2+MATCH(SummaryTables!P$2,'Res-Capacity-Base'!$C$80:$W$80,0),0)*KeyAssumptions!$X$8</f>
        <v>20.220148702060754</v>
      </c>
      <c r="R12" s="311">
        <f>VLOOKUP($K12,'Com-Capacity-Smart'!$A$69:$W$71,2+MATCH(SummaryTables!R$2,'Res-Capacity-Base'!$C$80:$W$80,0),0)*KeyAssumptions!$W$8</f>
        <v>10.721499188717704</v>
      </c>
      <c r="S12" s="232">
        <f>VLOOKUP($K12,'Com-Capacity-Smart'!$A$69:$W$71,2+MATCH(SummaryTables!R$2,'Res-Capacity-Base'!$C$80:$W$80,0),0)*KeyAssumptions!$X$8</f>
        <v>21.442998377435408</v>
      </c>
      <c r="U12" s="306" t="str">
        <f>'Com-Balancing'!A31</f>
        <v>a. Space Cooling, Medium - AutoDR</v>
      </c>
      <c r="V12" s="311">
        <f>VLOOKUP($U12,'Com-Balancing'!$A$51:$W$52,2+MATCH(SummaryTables!V$2,'Com-Balancing'!$C$49:$W$49,0),0)*KeyAssumptions!AG9</f>
        <v>2.5159643933602201E-2</v>
      </c>
      <c r="W12" s="297">
        <f>VLOOKUP($U12,'Com-Balancing'!$A$51:$W$52,2+MATCH(SummaryTables!V$2,'Com-Balancing'!$C$49:$W$49,0),0)*KeyAssumptions!$AH$9</f>
        <v>5.0319287867204403E-2</v>
      </c>
      <c r="X12" s="311">
        <f>VLOOKUP($U12,'Com-Balancing'!$A$51:$W$52,2+MATCH(SummaryTables!X$2,'Com-Balancing'!$C$49:$W$49,0),0)*KeyAssumptions!AI9</f>
        <v>0</v>
      </c>
      <c r="Y12" s="297">
        <f>VLOOKUP($U12,'Com-Balancing'!$A$51:$W$52,2+MATCH(SummaryTables!X$2,'Com-Balancing'!$C$49:$W$49,0),0)*KeyAssumptions!$AH$9</f>
        <v>30.174216407771127</v>
      </c>
      <c r="Z12" s="311">
        <f>VLOOKUP($U12,'Com-Balancing'!$A$51:$W$52,2+MATCH(SummaryTables!Z$2,'Com-Balancing'!$C$49:$W$49,0),0)*KeyAssumptions!AK9</f>
        <v>0</v>
      </c>
      <c r="AA12" s="297">
        <f>VLOOKUP($U12,'Com-Balancing'!$A$51:$W$52,2+MATCH(SummaryTables!Z$2,'Com-Balancing'!$C$49:$W$49,0),0)*KeyAssumptions!$AH$9</f>
        <v>32.171700881314528</v>
      </c>
      <c r="AB12" s="311">
        <f>VLOOKUP($U12,'Com-Balancing'!$A$51:$W$52,2+MATCH(SummaryTables!AB$2,'Com-Balancing'!$C$49:$W$49,0),0)*KeyAssumptions!AM9</f>
        <v>0</v>
      </c>
      <c r="AC12" s="232">
        <f>VLOOKUP($U12,'Com-Balancing'!$A$51:$W$52,2+MATCH(SummaryTables!AB$2,'Com-Balancing'!$C$49:$W$49,0),0)*KeyAssumptions!$AH$9</f>
        <v>34.117342061240976</v>
      </c>
    </row>
    <row r="13" spans="1:29">
      <c r="A13" s="306" t="str">
        <f>'Com-Capacity-Base'!A37</f>
        <v>b. Space Cooling, Medium - Switch</v>
      </c>
      <c r="B13" s="311">
        <f>VLOOKUP($A13,'Com-Capacity-Base'!$A$56:$W$57,2+MATCH(SummaryTables!B$2,'Res-Capacity-Base'!$C$80:$W$80,0),0)*KeyAssumptions!$M$9</f>
        <v>1.694252116740889</v>
      </c>
      <c r="C13" s="297">
        <f>VLOOKUP($A13,'Com-Capacity-Base'!$A$56:$W$57,2+MATCH(SummaryTables!B$2,'Res-Capacity-Base'!$C$80:$W$80,0),0)*KeyAssumptions!$N$9</f>
        <v>3.3885042334817781</v>
      </c>
      <c r="D13" s="311">
        <f>VLOOKUP($A13,'Com-Capacity-Base'!$A$56:$W$57,2+MATCH(SummaryTables!D$2,'Res-Capacity-Base'!$C$80:$W$80,0),0)*KeyAssumptions!$M$9</f>
        <v>21.77071890892578</v>
      </c>
      <c r="E13" s="297">
        <f>VLOOKUP($A13,'Com-Capacity-Base'!$A$56:$W$57,2+MATCH(SummaryTables!D$2,'Res-Capacity-Base'!$C$80:$W$80,0),0)*KeyAssumptions!$N$9</f>
        <v>43.541437817851559</v>
      </c>
      <c r="F13" s="311">
        <f>VLOOKUP($A13,'Com-Capacity-Base'!$A$56:$W$57,2+MATCH(SummaryTables!F$2,'Res-Capacity-Base'!$C$80:$W$80,0),0)*KeyAssumptions!$M$9</f>
        <v>23.21190539777383</v>
      </c>
      <c r="G13" s="297">
        <f>VLOOKUP($A13,'Com-Capacity-Base'!$A$56:$W$57,2+MATCH(SummaryTables!F$2,'Res-Capacity-Base'!$C$80:$W$80,0),0)*KeyAssumptions!$N$9</f>
        <v>46.423810795547659</v>
      </c>
      <c r="H13" s="311">
        <f>VLOOKUP($A13,'Com-Capacity-Base'!$A$56:$W$57,2+MATCH(SummaryTables!H$2,'Res-Capacity-Base'!$C$80:$W$80,0),0)*KeyAssumptions!$M$9</f>
        <v>24.615686912872278</v>
      </c>
      <c r="I13" s="232">
        <f>VLOOKUP($A13,'Com-Capacity-Base'!$A$56:$W$57,2+MATCH(SummaryTables!H$2,'Res-Capacity-Base'!$C$80:$W$80,0),0)*KeyAssumptions!$N$9</f>
        <v>49.231373825744555</v>
      </c>
      <c r="K13" s="306" t="str">
        <f>'Com-Capacity-Smart'!A48</f>
        <v>b. Space Cooling, Medium - AutoDR</v>
      </c>
      <c r="L13" s="311">
        <f>VLOOKUP($K13,'Com-Capacity-Smart'!$A$69:$W$71,2+MATCH(SummaryTables!L$2,'Res-Capacity-Base'!$C$80:$W$80,0),0)*KeyAssumptions!$W$9</f>
        <v>3.3885042334817781</v>
      </c>
      <c r="M13" s="297">
        <f>VLOOKUP($K13,'Com-Capacity-Smart'!$A$69:$W$71,2+MATCH(SummaryTables!L$2,'Res-Capacity-Base'!$C$80:$W$80,0),0)*KeyAssumptions!$X$9</f>
        <v>6.7770084669635562</v>
      </c>
      <c r="N13" s="311">
        <f>VLOOKUP($K13,'Com-Capacity-Smart'!$A$69:$W$71,2+MATCH(SummaryTables!N$2,'Res-Capacity-Base'!$C$80:$W$80,0),0)*KeyAssumptions!$W$9</f>
        <v>101.59668824165364</v>
      </c>
      <c r="O13" s="297">
        <f>VLOOKUP($K13,'Com-Capacity-Smart'!$A$69:$W$71,2+MATCH(SummaryTables!N$2,'Res-Capacity-Base'!$C$80:$W$80,0),0)*KeyAssumptions!$X$9</f>
        <v>203.19337648330728</v>
      </c>
      <c r="P13" s="311">
        <f>VLOOKUP($K13,'Com-Capacity-Smart'!$A$69:$W$71,2+MATCH(SummaryTables!P$2,'Res-Capacity-Base'!$C$80:$W$80,0),0)*KeyAssumptions!$W$9</f>
        <v>108.32222518961119</v>
      </c>
      <c r="Q13" s="297">
        <f>VLOOKUP($K13,'Com-Capacity-Smart'!$A$69:$W$71,2+MATCH(SummaryTables!P$2,'Res-Capacity-Base'!$C$80:$W$80,0),0)*KeyAssumptions!$X$9</f>
        <v>216.64445037922238</v>
      </c>
      <c r="R13" s="311">
        <f>VLOOKUP($K13,'Com-Capacity-Smart'!$A$69:$W$71,2+MATCH(SummaryTables!R$2,'Res-Capacity-Base'!$C$80:$W$80,0),0)*KeyAssumptions!$W$9</f>
        <v>114.87320559340397</v>
      </c>
      <c r="S13" s="232">
        <f>VLOOKUP($K13,'Com-Capacity-Smart'!$A$69:$W$71,2+MATCH(SummaryTables!R$2,'Res-Capacity-Base'!$C$80:$W$80,0),0)*KeyAssumptions!$X$9</f>
        <v>229.74641118680793</v>
      </c>
      <c r="U13" s="306" t="str">
        <f>'Com-Balancing'!A32</f>
        <v>b. Lighting Controls - AutoDR</v>
      </c>
      <c r="V13" s="311">
        <f>VLOOKUP($U13,'Com-Balancing'!$A$51:$W$52,2+MATCH(SummaryTables!V$2,'Com-Balancing'!$C$49:$W$49,0),0)*KeyAssumptions!$AG$10</f>
        <v>5.4946348820510589E-2</v>
      </c>
      <c r="W13" s="297">
        <f>VLOOKUP($U13,'Com-Balancing'!$A$51:$W$52,2+MATCH(SummaryTables!V$2,'Com-Balancing'!$C$49:$W$49,0),0)*KeyAssumptions!$AH$10</f>
        <v>5.4946348820510589E-2</v>
      </c>
      <c r="X13" s="311">
        <f>VLOOKUP($U13,'Com-Balancing'!$A$51:$W$52,2+MATCH(SummaryTables!X$2,'Com-Balancing'!$C$49:$W$49,0),0)*KeyAssumptions!$AG$10</f>
        <v>23.534897854993901</v>
      </c>
      <c r="Y13" s="297">
        <f>VLOOKUP($U13,'Com-Balancing'!$A$51:$W$52,2+MATCH(SummaryTables!X$2,'Com-Balancing'!$C$49:$W$49,0),0)*KeyAssumptions!$AH$10</f>
        <v>23.534897854993901</v>
      </c>
      <c r="Z13" s="311">
        <f>VLOOKUP($U13,'Com-Balancing'!$A$51:$W$52,2+MATCH(SummaryTables!Z$2,'Com-Balancing'!$C$49:$W$49,0),0)*KeyAssumptions!$AG$10</f>
        <v>25.092870145524472</v>
      </c>
      <c r="AA13" s="297">
        <f>VLOOKUP($U13,'Com-Balancing'!$A$51:$W$52,2+MATCH(SummaryTables!Z$2,'Com-Balancing'!$C$49:$W$49,0),0)*KeyAssumptions!$AH$10</f>
        <v>25.092870145524472</v>
      </c>
      <c r="AB13" s="311">
        <f>VLOOKUP($U13,'Com-Balancing'!$A$51:$W$52,2+MATCH(SummaryTables!AB$2,'Com-Balancing'!$C$49:$W$49,0),0)*KeyAssumptions!$AG$10</f>
        <v>26.61040636960503</v>
      </c>
      <c r="AC13" s="232">
        <f>VLOOKUP($U13,'Com-Balancing'!$A$51:$W$52,2+MATCH(SummaryTables!AB$2,'Com-Balancing'!$C$49:$W$49,0),0)*KeyAssumptions!$AH$10</f>
        <v>26.61040636960503</v>
      </c>
    </row>
    <row r="14" spans="1:29">
      <c r="A14" s="308"/>
      <c r="B14" s="265"/>
      <c r="C14" s="299"/>
      <c r="D14" s="265"/>
      <c r="E14" s="299"/>
      <c r="F14" s="265"/>
      <c r="G14" s="299"/>
      <c r="H14" s="265"/>
      <c r="I14" s="267"/>
      <c r="K14" s="306" t="str">
        <f>'Com-Capacity-Smart'!A49</f>
        <v>c. Lighting Controls - AutoDR</v>
      </c>
      <c r="L14" s="311">
        <f>VLOOKUP($K14,'Com-Capacity-Smart'!$A$69:$W$71,2+MATCH(SummaryTables!L$2,'Res-Capacity-Base'!$C$80:$W$80,0),0)*KeyAssumptions!$W$10</f>
        <v>7.400181659328025</v>
      </c>
      <c r="M14" s="297">
        <f>VLOOKUP($K14,'Com-Capacity-Smart'!$A$69:$W$71,2+MATCH(SummaryTables!L$2,'Res-Capacity-Base'!$C$80:$W$80,0),0)*KeyAssumptions!$X$10</f>
        <v>7.400181659328025</v>
      </c>
      <c r="N14" s="311">
        <f>VLOOKUP($K14,'Com-Capacity-Smart'!$A$69:$W$71,2+MATCH(SummaryTables!N$2,'Res-Capacity-Base'!$C$80:$W$80,0),0)*KeyAssumptions!$W$10</f>
        <v>158.48416063968955</v>
      </c>
      <c r="O14" s="297">
        <f>VLOOKUP($K14,'Com-Capacity-Smart'!$A$69:$W$71,2+MATCH(SummaryTables!N$2,'Res-Capacity-Base'!$C$80:$W$80,0),0)*KeyAssumptions!$X$10</f>
        <v>158.48416063968955</v>
      </c>
      <c r="P14" s="311">
        <f>VLOOKUP($K14,'Com-Capacity-Smart'!$A$69:$W$71,2+MATCH(SummaryTables!P$2,'Res-Capacity-Base'!$C$80:$W$80,0),0)*KeyAssumptions!$W$10</f>
        <v>168.97555653551834</v>
      </c>
      <c r="Q14" s="297">
        <f>VLOOKUP($K14,'Com-Capacity-Smart'!$A$69:$W$71,2+MATCH(SummaryTables!P$2,'Res-Capacity-Base'!$C$80:$W$80,0),0)*KeyAssumptions!$X$10</f>
        <v>168.97555653551834</v>
      </c>
      <c r="R14" s="311">
        <f>VLOOKUP($K14,'Com-Capacity-Smart'!$A$69:$W$71,2+MATCH(SummaryTables!R$2,'Res-Capacity-Base'!$C$80:$W$80,0),0)*KeyAssumptions!$W$10</f>
        <v>179.19465568757599</v>
      </c>
      <c r="S14" s="232">
        <f>VLOOKUP($K14,'Com-Capacity-Smart'!$A$69:$W$71,2+MATCH(SummaryTables!R$2,'Res-Capacity-Base'!$C$80:$W$80,0),0)*KeyAssumptions!$X$10</f>
        <v>179.19465568757599</v>
      </c>
      <c r="U14" s="308"/>
      <c r="V14" s="265"/>
      <c r="W14" s="299"/>
      <c r="X14" s="265"/>
      <c r="Y14" s="299"/>
      <c r="Z14" s="265"/>
      <c r="AA14" s="299"/>
      <c r="AB14" s="265"/>
      <c r="AC14" s="267"/>
    </row>
    <row r="15" spans="1:29" s="70" customFormat="1" ht="15" thickBot="1">
      <c r="A15" s="307" t="s">
        <v>340</v>
      </c>
      <c r="B15" s="313">
        <f>SUM(B12:B13)</f>
        <v>2.3267729069908212</v>
      </c>
      <c r="C15" s="300">
        <f>SUM(C12:C13)</f>
        <v>4.6535458139816424</v>
      </c>
      <c r="D15" s="313">
        <f t="shared" ref="D15:I15" si="6">SUM(D12:D13)</f>
        <v>29.898453968258071</v>
      </c>
      <c r="E15" s="300">
        <f t="shared" si="6"/>
        <v>59.796907936516142</v>
      </c>
      <c r="F15" s="313">
        <f t="shared" si="6"/>
        <v>31.877683412942726</v>
      </c>
      <c r="G15" s="300">
        <f t="shared" si="6"/>
        <v>63.755366825885453</v>
      </c>
      <c r="H15" s="313">
        <f t="shared" si="6"/>
        <v>33.805543360344593</v>
      </c>
      <c r="I15" s="233">
        <f t="shared" si="6"/>
        <v>67.611086720689187</v>
      </c>
      <c r="K15" s="307" t="s">
        <v>340</v>
      </c>
      <c r="L15" s="313">
        <f>SUM(L12:L14)</f>
        <v>11.104946287934769</v>
      </c>
      <c r="M15" s="300">
        <f t="shared" ref="M15:S15" si="7">SUM(M12:M14)</f>
        <v>14.809710916541512</v>
      </c>
      <c r="N15" s="313">
        <f t="shared" si="7"/>
        <v>269.56320645056417</v>
      </c>
      <c r="O15" s="300">
        <f t="shared" si="7"/>
        <v>380.64225226143884</v>
      </c>
      <c r="P15" s="313">
        <f t="shared" si="7"/>
        <v>287.40785607615987</v>
      </c>
      <c r="Q15" s="300">
        <f t="shared" si="7"/>
        <v>405.84015561680144</v>
      </c>
      <c r="R15" s="313">
        <f t="shared" si="7"/>
        <v>304.78936046969767</v>
      </c>
      <c r="S15" s="233">
        <f t="shared" si="7"/>
        <v>430.38406525181932</v>
      </c>
      <c r="U15" s="307" t="s">
        <v>340</v>
      </c>
      <c r="V15" s="313">
        <f>SUM(V12:V14)</f>
        <v>8.0105992754112787E-2</v>
      </c>
      <c r="W15" s="300">
        <f>SUM(W12:W13)</f>
        <v>0.10526563668771499</v>
      </c>
      <c r="X15" s="313">
        <f t="shared" ref="X15" si="8">SUM(X12:X14)</f>
        <v>23.534897854993901</v>
      </c>
      <c r="Y15" s="300">
        <f>SUM(Y12:Y13)</f>
        <v>53.709114262765027</v>
      </c>
      <c r="Z15" s="313">
        <f t="shared" ref="Z15" si="9">SUM(Z12:Z14)</f>
        <v>25.092870145524472</v>
      </c>
      <c r="AA15" s="300">
        <f>SUM(AA12:AA13)</f>
        <v>57.264571026839</v>
      </c>
      <c r="AB15" s="313">
        <f t="shared" ref="AB15" si="10">SUM(AB12:AB14)</f>
        <v>26.61040636960503</v>
      </c>
      <c r="AC15" s="233">
        <f>SUM(AC12:AC13)</f>
        <v>60.727748430846006</v>
      </c>
    </row>
    <row r="16" spans="1:29" ht="15" thickBot="1">
      <c r="A16" s="330"/>
      <c r="B16" s="421" t="s">
        <v>319</v>
      </c>
      <c r="C16" s="421"/>
      <c r="D16" s="421"/>
      <c r="E16" s="421"/>
      <c r="F16" s="421"/>
      <c r="G16" s="421"/>
      <c r="H16" s="421"/>
      <c r="I16" s="422"/>
      <c r="K16" s="327"/>
      <c r="L16" s="429" t="s">
        <v>319</v>
      </c>
      <c r="M16" s="429"/>
      <c r="N16" s="429"/>
      <c r="O16" s="429"/>
      <c r="P16" s="429"/>
      <c r="Q16" s="429"/>
      <c r="R16" s="429"/>
      <c r="S16" s="430"/>
      <c r="U16" s="335"/>
      <c r="V16" s="450" t="s">
        <v>319</v>
      </c>
      <c r="W16" s="450"/>
      <c r="X16" s="450"/>
      <c r="Y16" s="450"/>
      <c r="Z16" s="450"/>
      <c r="AA16" s="450"/>
      <c r="AB16" s="452"/>
      <c r="AC16" s="453"/>
    </row>
    <row r="17" spans="1:29">
      <c r="A17" s="306" t="str">
        <f>'Ag-Ind-Capacity-Base'!A38</f>
        <v>a. Irrigation Pumping - Switch</v>
      </c>
      <c r="B17" s="311">
        <f>VLOOKUP($A17,'Ag-Ind-Capacity-Base'!$A$58:$W$59,2+MATCH(SummaryTables!B$2,'Res-Capacity-Base'!$C$80:$W$80,0),0)*KeyAssumptions!$M$11</f>
        <v>0.38269194329954281</v>
      </c>
      <c r="C17" s="297">
        <f>VLOOKUP($A17,'Ag-Ind-Capacity-Base'!$A$58:$W$59,2+MATCH(SummaryTables!B$2,'Res-Capacity-Base'!$C$80:$W$80,0),0)*KeyAssumptions!$N$11</f>
        <v>0.42521327033282535</v>
      </c>
      <c r="D17" s="311">
        <f>VLOOKUP($A17,'Ag-Ind-Capacity-Base'!$A$58:$W$59,2+MATCH(SummaryTables!D$2,'Res-Capacity-Base'!$C$80:$W$80,0),0)*KeyAssumptions!$M$11</f>
        <v>8.1958273741765275</v>
      </c>
      <c r="E17" s="297">
        <f>VLOOKUP($A17,'Ag-Ind-Capacity-Base'!$A$58:$W$59,2+MATCH(SummaryTables!D$2,'Res-Capacity-Base'!$C$80:$W$80,0),0)*KeyAssumptions!$N$11</f>
        <v>9.1064748601961423</v>
      </c>
      <c r="F17" s="311">
        <f>VLOOKUP($A17,'Ag-Ind-Capacity-Base'!$A$58:$W$59,2+MATCH(SummaryTables!F$2,'Res-Capacity-Base'!$C$80:$W$80,0),0)*KeyAssumptions!$M$11</f>
        <v>8.7383779314643526</v>
      </c>
      <c r="G17" s="297">
        <f>VLOOKUP($A17,'Ag-Ind-Capacity-Base'!$A$58:$W$59,2+MATCH(SummaryTables!F$2,'Res-Capacity-Base'!$C$80:$W$80,0),0)*KeyAssumptions!$N$11</f>
        <v>9.7093088127381684</v>
      </c>
      <c r="H17" s="311">
        <f>VLOOKUP($A17,'Ag-Ind-Capacity-Base'!$A$58:$W$59,2+MATCH(SummaryTables!H$2,'Res-Capacity-Base'!$C$80:$W$80,0),0)*KeyAssumptions!$M$11</f>
        <v>9.2668469736184829</v>
      </c>
      <c r="I17" s="232">
        <f>VLOOKUP($A17,'Ag-Ind-Capacity-Base'!$A$58:$W$59,2+MATCH(SummaryTables!H$2,'Res-Capacity-Base'!$C$80:$W$80,0),0)*KeyAssumptions!$N$11</f>
        <v>10.296496637353869</v>
      </c>
      <c r="K17" s="306" t="str">
        <f>'Ag-Ind-Capacity-Smart'!A60</f>
        <v>a. Irrigation Pumping - AutoDR</v>
      </c>
      <c r="L17" s="311">
        <f>VLOOKUP($K17,'Ag-Ind-Capacity-Smart'!$A$84:$W$87,2+MATCH(SummaryTables!L$2,'Res-Capacity-Base'!$C$80:$W$80,0),0)*KeyAssumptions!$W$11</f>
        <v>0.19134597164977141</v>
      </c>
      <c r="M17" s="297">
        <f>VLOOKUP($K17,'Ag-Ind-Capacity-Smart'!$A$84:$W$87,2+MATCH(SummaryTables!L$2,'Res-Capacity-Base'!$C$80:$W$80,0),0)*KeyAssumptions!$X$11</f>
        <v>0.21260663516641268</v>
      </c>
      <c r="N17" s="311">
        <f>VLOOKUP($K17,'Ag-Ind-Capacity-Smart'!$A$84:$W$87,2+MATCH(SummaryTables!N$2,'Res-Capacity-Base'!$C$80:$W$80,0),0)*KeyAssumptions!$W$11</f>
        <v>4.0979136870882638</v>
      </c>
      <c r="O17" s="297">
        <f>VLOOKUP($K17,'Ag-Ind-Capacity-Smart'!$A$84:$W$87,2+MATCH(SummaryTables!N$2,'Res-Capacity-Base'!$C$80:$W$80,0),0)*KeyAssumptions!$X$11</f>
        <v>4.5532374300980711</v>
      </c>
      <c r="P17" s="311">
        <f>VLOOKUP($K17,'Ag-Ind-Capacity-Smart'!$A$84:$W$87,2+MATCH(SummaryTables!P$2,'Res-Capacity-Base'!$C$80:$W$80,0),0)*KeyAssumptions!$W$11</f>
        <v>4.3691889657321763</v>
      </c>
      <c r="Q17" s="297">
        <f>VLOOKUP($K17,'Ag-Ind-Capacity-Smart'!$A$84:$W$87,2+MATCH(SummaryTables!P$2,'Res-Capacity-Base'!$C$80:$W$80,0),0)*KeyAssumptions!$X$11</f>
        <v>4.8546544063690842</v>
      </c>
      <c r="R17" s="311">
        <f>VLOOKUP($K17,'Ag-Ind-Capacity-Smart'!$A$84:$W$87,2+MATCH(SummaryTables!R$2,'Res-Capacity-Base'!$C$80:$W$80,0),0)*KeyAssumptions!$W$11</f>
        <v>4.6334234868092414</v>
      </c>
      <c r="S17" s="232">
        <f>VLOOKUP($K17,'Ag-Ind-Capacity-Smart'!$A$84:$W$87,2+MATCH(SummaryTables!R$2,'Res-Capacity-Base'!$C$80:$W$80,0),0)*KeyAssumptions!$X$11</f>
        <v>5.1482483186769343</v>
      </c>
      <c r="U17" s="306" t="str">
        <f>'Ag-Ind-Balancing'!A53</f>
        <v>a. Irrigation Pumping - AutoDR</v>
      </c>
      <c r="V17" s="311">
        <f>VLOOKUP($U17,'Ag-Ind-Balancing'!$A$77:$W$80,2+MATCH(SummaryTables!V$2,'Ag-Ind-Balancing'!$C$75:$W$75,0),0)*KeyAssumptions!$AG$11</f>
        <v>1.8943251193327374E-3</v>
      </c>
      <c r="W17" s="297">
        <f>VLOOKUP($U17,'Ag-Ind-Balancing'!$A$77:$W$80,2+MATCH(SummaryTables!V$2,'Ag-Ind-Balancing'!$C$75:$W$75,0),0)*KeyAssumptions!$AH$11</f>
        <v>2.104805688147486E-3</v>
      </c>
      <c r="X17" s="311">
        <f>VLOOKUP($U17,'Ag-Ind-Balancing'!$A$77:$W$80,2+MATCH(SummaryTables!X$2,'Ag-Ind-Balancing'!$C$75:$W$75,0),0)*KeyAssumptions!$AG$11</f>
        <v>0.81138691004347629</v>
      </c>
      <c r="Y17" s="297">
        <f>VLOOKUP($U17,'Ag-Ind-Balancing'!$A$77:$W$80,2+MATCH(SummaryTables!X$2,'Ag-Ind-Balancing'!$C$75:$W$75,0),0)*KeyAssumptions!$AH$11</f>
        <v>0.90154101115941809</v>
      </c>
      <c r="Z17" s="311">
        <f>VLOOKUP($U17,'Ag-Ind-Balancing'!$A$77:$W$80,2+MATCH(SummaryTables!Z$2,'Ag-Ind-Balancing'!$C$75:$W$75,0),0)*KeyAssumptions!$AG$11</f>
        <v>0.86509941521497091</v>
      </c>
      <c r="AA17" s="297">
        <f>VLOOKUP($U17,'Ag-Ind-Balancing'!$A$77:$W$80,2+MATCH(SummaryTables!Z$2,'Ag-Ind-Balancing'!$C$75:$W$75,0),0)*KeyAssumptions!$AH$11</f>
        <v>0.96122157246107875</v>
      </c>
      <c r="AB17" s="310">
        <f>VLOOKUP($U17,'Ag-Ind-Balancing'!$A$77:$W$80,2+MATCH(SummaryTables!AB$2,'Ag-Ind-Balancing'!$C$75:$W$75,0),0)*KeyAssumptions!$AG$11</f>
        <v>0.91741785038822965</v>
      </c>
      <c r="AC17" s="269">
        <f>VLOOKUP($U17,'Ag-Ind-Balancing'!$A$77:$W$80,2+MATCH(SummaryTables!AB$2,'Ag-Ind-Balancing'!$C$75:$W$75,0),0)*KeyAssumptions!$AH$11</f>
        <v>1.0193531670980329</v>
      </c>
    </row>
    <row r="18" spans="1:29">
      <c r="A18" s="306" t="str">
        <f>'Ag-Ind-Capacity-Base'!A39</f>
        <v>b. Curtailable/Interruptible Tariff</v>
      </c>
      <c r="B18" s="311">
        <f>VLOOKUP($A18,'Ag-Ind-Capacity-Base'!$A$59:$W$59,2+MATCH(SummaryTables!B$2,'Res-Capacity-Base'!$C$80:$W$80,0),0)*KeyAssumptions!$M$12</f>
        <v>24.095418652193427</v>
      </c>
      <c r="C18" s="297">
        <f>VLOOKUP($A18,'Ag-Ind-Capacity-Base'!$A$59:$W$59,2+MATCH(SummaryTables!B$2,'Res-Capacity-Base'!$C$80:$W$80,0),0)*KeyAssumptions!$N$12</f>
        <v>24.095418652193427</v>
      </c>
      <c r="D18" s="311">
        <f>VLOOKUP($A18,'Ag-Ind-Capacity-Base'!$A$59:$W$59,2+MATCH(SummaryTables!D$2,'Res-Capacity-Base'!$C$80:$W$80,0),0)*KeyAssumptions!$M$12</f>
        <v>516.03357541111473</v>
      </c>
      <c r="E18" s="297">
        <f>VLOOKUP($A18,'Ag-Ind-Capacity-Base'!$A$59:$W$59,2+MATCH(SummaryTables!D$2,'Res-Capacity-Base'!$C$80:$W$80,0),0)*KeyAssumptions!$N$12</f>
        <v>516.03357541111473</v>
      </c>
      <c r="F18" s="311">
        <f>VLOOKUP($A18,'Ag-Ind-Capacity-Base'!$A$59:$W$59,2+MATCH(SummaryTables!F$2,'Res-Capacity-Base'!$C$80:$W$80,0),0)*KeyAssumptions!$M$12</f>
        <v>550.19416605516278</v>
      </c>
      <c r="G18" s="297">
        <f>VLOOKUP($A18,'Ag-Ind-Capacity-Base'!$A$59:$W$59,2+MATCH(SummaryTables!F$2,'Res-Capacity-Base'!$C$80:$W$80,0),0)*KeyAssumptions!$N$12</f>
        <v>550.19416605516278</v>
      </c>
      <c r="H18" s="311">
        <f>VLOOKUP($A18,'Ag-Ind-Capacity-Base'!$A$59:$W$59,2+MATCH(SummaryTables!H$2,'Res-Capacity-Base'!$C$80:$W$80,0),0)*KeyAssumptions!$M$12</f>
        <v>583.46814278338582</v>
      </c>
      <c r="I18" s="232">
        <f>VLOOKUP($A18,'Ag-Ind-Capacity-Base'!$A$59:$W$59,2+MATCH(SummaryTables!H$2,'Res-Capacity-Base'!$C$80:$W$80,0),0)*KeyAssumptions!$N$12</f>
        <v>583.46814278338582</v>
      </c>
      <c r="K18" s="306" t="str">
        <f>'Ag-Ind-Capacity-Smart'!A61</f>
        <v>b. Curtailable/Interruptible - AutoDR</v>
      </c>
      <c r="L18" s="311">
        <f>VLOOKUP($K18,'Ag-Ind-Capacity-Smart'!$A$84:$W$87,2+MATCH(SummaryTables!L$2,'Res-Capacity-Base'!$C$80:$W$80,0),0)*KeyAssumptions!$W$12</f>
        <v>24.095418652193427</v>
      </c>
      <c r="M18" s="297">
        <f>VLOOKUP($K18,'Ag-Ind-Capacity-Smart'!$A$84:$W$87,2+MATCH(SummaryTables!L$2,'Res-Capacity-Base'!$C$80:$W$80,0),0)*KeyAssumptions!$X$12</f>
        <v>24.095418652193427</v>
      </c>
      <c r="N18" s="311">
        <f>VLOOKUP($K18,'Ag-Ind-Capacity-Smart'!$A$84:$W$87,2+MATCH(SummaryTables!N$2,'Res-Capacity-Base'!$C$80:$W$80,0),0)*KeyAssumptions!$W$12</f>
        <v>516.03357541111473</v>
      </c>
      <c r="O18" s="297">
        <f>VLOOKUP($K18,'Ag-Ind-Capacity-Smart'!$A$84:$W$87,2+MATCH(SummaryTables!N$2,'Res-Capacity-Base'!$C$80:$W$80,0),0)*KeyAssumptions!$X$12</f>
        <v>516.03357541111473</v>
      </c>
      <c r="P18" s="311">
        <f>VLOOKUP($K18,'Ag-Ind-Capacity-Smart'!$A$84:$W$87,2+MATCH(SummaryTables!P$2,'Res-Capacity-Base'!$C$80:$W$80,0),0)*KeyAssumptions!$W$12</f>
        <v>550.19416605516278</v>
      </c>
      <c r="Q18" s="297">
        <f>VLOOKUP($K18,'Ag-Ind-Capacity-Smart'!$A$84:$W$87,2+MATCH(SummaryTables!P$2,'Res-Capacity-Base'!$C$80:$W$80,0),0)*KeyAssumptions!$X$12</f>
        <v>550.19416605516278</v>
      </c>
      <c r="R18" s="311">
        <f>VLOOKUP($K18,'Ag-Ind-Capacity-Smart'!$A$84:$W$87,2+MATCH(SummaryTables!R$2,'Res-Capacity-Base'!$C$80:$W$80,0),0)*KeyAssumptions!$W$12</f>
        <v>583.46814278338582</v>
      </c>
      <c r="S18" s="232">
        <f>VLOOKUP($K18,'Ag-Ind-Capacity-Smart'!$A$84:$W$87,2+MATCH(SummaryTables!R$2,'Res-Capacity-Base'!$C$80:$W$80,0),0)*KeyAssumptions!$X$12</f>
        <v>583.46814278338582</v>
      </c>
      <c r="U18" s="306" t="str">
        <f>'Ag-Ind-Balancing'!A54</f>
        <v>b. Curtailable/Interruptible - AutoDR</v>
      </c>
      <c r="V18" s="311">
        <f>VLOOKUP($U18,'Ag-Ind-Balancing'!$A$77:$W$80,2+MATCH(SummaryTables!V$2,'Ag-Ind-Balancing'!$C$75:$W$75,0),0)*KeyAssumptions!$AG$12</f>
        <v>0.29818080582089374</v>
      </c>
      <c r="W18" s="297">
        <f>VLOOKUP($U18,'Ag-Ind-Balancing'!$A$77:$W$80,2+MATCH(SummaryTables!V$2,'Ag-Ind-Balancing'!$C$75:$W$75,0),0)*KeyAssumptions!$AH$12</f>
        <v>0.29818080582089374</v>
      </c>
      <c r="X18" s="311">
        <f>VLOOKUP($U18,'Ag-Ind-Balancing'!$A$77:$W$80,2+MATCH(SummaryTables!X$2,'Ag-Ind-Balancing'!$C$75:$W$75,0),0)*KeyAssumptions!$AG$12</f>
        <v>127.7183099142509</v>
      </c>
      <c r="Y18" s="297">
        <f>VLOOKUP($U18,'Ag-Ind-Balancing'!$A$77:$W$80,2+MATCH(SummaryTables!X$2,'Ag-Ind-Balancing'!$C$75:$W$75,0),0)*KeyAssumptions!$AH$12</f>
        <v>127.7183099142509</v>
      </c>
      <c r="Z18" s="311">
        <f>VLOOKUP($U18,'Ag-Ind-Balancing'!$A$77:$W$80,2+MATCH(SummaryTables!Z$2,'Ag-Ind-Balancing'!$C$75:$W$75,0),0)*KeyAssumptions!$AG$12</f>
        <v>136.17305609865278</v>
      </c>
      <c r="AA18" s="297">
        <f>VLOOKUP($U18,'Ag-Ind-Balancing'!$A$77:$W$80,2+MATCH(SummaryTables!Z$2,'Ag-Ind-Balancing'!$C$75:$W$75,0),0)*KeyAssumptions!$AH$12</f>
        <v>136.17305609865278</v>
      </c>
      <c r="AB18" s="311">
        <f>VLOOKUP($U18,'Ag-Ind-Balancing'!$A$77:$W$80,2+MATCH(SummaryTables!AB$2,'Ag-Ind-Balancing'!$C$75:$W$75,0),0)*KeyAssumptions!$AG$12</f>
        <v>144.40836533888799</v>
      </c>
      <c r="AC18" s="232">
        <f>VLOOKUP($U18,'Ag-Ind-Balancing'!$A$77:$W$80,2+MATCH(SummaryTables!AB$2,'Ag-Ind-Balancing'!$C$75:$W$75,0),0)*KeyAssumptions!$AH$12</f>
        <v>144.40836533888799</v>
      </c>
    </row>
    <row r="19" spans="1:29">
      <c r="A19" s="308"/>
      <c r="B19" s="314"/>
      <c r="C19" s="301"/>
      <c r="D19" s="314"/>
      <c r="E19" s="301"/>
      <c r="F19" s="314"/>
      <c r="G19" s="301"/>
      <c r="H19" s="314"/>
      <c r="I19" s="266"/>
      <c r="K19" s="306" t="str">
        <f>'Ag-Ind-Capacity-Smart'!A62</f>
        <v>c. Load Aggregator - AutoDR</v>
      </c>
      <c r="L19" s="311">
        <f>VLOOKUP($K19,'Ag-Ind-Capacity-Smart'!$A$84:$W$87,2+MATCH(SummaryTables!L$2,'Res-Capacity-Base'!$C$80:$W$80,0),0)*KeyAssumptions!$W$13</f>
        <v>6.0238546630483567</v>
      </c>
      <c r="M19" s="297">
        <f>VLOOKUP($K19,'Ag-Ind-Capacity-Smart'!$A$84:$W$87,2+MATCH(SummaryTables!L$2,'Res-Capacity-Base'!$C$80:$W$80,0),0)*KeyAssumptions!$X$13</f>
        <v>6.0238546630483567</v>
      </c>
      <c r="N19" s="311">
        <f>VLOOKUP($K19,'Ag-Ind-Capacity-Smart'!$A$84:$W$87,2+MATCH(SummaryTables!N$2,'Res-Capacity-Base'!$C$80:$W$80,0),0)*KeyAssumptions!$W$13</f>
        <v>129.00839385277868</v>
      </c>
      <c r="O19" s="297">
        <f>VLOOKUP($K19,'Ag-Ind-Capacity-Smart'!$A$84:$W$87,2+MATCH(SummaryTables!N$2,'Res-Capacity-Base'!$C$80:$W$80,0),0)*KeyAssumptions!$X$13</f>
        <v>129.00839385277868</v>
      </c>
      <c r="P19" s="311">
        <f>VLOOKUP($K19,'Ag-Ind-Capacity-Smart'!$A$84:$W$87,2+MATCH(SummaryTables!P$2,'Res-Capacity-Base'!$C$80:$W$80,0),0)*KeyAssumptions!$W$13</f>
        <v>137.5485415137907</v>
      </c>
      <c r="Q19" s="297">
        <f>VLOOKUP($K19,'Ag-Ind-Capacity-Smart'!$A$84:$W$87,2+MATCH(SummaryTables!P$2,'Res-Capacity-Base'!$C$80:$W$80,0),0)*KeyAssumptions!$X$13</f>
        <v>137.5485415137907</v>
      </c>
      <c r="R19" s="311">
        <f>VLOOKUP($K19,'Ag-Ind-Capacity-Smart'!$A$84:$W$87,2+MATCH(SummaryTables!R$2,'Res-Capacity-Base'!$C$80:$W$80,0),0)*KeyAssumptions!$W$13</f>
        <v>145.86703569584648</v>
      </c>
      <c r="S19" s="232">
        <f>VLOOKUP($K19,'Ag-Ind-Capacity-Smart'!$A$84:$W$87,2+MATCH(SummaryTables!R$2,'Res-Capacity-Base'!$C$80:$W$80,0),0)*KeyAssumptions!$X$13</f>
        <v>145.86703569584648</v>
      </c>
      <c r="U19" s="306" t="str">
        <f>'Ag-Ind-Balancing'!A55</f>
        <v>c. Load Aggregator - AutoDR</v>
      </c>
      <c r="V19" s="311">
        <f>VLOOKUP($U19,'Ag-Ind-Balancing'!$A$77:$W$80,2+MATCH(SummaryTables!V$2,'Ag-Ind-Balancing'!$C$75:$W$75,0),0)*KeyAssumptions!$AG$13</f>
        <v>7.4545201455223434E-2</v>
      </c>
      <c r="W19" s="297">
        <f>VLOOKUP($U19,'Ag-Ind-Balancing'!$A$77:$W$80,2+MATCH(SummaryTables!V$2,'Ag-Ind-Balancing'!$C$75:$W$75,0),0)*KeyAssumptions!$AH$13</f>
        <v>7.4545201455223434E-2</v>
      </c>
      <c r="X19" s="311">
        <f>VLOOKUP($U19,'Ag-Ind-Balancing'!$A$77:$W$80,2+MATCH(SummaryTables!X$2,'Ag-Ind-Balancing'!$C$75:$W$75,0),0)*KeyAssumptions!$AG$13</f>
        <v>31.929577478562727</v>
      </c>
      <c r="Y19" s="297">
        <f>VLOOKUP($U19,'Ag-Ind-Balancing'!$A$77:$W$80,2+MATCH(SummaryTables!X$2,'Ag-Ind-Balancing'!$C$75:$W$75,0),0)*KeyAssumptions!$AH$13</f>
        <v>31.929577478562727</v>
      </c>
      <c r="Z19" s="311">
        <f>VLOOKUP($U19,'Ag-Ind-Balancing'!$A$77:$W$80,2+MATCH(SummaryTables!Z$2,'Ag-Ind-Balancing'!$C$75:$W$75,0),0)*KeyAssumptions!$AG$13</f>
        <v>34.043264024663195</v>
      </c>
      <c r="AA19" s="297">
        <f>VLOOKUP($U19,'Ag-Ind-Balancing'!$A$77:$W$80,2+MATCH(SummaryTables!Z$2,'Ag-Ind-Balancing'!$C$75:$W$75,0),0)*KeyAssumptions!$AH$13</f>
        <v>34.043264024663195</v>
      </c>
      <c r="AB19" s="311">
        <f>VLOOKUP($U19,'Ag-Ind-Balancing'!$A$77:$W$80,2+MATCH(SummaryTables!AB$2,'Ag-Ind-Balancing'!$C$75:$W$75,0),0)*KeyAssumptions!$AG$13</f>
        <v>36.102091334722004</v>
      </c>
      <c r="AC19" s="232">
        <f>VLOOKUP($U19,'Ag-Ind-Balancing'!$A$77:$W$80,2+MATCH(SummaryTables!AB$2,'Ag-Ind-Balancing'!$C$75:$W$75,0),0)*KeyAssumptions!$AH$13</f>
        <v>36.102091334722004</v>
      </c>
    </row>
    <row r="20" spans="1:29" s="70" customFormat="1">
      <c r="A20" s="308"/>
      <c r="B20" s="265"/>
      <c r="C20" s="299"/>
      <c r="D20" s="265"/>
      <c r="E20" s="299"/>
      <c r="F20" s="265"/>
      <c r="G20" s="299"/>
      <c r="H20" s="265"/>
      <c r="I20" s="267"/>
      <c r="K20" s="306" t="str">
        <f>'Ag-Ind-Capacity-Smart'!A63</f>
        <v>d. Refrigerated Warehouses - Controls</v>
      </c>
      <c r="L20" s="311">
        <f>VLOOKUP($K20,'Ag-Ind-Capacity-Smart'!$A$84:$W$87,2+MATCH(SummaryTables!L$2,'Res-Capacity-Base'!$C$80:$W$80,0),0)*KeyAssumptions!$W$14</f>
        <v>10.842938393487042</v>
      </c>
      <c r="M20" s="297">
        <f>VLOOKUP($K20,'Ag-Ind-Capacity-Smart'!$A$84:$W$87,2+MATCH(SummaryTables!L$2,'Res-Capacity-Base'!$C$80:$W$80,0),0)*KeyAssumptions!$X$14</f>
        <v>12.047709326096713</v>
      </c>
      <c r="N20" s="311">
        <f>VLOOKUP($K20,'Ag-Ind-Capacity-Smart'!$A$84:$W$87,2+MATCH(SummaryTables!N$2,'Res-Capacity-Base'!$C$80:$W$80,0),0)*KeyAssumptions!$W$14</f>
        <v>232.21510893500164</v>
      </c>
      <c r="O20" s="297">
        <f>VLOOKUP($K20,'Ag-Ind-Capacity-Smart'!$A$84:$W$87,2+MATCH(SummaryTables!N$2,'Res-Capacity-Base'!$C$80:$W$80,0),0)*KeyAssumptions!$X$14</f>
        <v>258.01678770555736</v>
      </c>
      <c r="P20" s="311">
        <f>VLOOKUP($K20,'Ag-Ind-Capacity-Smart'!$A$84:$W$87,2+MATCH(SummaryTables!P$2,'Res-Capacity-Base'!$C$80:$W$80,0),0)*KeyAssumptions!$W$14</f>
        <v>247.58737472482326</v>
      </c>
      <c r="Q20" s="297">
        <f>VLOOKUP($K20,'Ag-Ind-Capacity-Smart'!$A$84:$W$87,2+MATCH(SummaryTables!P$2,'Res-Capacity-Base'!$C$80:$W$80,0),0)*KeyAssumptions!$X$14</f>
        <v>275.09708302758139</v>
      </c>
      <c r="R20" s="311">
        <f>VLOOKUP($K20,'Ag-Ind-Capacity-Smart'!$A$84:$W$87,2+MATCH(SummaryTables!R$2,'Res-Capacity-Base'!$C$80:$W$80,0),0)*KeyAssumptions!$W$14</f>
        <v>262.56066425252362</v>
      </c>
      <c r="S20" s="232">
        <f>VLOOKUP($K20,'Ag-Ind-Capacity-Smart'!$A$84:$W$87,2+MATCH(SummaryTables!R$2,'Res-Capacity-Base'!$C$80:$W$80,0),0)*KeyAssumptions!$X$14</f>
        <v>291.73407139169291</v>
      </c>
      <c r="U20" s="306" t="str">
        <f>'Ag-Ind-Balancing'!A56</f>
        <v>d. Refrigerated Warehouses - Controls</v>
      </c>
      <c r="V20" s="311">
        <f>VLOOKUP($U20,'Ag-Ind-Balancing'!$A$77:$W$80,2+MATCH(SummaryTables!V$2,'Ag-Ind-Balancing'!$C$75:$W$75,0),0)*KeyAssumptions!$AG$14</f>
        <v>0.10734509009552175</v>
      </c>
      <c r="W20" s="297">
        <f>VLOOKUP($U20,'Ag-Ind-Balancing'!$A$77:$W$80,2+MATCH(SummaryTables!V$2,'Ag-Ind-Balancing'!$C$75:$W$75,0),0)*KeyAssumptions!$AH$14</f>
        <v>0.11927232232835749</v>
      </c>
      <c r="X20" s="311">
        <f>VLOOKUP($U20,'Ag-Ind-Balancing'!$A$77:$W$80,2+MATCH(SummaryTables!X$2,'Ag-Ind-Balancing'!$C$75:$W$75,0),0)*KeyAssumptions!$AG$14</f>
        <v>45.97859156913033</v>
      </c>
      <c r="Y20" s="297">
        <f>VLOOKUP($U20,'Ag-Ind-Balancing'!$A$77:$W$80,2+MATCH(SummaryTables!X$2,'Ag-Ind-Balancing'!$C$75:$W$75,0),0)*KeyAssumptions!$AH$14</f>
        <v>51.087323965700364</v>
      </c>
      <c r="Z20" s="311">
        <f>VLOOKUP($U20,'Ag-Ind-Balancing'!$A$77:$W$80,2+MATCH(SummaryTables!Z$2,'Ag-Ind-Balancing'!$C$75:$W$75,0),0)*KeyAssumptions!$AG$14</f>
        <v>49.022300195514994</v>
      </c>
      <c r="AA20" s="297">
        <f>VLOOKUP($U20,'Ag-Ind-Balancing'!$A$77:$W$80,2+MATCH(SummaryTables!Z$2,'Ag-Ind-Balancing'!$C$75:$W$75,0),0)*KeyAssumptions!$AH$14</f>
        <v>54.469222439461106</v>
      </c>
      <c r="AB20" s="311">
        <f>VLOOKUP($U20,'Ag-Ind-Balancing'!$A$77:$W$80,2+MATCH(SummaryTables!AB$2,'Ag-Ind-Balancing'!$C$75:$W$75,0),0)*KeyAssumptions!$AG$14</f>
        <v>51.987011521999683</v>
      </c>
      <c r="AC20" s="232">
        <f>VLOOKUP($U20,'Ag-Ind-Balancing'!$A$77:$W$80,2+MATCH(SummaryTables!AB$2,'Ag-Ind-Balancing'!$C$75:$W$75,0),0)*KeyAssumptions!$AH$14</f>
        <v>57.763346135555203</v>
      </c>
    </row>
    <row r="21" spans="1:29" s="70" customFormat="1" ht="15" thickBot="1">
      <c r="A21" s="307" t="s">
        <v>340</v>
      </c>
      <c r="B21" s="313">
        <f>SUM(B17:B18)</f>
        <v>24.478110595492971</v>
      </c>
      <c r="C21" s="300">
        <f t="shared" ref="C21:I21" si="11">SUM(C17:C18)</f>
        <v>24.520631922526253</v>
      </c>
      <c r="D21" s="313">
        <f t="shared" si="11"/>
        <v>524.2294027852912</v>
      </c>
      <c r="E21" s="300">
        <f t="shared" si="11"/>
        <v>525.14005027131088</v>
      </c>
      <c r="F21" s="313">
        <f t="shared" si="11"/>
        <v>558.93254398662714</v>
      </c>
      <c r="G21" s="300">
        <f t="shared" si="11"/>
        <v>559.90347486790097</v>
      </c>
      <c r="H21" s="313">
        <f t="shared" si="11"/>
        <v>592.73498975700431</v>
      </c>
      <c r="I21" s="233">
        <f t="shared" si="11"/>
        <v>593.76463942073974</v>
      </c>
      <c r="K21" s="307" t="s">
        <v>340</v>
      </c>
      <c r="L21" s="313">
        <f>SUM(L17:L20)</f>
        <v>41.153557680378597</v>
      </c>
      <c r="M21" s="300">
        <f t="shared" ref="M21:S21" si="12">SUM(M17:M20)</f>
        <v>42.379589276504909</v>
      </c>
      <c r="N21" s="313">
        <f t="shared" si="12"/>
        <v>881.35499188598328</v>
      </c>
      <c r="O21" s="300">
        <f t="shared" si="12"/>
        <v>907.61199439954885</v>
      </c>
      <c r="P21" s="313">
        <f t="shared" si="12"/>
        <v>939.69927125950892</v>
      </c>
      <c r="Q21" s="300">
        <f t="shared" si="12"/>
        <v>967.69444500290388</v>
      </c>
      <c r="R21" s="313">
        <f t="shared" si="12"/>
        <v>996.529266218565</v>
      </c>
      <c r="S21" s="233">
        <f t="shared" si="12"/>
        <v>1026.2174981896021</v>
      </c>
      <c r="U21" s="307" t="s">
        <v>340</v>
      </c>
      <c r="V21" s="313">
        <f t="shared" ref="V21:AC21" si="13">SUM(V17:V20)</f>
        <v>0.48196542249097163</v>
      </c>
      <c r="W21" s="300">
        <f t="shared" si="13"/>
        <v>0.49410313529262212</v>
      </c>
      <c r="X21" s="313">
        <f t="shared" si="13"/>
        <v>206.43786587198741</v>
      </c>
      <c r="Y21" s="300">
        <f t="shared" si="13"/>
        <v>211.63675236967339</v>
      </c>
      <c r="Z21" s="313">
        <f t="shared" si="13"/>
        <v>220.10371973404594</v>
      </c>
      <c r="AA21" s="300">
        <f t="shared" si="13"/>
        <v>225.64676413523816</v>
      </c>
      <c r="AB21" s="313">
        <f t="shared" si="13"/>
        <v>233.41488604599792</v>
      </c>
      <c r="AC21" s="233">
        <f t="shared" si="13"/>
        <v>239.29315597626322</v>
      </c>
    </row>
    <row r="22" spans="1:29" s="70" customFormat="1" ht="15" thickBot="1">
      <c r="A22" s="309" t="s">
        <v>270</v>
      </c>
      <c r="B22" s="320">
        <f>SUM(B10,B15,B21)</f>
        <v>69.760234655197792</v>
      </c>
      <c r="C22" s="321">
        <f t="shared" ref="C22:I22" si="14">SUM(C10,C15,C21)</f>
        <v>59.097226257324238</v>
      </c>
      <c r="D22" s="320">
        <f t="shared" si="14"/>
        <v>1296.8941461516492</v>
      </c>
      <c r="E22" s="321">
        <f t="shared" si="14"/>
        <v>1159.4424933505145</v>
      </c>
      <c r="F22" s="320">
        <f t="shared" si="14"/>
        <v>1383.6960943584697</v>
      </c>
      <c r="G22" s="321">
        <f t="shared" si="14"/>
        <v>1236.9302378329739</v>
      </c>
      <c r="H22" s="320">
        <f t="shared" si="14"/>
        <v>1466.635532106749</v>
      </c>
      <c r="I22" s="268">
        <f t="shared" si="14"/>
        <v>1311.1618484440539</v>
      </c>
      <c r="K22" s="309" t="s">
        <v>270</v>
      </c>
      <c r="L22" s="320">
        <f>SUM(L10,L15,L21)</f>
        <v>75.781672456704371</v>
      </c>
      <c r="M22" s="321">
        <f t="shared" ref="M22:S22" si="15">SUM(M10,M15,M21)</f>
        <v>70.804612388772739</v>
      </c>
      <c r="N22" s="320">
        <f t="shared" si="15"/>
        <v>1838.6647625940475</v>
      </c>
      <c r="O22" s="321">
        <f t="shared" si="15"/>
        <v>1677.5188020307326</v>
      </c>
      <c r="P22" s="320">
        <f t="shared" si="15"/>
        <v>1961.2607078531687</v>
      </c>
      <c r="Q22" s="321">
        <f t="shared" si="15"/>
        <v>1789.0655271926103</v>
      </c>
      <c r="R22" s="320">
        <f t="shared" si="15"/>
        <v>2079.1843664932626</v>
      </c>
      <c r="S22" s="268">
        <f t="shared" si="15"/>
        <v>1896.8735721710514</v>
      </c>
      <c r="U22" s="309" t="s">
        <v>270</v>
      </c>
      <c r="V22" s="320">
        <f>SUM(V10,V15,V21)</f>
        <v>0.59213057280395909</v>
      </c>
      <c r="W22" s="321">
        <f t="shared" ref="W22" si="16">SUM(W10,W15,W21)</f>
        <v>0.62942792953921178</v>
      </c>
      <c r="X22" s="320">
        <f t="shared" ref="X22" si="17">SUM(X10,X15,X21)</f>
        <v>242.9092766006649</v>
      </c>
      <c r="Y22" s="321">
        <f t="shared" ref="Y22" si="18">SUM(Y10,Y15,Y21)</f>
        <v>278.28237950612197</v>
      </c>
      <c r="Z22" s="320">
        <f t="shared" ref="Z22" si="19">SUM(Z10,Z15,Z21)</f>
        <v>259.0060187291046</v>
      </c>
      <c r="AA22" s="321">
        <f t="shared" ref="AA22" si="20">SUM(AA10,AA15,AA21)</f>
        <v>296.72076401161132</v>
      </c>
      <c r="AB22" s="320">
        <f t="shared" ref="AB22" si="21">SUM(AB10,AB15,AB21)</f>
        <v>274.65694698133501</v>
      </c>
      <c r="AC22" s="268">
        <f t="shared" ref="AC22" si="22">SUM(AC10,AC15,AC21)</f>
        <v>314.65255897284129</v>
      </c>
    </row>
    <row r="23" spans="1:29" s="70" customFormat="1" ht="15" thickBot="1">
      <c r="A23" s="231"/>
      <c r="B23" s="231"/>
      <c r="C23" s="231"/>
      <c r="D23" s="231"/>
      <c r="E23" s="231"/>
      <c r="F23" s="231"/>
      <c r="G23" s="231"/>
      <c r="H23" s="231"/>
      <c r="I23" s="231"/>
      <c r="K23" s="231"/>
      <c r="L23" s="231"/>
      <c r="M23" s="231"/>
      <c r="N23" s="231"/>
      <c r="O23" s="231"/>
      <c r="P23" s="231"/>
      <c r="Q23" s="231"/>
      <c r="R23" s="231"/>
      <c r="S23" s="231"/>
      <c r="U23" s="231"/>
      <c r="V23" s="231"/>
      <c r="W23" s="231"/>
      <c r="X23" s="231"/>
      <c r="Y23" s="231"/>
      <c r="Z23" s="231"/>
      <c r="AA23" s="231"/>
      <c r="AB23" s="231"/>
      <c r="AC23" s="231"/>
    </row>
    <row r="24" spans="1:29" s="70" customFormat="1" ht="15" thickBot="1">
      <c r="A24" s="329"/>
      <c r="B24" s="402" t="s">
        <v>266</v>
      </c>
      <c r="C24" s="402"/>
      <c r="D24" s="402"/>
      <c r="E24" s="402"/>
      <c r="F24" s="402"/>
      <c r="G24" s="402"/>
      <c r="H24" s="402"/>
      <c r="I24" s="403"/>
      <c r="K24" s="327"/>
      <c r="L24" s="431" t="s">
        <v>379</v>
      </c>
      <c r="M24" s="431"/>
      <c r="N24" s="431"/>
      <c r="O24" s="431"/>
      <c r="P24" s="431"/>
      <c r="Q24" s="431"/>
      <c r="R24" s="431"/>
      <c r="S24" s="432"/>
      <c r="U24" s="335"/>
      <c r="V24" s="448" t="s">
        <v>268</v>
      </c>
      <c r="W24" s="448"/>
      <c r="X24" s="448"/>
      <c r="Y24" s="448"/>
      <c r="Z24" s="448"/>
      <c r="AA24" s="448"/>
      <c r="AB24" s="448"/>
      <c r="AC24" s="449"/>
    </row>
    <row r="25" spans="1:29" s="70" customFormat="1" ht="15" thickBot="1">
      <c r="A25" s="296"/>
      <c r="B25" s="410">
        <v>2015</v>
      </c>
      <c r="C25" s="411"/>
      <c r="D25" s="410">
        <v>2020</v>
      </c>
      <c r="E25" s="411"/>
      <c r="F25" s="410">
        <v>2025</v>
      </c>
      <c r="G25" s="411"/>
      <c r="H25" s="410">
        <v>2030</v>
      </c>
      <c r="I25" s="412"/>
      <c r="K25" s="331"/>
      <c r="L25" s="410">
        <v>2015</v>
      </c>
      <c r="M25" s="411"/>
      <c r="N25" s="410">
        <v>2020</v>
      </c>
      <c r="O25" s="411"/>
      <c r="P25" s="410">
        <v>2025</v>
      </c>
      <c r="Q25" s="411"/>
      <c r="R25" s="410">
        <v>2030</v>
      </c>
      <c r="S25" s="412"/>
      <c r="U25" s="340"/>
      <c r="V25" s="410">
        <v>2015</v>
      </c>
      <c r="W25" s="411"/>
      <c r="X25" s="410">
        <v>2020</v>
      </c>
      <c r="Y25" s="411"/>
      <c r="Z25" s="410">
        <v>2025</v>
      </c>
      <c r="AA25" s="411"/>
      <c r="AB25" s="410">
        <v>2030</v>
      </c>
      <c r="AC25" s="412"/>
    </row>
    <row r="26" spans="1:29" s="70" customFormat="1" ht="15" thickBot="1">
      <c r="A26" s="218"/>
      <c r="B26" s="304" t="s">
        <v>178</v>
      </c>
      <c r="C26" s="319" t="s">
        <v>373</v>
      </c>
      <c r="D26" s="304" t="s">
        <v>178</v>
      </c>
      <c r="E26" s="319" t="s">
        <v>373</v>
      </c>
      <c r="F26" s="304" t="s">
        <v>178</v>
      </c>
      <c r="G26" s="319" t="s">
        <v>373</v>
      </c>
      <c r="H26" s="304" t="s">
        <v>178</v>
      </c>
      <c r="I26" s="305" t="s">
        <v>373</v>
      </c>
      <c r="K26" s="217"/>
      <c r="L26" s="304" t="s">
        <v>178</v>
      </c>
      <c r="M26" s="319" t="s">
        <v>373</v>
      </c>
      <c r="N26" s="304" t="s">
        <v>178</v>
      </c>
      <c r="O26" s="319" t="s">
        <v>373</v>
      </c>
      <c r="P26" s="304" t="s">
        <v>178</v>
      </c>
      <c r="Q26" s="319" t="s">
        <v>373</v>
      </c>
      <c r="R26" s="304" t="s">
        <v>178</v>
      </c>
      <c r="S26" s="305" t="s">
        <v>373</v>
      </c>
      <c r="U26" s="216"/>
      <c r="V26" s="304" t="s">
        <v>178</v>
      </c>
      <c r="W26" s="319" t="s">
        <v>373</v>
      </c>
      <c r="X26" s="304" t="s">
        <v>178</v>
      </c>
      <c r="Y26" s="319" t="s">
        <v>373</v>
      </c>
      <c r="Z26" s="304" t="s">
        <v>178</v>
      </c>
      <c r="AA26" s="319" t="s">
        <v>373</v>
      </c>
      <c r="AB26" s="304" t="s">
        <v>178</v>
      </c>
      <c r="AC26" s="305" t="s">
        <v>373</v>
      </c>
    </row>
    <row r="27" spans="1:29" s="70" customFormat="1" ht="15" thickBot="1">
      <c r="A27" s="334"/>
      <c r="B27" s="406" t="s">
        <v>299</v>
      </c>
      <c r="C27" s="406"/>
      <c r="D27" s="406"/>
      <c r="E27" s="406"/>
      <c r="F27" s="406"/>
      <c r="G27" s="406"/>
      <c r="H27" s="406"/>
      <c r="I27" s="407"/>
      <c r="K27" s="354"/>
      <c r="L27" s="433" t="s">
        <v>299</v>
      </c>
      <c r="M27" s="433"/>
      <c r="N27" s="433"/>
      <c r="O27" s="433"/>
      <c r="P27" s="433"/>
      <c r="Q27" s="433"/>
      <c r="R27" s="433"/>
      <c r="S27" s="434"/>
      <c r="U27" s="354"/>
      <c r="V27" s="433" t="s">
        <v>299</v>
      </c>
      <c r="W27" s="433"/>
      <c r="X27" s="433"/>
      <c r="Y27" s="433"/>
      <c r="Z27" s="433"/>
      <c r="AA27" s="433"/>
      <c r="AB27" s="433"/>
      <c r="AC27" s="434"/>
    </row>
    <row r="28" spans="1:29" s="70" customFormat="1">
      <c r="A28" s="330"/>
      <c r="B28" s="421" t="s">
        <v>3</v>
      </c>
      <c r="C28" s="421"/>
      <c r="D28" s="421"/>
      <c r="E28" s="421"/>
      <c r="F28" s="421"/>
      <c r="G28" s="421"/>
      <c r="H28" s="421"/>
      <c r="I28" s="422"/>
      <c r="K28" s="337" t="s">
        <v>3</v>
      </c>
      <c r="L28" s="429" t="s">
        <v>3</v>
      </c>
      <c r="M28" s="429"/>
      <c r="N28" s="429"/>
      <c r="O28" s="429"/>
      <c r="P28" s="429"/>
      <c r="Q28" s="429"/>
      <c r="R28" s="429"/>
      <c r="S28" s="430"/>
      <c r="U28" s="339"/>
      <c r="V28" s="450" t="s">
        <v>3</v>
      </c>
      <c r="W28" s="450"/>
      <c r="X28" s="450"/>
      <c r="Y28" s="450"/>
      <c r="Z28" s="450"/>
      <c r="AA28" s="450"/>
      <c r="AB28" s="450"/>
      <c r="AC28" s="451"/>
    </row>
    <row r="29" spans="1:29" s="70" customFormat="1" ht="15" thickBot="1">
      <c r="A29" s="349" t="s">
        <v>374</v>
      </c>
      <c r="B29" s="350">
        <f>B10/VLOOKUP(B$2,'NW Baseline Demand'!$A$5:$M$44,8,0)</f>
        <v>2.1237980131854806E-3</v>
      </c>
      <c r="C29" s="316">
        <f>C10/VLOOKUP(B$2,'NW Baseline Demand'!$A$5:$M$44,9,0)</f>
        <v>3.2284758309167722E-3</v>
      </c>
      <c r="D29" s="350">
        <f>D10/VLOOKUP(D$2,'NW Baseline Demand'!$A$5:$M$44,8,0)</f>
        <v>3.4717718322007797E-2</v>
      </c>
      <c r="E29" s="316">
        <f>E10/VLOOKUP(D$2,'NW Baseline Demand'!$A$5:$M$44,9,0)</f>
        <v>5.7319839415040569E-2</v>
      </c>
      <c r="F29" s="350">
        <f>F10/VLOOKUP(F$2,'NW Baseline Demand'!$A$5:$M$44,8,0)</f>
        <v>3.5193152741791633E-2</v>
      </c>
      <c r="G29" s="316">
        <f>G10/VLOOKUP(F$2,'NW Baseline Demand'!$A$5:$M$44,9,0)</f>
        <v>5.4727327783432964E-2</v>
      </c>
      <c r="H29" s="350">
        <f>H10/VLOOKUP(H$2,'NW Baseline Demand'!$A$5:$M$44,8,0)</f>
        <v>3.5330838061832917E-2</v>
      </c>
      <c r="I29" s="316">
        <f>I10/VLOOKUP(H$2,'NW Baseline Demand'!$A$5:$M$44,9,0)</f>
        <v>5.1826268128580766E-2</v>
      </c>
      <c r="K29" s="326" t="s">
        <v>374</v>
      </c>
      <c r="L29" s="325">
        <f>L10/VLOOKUP(L$2,'NW Baseline Demand'!$A$5:$M$44,8,0)</f>
        <v>1.1630322453158582E-3</v>
      </c>
      <c r="M29" s="263">
        <f>M10/VLOOKUP(L$2,'NW Baseline Demand'!$A$5:$M$44,9,0)</f>
        <v>1.4689915809784463E-3</v>
      </c>
      <c r="N29" s="325">
        <f>N10/VLOOKUP(N$2,'NW Baseline Demand'!$A$5:$M$44,8,0)</f>
        <v>3.2146035483340558E-2</v>
      </c>
      <c r="O29" s="263">
        <f>O10/VLOOKUP(N$2,'NW Baseline Demand'!$A$5:$M$44,9,0)</f>
        <v>3.8837888303755452E-2</v>
      </c>
      <c r="P29" s="325">
        <f>P10/VLOOKUP(P$2,'NW Baseline Demand'!$A$5:$M$44,8,0)</f>
        <v>3.2586252538695959E-2</v>
      </c>
      <c r="Q29" s="263">
        <f>Q10/VLOOKUP(P$2,'NW Baseline Demand'!$A$5:$M$44,9,0)</f>
        <v>3.7081294457678785E-2</v>
      </c>
      <c r="R29" s="325">
        <f>R10/VLOOKUP(R$2,'NW Baseline Demand'!$A$5:$M$44,8,0)</f>
        <v>3.2713738946141588E-2</v>
      </c>
      <c r="S29" s="263">
        <f>S10/VLOOKUP(R$2,'NW Baseline Demand'!$A$5:$M$44,9,0)</f>
        <v>3.5115639424665612E-2</v>
      </c>
      <c r="U29" s="326" t="s">
        <v>374</v>
      </c>
      <c r="V29" s="325">
        <f>V10/VLOOKUP(V$2,'NW Baseline Demand'!$A$5:$M$44,8,0)</f>
        <v>1.4861845471733214E-6</v>
      </c>
      <c r="W29" s="263">
        <f>V10/VLOOKUP(V$2,'NW Baseline Demand'!$A$5:$M$44,9,0)</f>
        <v>3.2431609903995978E-6</v>
      </c>
      <c r="X29" s="325">
        <f>X10/VLOOKUP(X$2,'NW Baseline Demand'!$A$5:$M$44,8,0)</f>
        <v>6.0466692744163566E-4</v>
      </c>
      <c r="Y29" s="263">
        <f>X10/VLOOKUP(X$2,'NW Baseline Demand'!$A$5:$M$44,9,0)</f>
        <v>1.2907079134163251E-3</v>
      </c>
      <c r="Z29" s="325">
        <f>Z10/VLOOKUP(Z$2,'NW Baseline Demand'!$A$5:$M$44,8,0)</f>
        <v>6.1294741025287082E-4</v>
      </c>
      <c r="AA29" s="263">
        <f>Z10/VLOOKUP(Z$2,'NW Baseline Demand'!$A$5:$M$44,9,0)</f>
        <v>1.2323306514998901E-3</v>
      </c>
      <c r="AB29" s="325">
        <f>AB10/VLOOKUP(AB$2,'NW Baseline Demand'!$A$5:$M$44,8,0)</f>
        <v>6.1534542957692308E-4</v>
      </c>
      <c r="AC29" s="263">
        <f>AB10/VLOOKUP(AB$2,'NW Baseline Demand'!$A$5:$M$44,9,0)</f>
        <v>1.1670056140953356E-3</v>
      </c>
    </row>
    <row r="30" spans="1:29" s="70" customFormat="1">
      <c r="A30" s="315"/>
      <c r="B30" s="421" t="s">
        <v>4</v>
      </c>
      <c r="C30" s="421"/>
      <c r="D30" s="421"/>
      <c r="E30" s="421"/>
      <c r="F30" s="421"/>
      <c r="G30" s="421"/>
      <c r="H30" s="421"/>
      <c r="I30" s="422"/>
      <c r="K30" s="337" t="s">
        <v>4</v>
      </c>
      <c r="L30" s="429" t="s">
        <v>4</v>
      </c>
      <c r="M30" s="429"/>
      <c r="N30" s="429"/>
      <c r="O30" s="429"/>
      <c r="P30" s="429"/>
      <c r="Q30" s="429"/>
      <c r="R30" s="429"/>
      <c r="S30" s="430"/>
      <c r="U30" s="339"/>
      <c r="V30" s="450" t="s">
        <v>4</v>
      </c>
      <c r="W30" s="450"/>
      <c r="X30" s="450"/>
      <c r="Y30" s="450"/>
      <c r="Z30" s="450"/>
      <c r="AA30" s="450"/>
      <c r="AB30" s="450"/>
      <c r="AC30" s="451"/>
    </row>
    <row r="31" spans="1:29" s="70" customFormat="1" ht="15" thickBot="1">
      <c r="A31" s="326" t="s">
        <v>375</v>
      </c>
      <c r="B31" s="325">
        <f>B15/VLOOKUP(B$2,'NW Baseline Demand'!$A$5:$M$44,10,0)</f>
        <v>3.0923120012205525E-4</v>
      </c>
      <c r="C31" s="263">
        <f>C15/VLOOKUP(B$2,'NW Baseline Demand'!$A$5:$M$44,11,0)</f>
        <v>3.6538685119338584E-4</v>
      </c>
      <c r="D31" s="325">
        <f>D15/VLOOKUP(D$2,'NW Baseline Demand'!$A$5:$M$44,10,0)</f>
        <v>3.5484511198715881E-3</v>
      </c>
      <c r="E31" s="263">
        <f>E15/VLOOKUP(D$2,'NW Baseline Demand'!$A$5:$M$44,11,0)</f>
        <v>4.222054071657085E-3</v>
      </c>
      <c r="F31" s="325">
        <f>F15/VLOOKUP(F$2,'NW Baseline Demand'!$A$5:$M$44,10,0)</f>
        <v>3.6039107311916373E-3</v>
      </c>
      <c r="G31" s="263">
        <f>G15/VLOOKUP(F$2,'NW Baseline Demand'!$A$5:$M$44,11,0)</f>
        <v>4.2986671993266367E-3</v>
      </c>
      <c r="H31" s="325">
        <f>H15/VLOOKUP(H$2,'NW Baseline Demand'!$A$5:$M$44,10,0)</f>
        <v>3.6312523356920412E-3</v>
      </c>
      <c r="I31" s="263">
        <f>I15/VLOOKUP(H$2,'NW Baseline Demand'!$A$5:$M$44,11,0)</f>
        <v>4.3039598048309705E-3</v>
      </c>
      <c r="K31" s="326" t="s">
        <v>375</v>
      </c>
      <c r="L31" s="325">
        <f>L15/VLOOKUP(L$2,'NW Baseline Demand'!$A$5:$M$44,10,0)</f>
        <v>1.4758620652628126E-3</v>
      </c>
      <c r="M31" s="263">
        <f>M15/VLOOKUP(L$2,'NW Baseline Demand'!$A$5:$M$44,11,0)</f>
        <v>1.1628280573968283E-3</v>
      </c>
      <c r="N31" s="325">
        <f>N15/VLOOKUP(N$2,'NW Baseline Demand'!$A$5:$M$44,10,0)</f>
        <v>3.1992686405162958E-2</v>
      </c>
      <c r="O31" s="263">
        <f>O15/VLOOKUP(N$2,'NW Baseline Demand'!$A$5:$M$44,11,0)</f>
        <v>2.6875840682453234E-2</v>
      </c>
      <c r="P31" s="325">
        <f>P15/VLOOKUP(P$2,'NW Baseline Demand'!$A$5:$M$44,10,0)</f>
        <v>3.2492707933761272E-2</v>
      </c>
      <c r="Q31" s="263">
        <f>Q15/VLOOKUP(P$2,'NW Baseline Demand'!$A$5:$M$44,11,0)</f>
        <v>2.7363527997320614E-2</v>
      </c>
      <c r="R31" s="325">
        <f>R15/VLOOKUP(R$2,'NW Baseline Demand'!$A$5:$M$44,10,0)</f>
        <v>3.2739218692694055E-2</v>
      </c>
      <c r="S31" s="263">
        <f>S15/VLOOKUP(R$2,'NW Baseline Demand'!$A$5:$M$44,11,0)</f>
        <v>2.7397218523286266E-2</v>
      </c>
      <c r="U31" s="326" t="s">
        <v>375</v>
      </c>
      <c r="V31" s="325">
        <f>V15/VLOOKUP(V$2,'NW Baseline Demand'!$A$5:$M$44,10,0)</f>
        <v>1.0646192502026017E-5</v>
      </c>
      <c r="W31" s="325">
        <f>V15/VLOOKUP(V$2,'NW Baseline Demand'!$A$5:$M$44,11,0)</f>
        <v>6.2897578801533036E-6</v>
      </c>
      <c r="X31" s="325">
        <f>X15/VLOOKUP(X$2,'NW Baseline Demand'!$A$5:$M$44,10,0)</f>
        <v>2.7932024424499732E-3</v>
      </c>
      <c r="Y31" s="325">
        <f>X15/VLOOKUP(X$2,'NW Baseline Demand'!$A$5:$M$44,11,0)</f>
        <v>1.6617182182764847E-3</v>
      </c>
      <c r="Z31" s="325">
        <f>Z15/VLOOKUP(Z$2,'NW Baseline Demand'!$A$5:$M$44,10,0)</f>
        <v>2.8368580872830057E-3</v>
      </c>
      <c r="AA31" s="325">
        <f>Z15/VLOOKUP(Z$2,'NW Baseline Demand'!$A$5:$M$44,11,0)</f>
        <v>1.691871652563903E-3</v>
      </c>
      <c r="AB31" s="325">
        <f>AB15/VLOOKUP(AB$2,'NW Baseline Demand'!$A$5:$M$44,10,0)</f>
        <v>2.8583803328744266E-3</v>
      </c>
      <c r="AC31" s="358">
        <f>AB15/VLOOKUP(AB$2,'NW Baseline Demand'!$A$5:$M$44,11,0)</f>
        <v>1.6939547189669935E-3</v>
      </c>
    </row>
    <row r="32" spans="1:29" s="70" customFormat="1">
      <c r="A32" s="315"/>
      <c r="B32" s="421" t="s">
        <v>319</v>
      </c>
      <c r="C32" s="421"/>
      <c r="D32" s="421"/>
      <c r="E32" s="421"/>
      <c r="F32" s="421"/>
      <c r="G32" s="421"/>
      <c r="H32" s="421"/>
      <c r="I32" s="422"/>
      <c r="K32" s="337" t="s">
        <v>319</v>
      </c>
      <c r="L32" s="429" t="s">
        <v>319</v>
      </c>
      <c r="M32" s="429"/>
      <c r="N32" s="429"/>
      <c r="O32" s="429"/>
      <c r="P32" s="429"/>
      <c r="Q32" s="429"/>
      <c r="R32" s="429"/>
      <c r="S32" s="430"/>
      <c r="U32" s="339"/>
      <c r="V32" s="450" t="s">
        <v>319</v>
      </c>
      <c r="W32" s="450"/>
      <c r="X32" s="450"/>
      <c r="Y32" s="450"/>
      <c r="Z32" s="450"/>
      <c r="AA32" s="450"/>
      <c r="AB32" s="450"/>
      <c r="AC32" s="451"/>
    </row>
    <row r="33" spans="1:29" s="70" customFormat="1" ht="15" thickBot="1">
      <c r="A33" s="326" t="s">
        <v>376</v>
      </c>
      <c r="B33" s="325">
        <f>B21/VLOOKUP(B$2,'NW Baseline Demand'!$A$5:$M$44,12,0)</f>
        <v>3.9303974066551327E-3</v>
      </c>
      <c r="C33" s="263">
        <f>C21/VLOOKUP(B$2,'NW Baseline Demand'!$A$5:$M$44,13,0)</f>
        <v>2.6700508127629045E-3</v>
      </c>
      <c r="D33" s="325">
        <f>D21/VLOOKUP(D$2,'NW Baseline Demand'!$A$5:$M$44,12,0)</f>
        <v>8.130386218729091E-2</v>
      </c>
      <c r="E33" s="263">
        <f>E21/VLOOKUP(D$2,'NW Baseline Demand'!$A$5:$M$44,13,0)</f>
        <v>5.5044937943347381E-2</v>
      </c>
      <c r="F33" s="325">
        <f>F21/VLOOKUP(F$2,'NW Baseline Demand'!$A$5:$M$44,12,0)</f>
        <v>8.159088606772015E-2</v>
      </c>
      <c r="G33" s="263">
        <f>G21/VLOOKUP(F$2,'NW Baseline Demand'!$A$5:$M$44,13,0)</f>
        <v>5.499280412629149E-2</v>
      </c>
      <c r="H33" s="325">
        <f>H21/VLOOKUP(H$2,'NW Baseline Demand'!$A$5:$M$44,12,0)</f>
        <v>8.1342846934030946E-2</v>
      </c>
      <c r="I33" s="263">
        <f>I21/VLOOKUP(H$2,'NW Baseline Demand'!$A$5:$M$44,13,0)</f>
        <v>5.4157495259544157E-2</v>
      </c>
      <c r="K33" s="326" t="s">
        <v>376</v>
      </c>
      <c r="L33" s="325">
        <f>L21/VLOOKUP(L$2,'NW Baseline Demand'!$A$5:$M$44,12,0)</f>
        <v>6.6079379677030552E-3</v>
      </c>
      <c r="M33" s="263">
        <f>M21/VLOOKUP(L$2,'NW Baseline Demand'!$A$5:$M$44,13,0)</f>
        <v>4.6147120983590084E-3</v>
      </c>
      <c r="N33" s="325">
        <f>N21/VLOOKUP(N$2,'NW Baseline Demand'!$A$5:$M$44,12,0)</f>
        <v>0.13669123558818713</v>
      </c>
      <c r="O33" s="263">
        <f>O21/VLOOKUP(N$2,'NW Baseline Demand'!$A$5:$M$44,13,0)</f>
        <v>9.5135470780698644E-2</v>
      </c>
      <c r="P33" s="325">
        <f>P21/VLOOKUP(P$2,'NW Baseline Demand'!$A$5:$M$44,12,0)</f>
        <v>0.13717379137094698</v>
      </c>
      <c r="Q33" s="263">
        <f>Q21/VLOOKUP(P$2,'NW Baseline Demand'!$A$5:$M$44,13,0)</f>
        <v>9.5045366669139625E-2</v>
      </c>
      <c r="R33" s="325">
        <f>R21/VLOOKUP(R$2,'NW Baseline Demand'!$A$5:$M$44,12,0)</f>
        <v>0.13675677827038726</v>
      </c>
      <c r="S33" s="263">
        <f>S21/VLOOKUP(R$2,'NW Baseline Demand'!$A$5:$M$44,13,0)</f>
        <v>9.3601682558402899E-2</v>
      </c>
      <c r="U33" s="326" t="s">
        <v>376</v>
      </c>
      <c r="V33" s="325">
        <f>V21/VLOOKUP(V$2,'NW Baseline Demand'!$A$5:$M$44,12,0)</f>
        <v>7.7388148046228324E-5</v>
      </c>
      <c r="W33" s="325">
        <f>V21/VLOOKUP(V$2,'NW Baseline Demand'!$A$5:$M$44,13,0)</f>
        <v>5.2481199184081014E-5</v>
      </c>
      <c r="X33" s="325">
        <f>X21/VLOOKUP(X$2,'NW Baseline Demand'!$A$5:$M$44,12,0)</f>
        <v>3.2016891284460856E-2</v>
      </c>
      <c r="Y33" s="325">
        <f>X21/VLOOKUP(X$2,'NW Baseline Demand'!$A$5:$M$44,13,0)</f>
        <v>2.1638721918485929E-2</v>
      </c>
      <c r="Z33" s="325">
        <f>Z21/VLOOKUP(Z$2,'NW Baseline Demand'!$A$5:$M$44,12,0)</f>
        <v>3.2129919277578543E-2</v>
      </c>
      <c r="AA33" s="325">
        <f>Z21/VLOOKUP(Z$2,'NW Baseline Demand'!$A$5:$M$44,13,0)</f>
        <v>2.1618227587636055E-2</v>
      </c>
      <c r="AB33" s="325">
        <f>AB21/VLOOKUP(AB$2,'NW Baseline Demand'!$A$5:$M$44,12,0)</f>
        <v>3.2032243204585545E-2</v>
      </c>
      <c r="AC33" s="358">
        <f>AB21/VLOOKUP(AB$2,'NW Baseline Demand'!$A$5:$M$44,13,0)</f>
        <v>2.1289859222461512E-2</v>
      </c>
    </row>
    <row r="34" spans="1:29" s="70" customFormat="1" ht="15" thickBot="1">
      <c r="A34" s="333" t="s">
        <v>270</v>
      </c>
      <c r="B34" s="353">
        <f>B22/SUM(VLOOKUP(B$2,'NW Baseline Demand'!$A$5:$M$44,8,0),VLOOKUP(B$2,'NW Baseline Demand'!$A$5:$M$44,10,0),VLOOKUP(B$2,'NW Baseline Demand'!$A$5:$M$44,12,0))</f>
        <v>2.0531000840307784E-3</v>
      </c>
      <c r="C34" s="352">
        <f>C22/SUM(VLOOKUP(B$2,'NW Baseline Demand'!$A$5:$M$44,9,0),VLOOKUP(B$2,'NW Baseline Demand'!$A$5:$M$44,11,0),VLOOKUP(B$2,'NW Baseline Demand'!$A$5:$M$44,13,0))</f>
        <v>1.8948706636310198E-3</v>
      </c>
      <c r="D34" s="351">
        <f>D22/SUM(VLOOKUP(D$2,'NW Baseline Demand'!$A$5:$M$44,8,0),VLOOKUP(D$2,'NW Baseline Demand'!$A$5:$M$44,10,0),VLOOKUP(D$2,'NW Baseline Demand'!$A$5:$M$44,12,0))</f>
        <v>3.5758634227187856E-2</v>
      </c>
      <c r="E34" s="352">
        <f>E22/SUM(VLOOKUP(D$2,'NW Baseline Demand'!$A$5:$M$44,9,0),VLOOKUP(D$2,'NW Baseline Demand'!$A$5:$M$44,11,0),VLOOKUP(D$2,'NW Baseline Demand'!$A$5:$M$44,13,0))</f>
        <v>3.4378298444835274E-2</v>
      </c>
      <c r="F34" s="351">
        <f>F22/SUM(VLOOKUP(F$2,'NW Baseline Demand'!$A$5:$M$44,8,0),VLOOKUP(F$2,'NW Baseline Demand'!$A$5:$M$44,10,0),VLOOKUP(F$2,'NW Baseline Demand'!$A$5:$M$44,12,0))</f>
        <v>3.6198454332856685E-2</v>
      </c>
      <c r="G34" s="352">
        <f>G22/SUM(VLOOKUP(F$2,'NW Baseline Demand'!$A$5:$M$44,9,0),VLOOKUP(F$2,'NW Baseline Demand'!$A$5:$M$44,11,0),VLOOKUP(F$2,'NW Baseline Demand'!$A$5:$M$44,13,0))</f>
        <v>3.4151639195651444E-2</v>
      </c>
      <c r="H34" s="351">
        <f>H22/SUM(VLOOKUP(H$2,'NW Baseline Demand'!$A$5:$M$44,8,0),VLOOKUP(H$2,'NW Baseline Demand'!$A$5:$M$44,10,0),VLOOKUP(H$2,'NW Baseline Demand'!$A$5:$M$44,12,0))</f>
        <v>3.6325845878318622E-2</v>
      </c>
      <c r="I34" s="352">
        <f>I22/SUM(VLOOKUP(H$2,'NW Baseline Demand'!$A$5:$M$44,9,0),VLOOKUP(H$2,'NW Baseline Demand'!$A$5:$M$44,11,0),VLOOKUP(H$2,'NW Baseline Demand'!$A$5:$M$44,13,0))</f>
        <v>3.3439063911353671E-2</v>
      </c>
      <c r="K34" s="355" t="s">
        <v>270</v>
      </c>
      <c r="L34" s="356">
        <f>L22/SUM(VLOOKUP(L$2,'NW Baseline Demand'!$A$5:$M$44,8,0),VLOOKUP(L$2,'NW Baseline Demand'!$A$5:$M$44,10,0),VLOOKUP(L$2,'NW Baseline Demand'!$A$5:$M$44,12,0))</f>
        <v>2.230315864874459E-3</v>
      </c>
      <c r="M34" s="357">
        <f>M22/SUM(VLOOKUP(L$2,'NW Baseline Demand'!$A$5:$M$44,9,0),VLOOKUP(L$2,'NW Baseline Demand'!$A$5:$M$44,11,0),VLOOKUP(L$2,'NW Baseline Demand'!$A$5:$M$44,13,0))</f>
        <v>2.2702517759642408E-3</v>
      </c>
      <c r="N34" s="356">
        <f>N22/SUM(VLOOKUP(N$2,'NW Baseline Demand'!$A$5:$M$44,8,0),VLOOKUP(N$2,'NW Baseline Demand'!$A$5:$M$44,10,0),VLOOKUP(N$2,'NW Baseline Demand'!$A$5:$M$44,12,0))</f>
        <v>5.0696613063693823E-2</v>
      </c>
      <c r="O34" s="357">
        <f>O22/SUM(VLOOKUP(N$2,'NW Baseline Demand'!$A$5:$M$44,9,0),VLOOKUP(N$2,'NW Baseline Demand'!$A$5:$M$44,11,0),VLOOKUP(N$2,'NW Baseline Demand'!$A$5:$M$44,13,0))</f>
        <v>4.9739631205323272E-2</v>
      </c>
      <c r="P34" s="356">
        <f>P22/SUM(VLOOKUP(P$2,'NW Baseline Demand'!$A$5:$M$44,8,0),VLOOKUP(P$2,'NW Baseline Demand'!$A$5:$M$44,10,0),VLOOKUP(P$2,'NW Baseline Demand'!$A$5:$M$44,12,0))</f>
        <v>5.1307947212906387E-2</v>
      </c>
      <c r="Q34" s="357">
        <f>Q22/SUM(VLOOKUP(P$2,'NW Baseline Demand'!$A$5:$M$44,9,0),VLOOKUP(P$2,'NW Baseline Demand'!$A$5:$M$44,11,0),VLOOKUP(P$2,'NW Baseline Demand'!$A$5:$M$44,13,0))</f>
        <v>4.9396092449888344E-2</v>
      </c>
      <c r="R34" s="356">
        <f>R22/SUM(VLOOKUP(R$2,'NW Baseline Demand'!$A$5:$M$44,8,0),VLOOKUP(R$2,'NW Baseline Demand'!$A$5:$M$44,10,0),VLOOKUP(R$2,'NW Baseline Demand'!$A$5:$M$44,12,0))</f>
        <v>5.1497546047688754E-2</v>
      </c>
      <c r="S34" s="357">
        <f>S22/SUM(VLOOKUP(R$2,'NW Baseline Demand'!$A$5:$M$44,9,0),VLOOKUP(R$2,'NW Baseline Demand'!$A$5:$M$44,11,0),VLOOKUP(R$2,'NW Baseline Demand'!$A$5:$M$44,13,0))</f>
        <v>4.8376694827459363E-2</v>
      </c>
      <c r="U34" s="355" t="s">
        <v>270</v>
      </c>
      <c r="V34" s="356">
        <f>V22/SUM(VLOOKUP(V$2,'NW Baseline Demand'!$A$5:$M$44,8,0),VLOOKUP(V$2,'NW Baseline Demand'!$A$5:$M$44,10,0),VLOOKUP(V$2,'NW Baseline Demand'!$A$5:$M$44,12,0))</f>
        <v>1.7426881299781008E-5</v>
      </c>
      <c r="W34" s="357">
        <f>V22/SUM(VLOOKUP(V$2,'NW Baseline Demand'!$A$5:$M$44,9,0),VLOOKUP(V$2,'NW Baseline Demand'!$A$5:$M$44,11,0),VLOOKUP(V$2,'NW Baseline Demand'!$A$5:$M$44,13,0))</f>
        <v>1.8985846248684082E-5</v>
      </c>
      <c r="X34" s="356">
        <f>X22/SUM(VLOOKUP(X$2,'NW Baseline Demand'!$A$5:$M$44,8,0),VLOOKUP(X$2,'NW Baseline Demand'!$A$5:$M$44,10,0),VLOOKUP(X$2,'NW Baseline Demand'!$A$5:$M$44,12,0))</f>
        <v>6.6976198467151452E-3</v>
      </c>
      <c r="Y34" s="357">
        <f>X22/SUM(VLOOKUP(X$2,'NW Baseline Demand'!$A$5:$M$44,9,0),VLOOKUP(X$2,'NW Baseline Demand'!$A$5:$M$44,11,0),VLOOKUP(X$2,'NW Baseline Demand'!$A$5:$M$44,13,0))</f>
        <v>7.2024336298601938E-3</v>
      </c>
      <c r="Z34" s="356">
        <f>Z22/SUM(VLOOKUP(Z$2,'NW Baseline Demand'!$A$5:$M$44,8,0),VLOOKUP(Z$2,'NW Baseline Demand'!$A$5:$M$44,10,0),VLOOKUP(Z$2,'NW Baseline Demand'!$A$5:$M$44,12,0))</f>
        <v>6.775777989925875E-3</v>
      </c>
      <c r="AA34" s="357">
        <f>Z22/SUM(VLOOKUP(Z$2,'NW Baseline Demand'!$A$5:$M$44,9,0),VLOOKUP(Z$2,'NW Baseline Demand'!$A$5:$M$44,11,0),VLOOKUP(Z$2,'NW Baseline Demand'!$A$5:$M$44,13,0))</f>
        <v>7.1511551990476518E-3</v>
      </c>
      <c r="AB34" s="356">
        <f>AB22/SUM(VLOOKUP(AB$2,'NW Baseline Demand'!$A$5:$M$44,8,0),VLOOKUP(AB$2,'NW Baseline Demand'!$A$5:$M$44,10,0),VLOOKUP(AB$2,'NW Baseline Demand'!$A$5:$M$44,12,0))</f>
        <v>6.80274390401672E-3</v>
      </c>
      <c r="AC34" s="357">
        <f>AB22/SUM(VLOOKUP(AB$2,'NW Baseline Demand'!$A$5:$M$44,9,0),VLOOKUP(AB$2,'NW Baseline Demand'!$A$5:$M$44,11,0),VLOOKUP(AB$2,'NW Baseline Demand'!$A$5:$M$44,13,0))</f>
        <v>7.0046815461455381E-3</v>
      </c>
    </row>
    <row r="35" spans="1:29" s="70" customFormat="1" ht="15" thickBot="1">
      <c r="A35" s="277"/>
      <c r="B35" s="277"/>
      <c r="C35" s="302"/>
      <c r="D35" s="302"/>
      <c r="E35" s="302"/>
      <c r="F35" s="302"/>
      <c r="G35" s="302"/>
      <c r="H35" s="302"/>
      <c r="I35" s="302"/>
      <c r="K35" s="277"/>
      <c r="L35" s="277"/>
      <c r="M35" s="302"/>
      <c r="N35" s="302"/>
      <c r="O35" s="302"/>
      <c r="P35" s="302"/>
      <c r="Q35" s="302"/>
      <c r="R35" s="302"/>
      <c r="S35" s="302"/>
      <c r="U35" s="277"/>
      <c r="W35" s="302"/>
      <c r="Y35" s="302"/>
      <c r="AA35" s="302"/>
      <c r="AC35" s="302"/>
    </row>
    <row r="36" spans="1:29" s="70" customFormat="1" ht="15" thickBot="1">
      <c r="A36" s="329"/>
      <c r="B36" s="402" t="s">
        <v>266</v>
      </c>
      <c r="C36" s="402"/>
      <c r="D36" s="402"/>
      <c r="E36" s="402"/>
      <c r="F36" s="402"/>
      <c r="G36" s="402"/>
      <c r="H36" s="402"/>
      <c r="I36" s="403"/>
      <c r="K36" s="327"/>
      <c r="L36" s="431" t="s">
        <v>379</v>
      </c>
      <c r="M36" s="431"/>
      <c r="N36" s="431"/>
      <c r="O36" s="431"/>
      <c r="P36" s="431"/>
      <c r="Q36" s="431"/>
      <c r="R36" s="431"/>
      <c r="S36" s="432"/>
      <c r="U36" s="335"/>
      <c r="V36" s="448" t="s">
        <v>268</v>
      </c>
      <c r="W36" s="448"/>
      <c r="X36" s="448"/>
      <c r="Y36" s="448"/>
      <c r="Z36" s="448"/>
      <c r="AA36" s="448"/>
      <c r="AB36" s="448"/>
      <c r="AC36" s="449"/>
    </row>
    <row r="37" spans="1:29" s="70" customFormat="1" ht="15" thickBot="1">
      <c r="A37" s="296"/>
      <c r="B37" s="410">
        <v>2015</v>
      </c>
      <c r="C37" s="411"/>
      <c r="D37" s="410">
        <v>2020</v>
      </c>
      <c r="E37" s="411"/>
      <c r="F37" s="410">
        <v>2025</v>
      </c>
      <c r="G37" s="411"/>
      <c r="H37" s="410">
        <v>2030</v>
      </c>
      <c r="I37" s="412"/>
      <c r="K37" s="331"/>
      <c r="L37" s="410">
        <v>2015</v>
      </c>
      <c r="M37" s="411"/>
      <c r="N37" s="410">
        <v>2020</v>
      </c>
      <c r="O37" s="411"/>
      <c r="P37" s="410">
        <v>2025</v>
      </c>
      <c r="Q37" s="411"/>
      <c r="R37" s="410">
        <v>2030</v>
      </c>
      <c r="S37" s="412"/>
      <c r="U37" s="340"/>
      <c r="V37" s="410">
        <v>2015</v>
      </c>
      <c r="W37" s="411"/>
      <c r="X37" s="410">
        <v>2020</v>
      </c>
      <c r="Y37" s="411"/>
      <c r="Z37" s="410">
        <v>2025</v>
      </c>
      <c r="AA37" s="411"/>
      <c r="AB37" s="410">
        <v>2030</v>
      </c>
      <c r="AC37" s="412"/>
    </row>
    <row r="38" spans="1:29" s="70" customFormat="1" ht="15" thickBot="1">
      <c r="A38" s="334"/>
      <c r="B38" s="406" t="s">
        <v>377</v>
      </c>
      <c r="C38" s="406"/>
      <c r="D38" s="406"/>
      <c r="E38" s="406"/>
      <c r="F38" s="406"/>
      <c r="G38" s="406"/>
      <c r="H38" s="406"/>
      <c r="I38" s="407"/>
      <c r="K38" s="334"/>
      <c r="L38" s="406" t="s">
        <v>377</v>
      </c>
      <c r="M38" s="406"/>
      <c r="N38" s="406"/>
      <c r="O38" s="406"/>
      <c r="P38" s="406"/>
      <c r="Q38" s="406"/>
      <c r="R38" s="406"/>
      <c r="S38" s="407"/>
      <c r="U38" s="334"/>
      <c r="V38" s="406" t="s">
        <v>377</v>
      </c>
      <c r="W38" s="406"/>
      <c r="X38" s="406"/>
      <c r="Y38" s="406"/>
      <c r="Z38" s="406"/>
      <c r="AA38" s="406"/>
      <c r="AB38" s="406"/>
      <c r="AC38" s="407"/>
    </row>
    <row r="39" spans="1:29" s="70" customFormat="1">
      <c r="A39" s="330"/>
      <c r="B39" s="421" t="s">
        <v>3</v>
      </c>
      <c r="C39" s="421"/>
      <c r="D39" s="421"/>
      <c r="E39" s="421"/>
      <c r="F39" s="421"/>
      <c r="G39" s="421"/>
      <c r="H39" s="421"/>
      <c r="I39" s="422"/>
      <c r="K39" s="447" t="s">
        <v>3</v>
      </c>
      <c r="L39" s="429"/>
      <c r="M39" s="429"/>
      <c r="N39" s="429"/>
      <c r="O39" s="429"/>
      <c r="P39" s="429"/>
      <c r="Q39" s="429"/>
      <c r="R39" s="429"/>
      <c r="S39" s="430"/>
      <c r="U39" s="456" t="s">
        <v>3</v>
      </c>
      <c r="V39" s="450"/>
      <c r="W39" s="450"/>
      <c r="X39" s="450"/>
      <c r="Y39" s="450"/>
      <c r="Z39" s="450"/>
      <c r="AA39" s="450"/>
      <c r="AB39" s="450"/>
      <c r="AC39" s="451"/>
    </row>
    <row r="40" spans="1:29" s="70" customFormat="1">
      <c r="A40" s="215" t="s">
        <v>333</v>
      </c>
      <c r="B40" s="413">
        <f>INDEX('Res-Capacity-Base'!$C$99:$W$99,1,MATCH(SummaryTables!B$2,'Res-Capacity-Base'!$C$92:$W$92,0))</f>
        <v>8308592.9803948505</v>
      </c>
      <c r="C40" s="414"/>
      <c r="D40" s="413">
        <f>INDEX('Res-Capacity-Base'!$C$99:$W$99,1,MATCH(SummaryTables!D$2,'Res-Capacity-Base'!$C$92:$W$92,0))</f>
        <v>23243572.177565835</v>
      </c>
      <c r="E40" s="414"/>
      <c r="F40" s="413">
        <f>INDEX('Res-Capacity-Base'!$C$99:$W$99,1,MATCH(SummaryTables!F$2,'Res-Capacity-Base'!$C$92:$W$92,0))</f>
        <v>1912495.5751769915</v>
      </c>
      <c r="G40" s="414"/>
      <c r="H40" s="413">
        <f>INDEX('Res-Capacity-Base'!$C$99:$W$99,1,MATCH(SummaryTables!H$2,'Res-Capacity-Base'!$C$92:$W$92,0))</f>
        <v>1771710.4091609912</v>
      </c>
      <c r="I40" s="415"/>
      <c r="K40" s="215" t="s">
        <v>333</v>
      </c>
      <c r="L40" s="413">
        <f>INDEX('Res-Capacity-Smart'!$C$99:$W$99,1,MATCH(SummaryTables!L$2,'Res-Capacity-Smart'!$C$92:$W$92,0))</f>
        <v>18812526.155283704</v>
      </c>
      <c r="M40" s="414"/>
      <c r="N40" s="413">
        <f>INDEX('Res-Capacity-Smart'!$C$99:$W$99,1,MATCH(SummaryTables!N$2,'Res-Capacity-Smart'!$C$92:$W$92,0))</f>
        <v>195473785.7296423</v>
      </c>
      <c r="O40" s="414"/>
      <c r="P40" s="413">
        <f>INDEX('Res-Capacity-Smart'!$C$99:$W$99,1,MATCH(SummaryTables!P$2,'Res-Capacity-Smart'!$C$92:$W$92,0))</f>
        <v>140185642.43086794</v>
      </c>
      <c r="Q40" s="414"/>
      <c r="R40" s="413">
        <f>INDEX('Res-Capacity-Smart'!$C$99:$W$99,1,MATCH(SummaryTables!R$2,'Res-Capacity-Smart'!$C$92:$W$92,0))</f>
        <v>147770900.3292377</v>
      </c>
      <c r="S40" s="415"/>
      <c r="U40" s="215" t="s">
        <v>333</v>
      </c>
      <c r="V40" s="413">
        <f>INDEX('Res-Balancing'!$C$49:$W$49,1,MATCH(SummaryTables!V$2,'Res-Balancing'!$C$45:$W$45,0))</f>
        <v>16292.063396910047</v>
      </c>
      <c r="W40" s="414"/>
      <c r="X40" s="413">
        <f>INDEX('Res-Balancing'!$C$49:$W$49,1,MATCH(SummaryTables!X$2,'Res-Balancing'!$C$45:$W$45,0))</f>
        <v>2016362.9072301209</v>
      </c>
      <c r="Y40" s="414"/>
      <c r="Z40" s="413">
        <f>INDEX('Res-Balancing'!$C$49:$W$49,1,MATCH(SummaryTables!Z$2,'Res-Balancing'!$C$45:$W$45,0))</f>
        <v>93376.34877068123</v>
      </c>
      <c r="AA40" s="414"/>
      <c r="AB40" s="413">
        <f>INDEX('Res-Balancing'!$C$49:$W$49,1,MATCH(SummaryTables!AB$2,'Res-Balancing'!$C$45:$W$45,0))</f>
        <v>86502.604886365298</v>
      </c>
      <c r="AC40" s="415"/>
    </row>
    <row r="41" spans="1:29" s="70" customFormat="1">
      <c r="A41" s="215" t="s">
        <v>303</v>
      </c>
      <c r="B41" s="413">
        <f>INDEX('Res-Capacity-Base'!$C$111:$W$111,1,MATCH(SummaryTables!B$2,'Res-Capacity-Base'!$C$104:$W$104,0))</f>
        <v>1020343.8835233392</v>
      </c>
      <c r="C41" s="414"/>
      <c r="D41" s="413">
        <f>INDEX('Res-Capacity-Base'!$C$111:$W$111,1,MATCH(SummaryTables!D$2,'Res-Capacity-Base'!$C$104:$W$104,0))</f>
        <v>16937063.491773151</v>
      </c>
      <c r="E41" s="414"/>
      <c r="F41" s="413">
        <f>INDEX('Res-Capacity-Base'!$C$111:$W$111,1,MATCH(SummaryTables!F$2,'Res-Capacity-Base'!$C$104:$W$104,0))</f>
        <v>18079924.280482348</v>
      </c>
      <c r="G41" s="414"/>
      <c r="H41" s="413">
        <f>INDEX('Res-Capacity-Base'!$C$111:$W$111,1,MATCH(SummaryTables!H$2,'Res-Capacity-Base'!$C$104:$W$104,0))</f>
        <v>19156419.105308101</v>
      </c>
      <c r="I41" s="415"/>
      <c r="K41" s="215" t="s">
        <v>303</v>
      </c>
      <c r="L41" s="413">
        <f>INDEX('Res-Capacity-Smart'!$C$111:$W$111,1,MATCH(SummaryTables!L$2,'Res-Capacity-Smart'!$C$104:$W$104,0))</f>
        <v>867736.44627692329</v>
      </c>
      <c r="M41" s="414"/>
      <c r="N41" s="413">
        <f>INDEX('Res-Capacity-Smart'!$C$111:$W$111,1,MATCH(SummaryTables!N$2,'Res-Capacity-Smart'!$C$104:$W$104,0))</f>
        <v>25618559.518591873</v>
      </c>
      <c r="O41" s="414"/>
      <c r="P41" s="413">
        <f>INDEX('Res-Capacity-Smart'!$C$111:$W$111,1,MATCH(SummaryTables!P$2,'Res-Capacity-Smart'!$C$104:$W$104,0))</f>
        <v>27347220.874276873</v>
      </c>
      <c r="Q41" s="414"/>
      <c r="R41" s="413">
        <f>INDEX('Res-Capacity-Smart'!$C$111:$W$111,1,MATCH(SummaryTables!R$2,'Res-Capacity-Smart'!$C$104:$W$104,0))</f>
        <v>28975498.807736248</v>
      </c>
      <c r="S41" s="415"/>
      <c r="U41" s="215" t="s">
        <v>303</v>
      </c>
      <c r="V41" s="413">
        <f>INDEX('Res-Balancing'!$C$58:$W$58,1,MATCH(SummaryTables!V$2,'Res-Balancing'!$C$54:$W$54,0))</f>
        <v>1127.2184084577987</v>
      </c>
      <c r="W41" s="414"/>
      <c r="X41" s="413">
        <f>INDEX('Res-Balancing'!$C$58:$W$58,1,MATCH(SummaryTables!X$2,'Res-Balancing'!$C$54:$W$54,0))</f>
        <v>485119.23276313394</v>
      </c>
      <c r="Y41" s="414"/>
      <c r="Z41" s="413">
        <f>INDEX('Res-Balancing'!$C$58:$W$58,1,MATCH(SummaryTables!Z$2,'Res-Balancing'!$C$54:$W$54,0))</f>
        <v>517853.58185753139</v>
      </c>
      <c r="AA41" s="414"/>
      <c r="AB41" s="413">
        <f>INDEX('Res-Balancing'!$C$58:$W$58,1,MATCH(SummaryTables!AB$2,'Res-Balancing'!$C$54:$W$54,0))</f>
        <v>548687.04621495155</v>
      </c>
      <c r="AC41" s="415"/>
    </row>
    <row r="42" spans="1:29" s="70" customFormat="1" ht="15" thickBot="1">
      <c r="A42" s="324" t="s">
        <v>334</v>
      </c>
      <c r="B42" s="416">
        <f>SUM(B41,B40)</f>
        <v>9328936.863918189</v>
      </c>
      <c r="C42" s="417"/>
      <c r="D42" s="416">
        <f>SUM(D41,D40)</f>
        <v>40180635.669338986</v>
      </c>
      <c r="E42" s="417"/>
      <c r="F42" s="416">
        <f>SUM(F41,F40)</f>
        <v>19992419.85565934</v>
      </c>
      <c r="G42" s="417"/>
      <c r="H42" s="416">
        <f>SUM(H41,H40)</f>
        <v>20928129.514469091</v>
      </c>
      <c r="I42" s="418"/>
      <c r="K42" s="324" t="s">
        <v>334</v>
      </c>
      <c r="L42" s="416">
        <f>SUM(L41,L40)</f>
        <v>19680262.601560626</v>
      </c>
      <c r="M42" s="417"/>
      <c r="N42" s="416">
        <f>SUM(N41,N40)</f>
        <v>221092345.24823418</v>
      </c>
      <c r="O42" s="417"/>
      <c r="P42" s="416">
        <f>SUM(P41,P40)</f>
        <v>167532863.30514482</v>
      </c>
      <c r="Q42" s="417"/>
      <c r="R42" s="416">
        <f>SUM(R41,R40)</f>
        <v>176746399.13697395</v>
      </c>
      <c r="S42" s="418"/>
      <c r="U42" s="324" t="s">
        <v>334</v>
      </c>
      <c r="V42" s="416">
        <f>SUM(V41,V40)</f>
        <v>17419.281805367846</v>
      </c>
      <c r="W42" s="417"/>
      <c r="X42" s="416">
        <f>SUM(X41,X40)</f>
        <v>2501482.139993255</v>
      </c>
      <c r="Y42" s="417"/>
      <c r="Z42" s="416">
        <f>SUM(Z41,Z40)</f>
        <v>611229.93062821263</v>
      </c>
      <c r="AA42" s="417"/>
      <c r="AB42" s="416">
        <f>SUM(AB41,AB40)</f>
        <v>635189.65110131679</v>
      </c>
      <c r="AC42" s="418"/>
    </row>
    <row r="43" spans="1:29" s="70" customFormat="1">
      <c r="A43" s="330"/>
      <c r="B43" s="421" t="s">
        <v>4</v>
      </c>
      <c r="C43" s="421"/>
      <c r="D43" s="421"/>
      <c r="E43" s="421"/>
      <c r="F43" s="421"/>
      <c r="G43" s="421"/>
      <c r="H43" s="421"/>
      <c r="I43" s="422"/>
      <c r="K43" s="441" t="s">
        <v>4</v>
      </c>
      <c r="L43" s="442"/>
      <c r="M43" s="442"/>
      <c r="N43" s="442"/>
      <c r="O43" s="442"/>
      <c r="P43" s="442"/>
      <c r="Q43" s="442"/>
      <c r="R43" s="442"/>
      <c r="S43" s="443"/>
      <c r="U43" s="444" t="s">
        <v>4</v>
      </c>
      <c r="V43" s="445"/>
      <c r="W43" s="445"/>
      <c r="X43" s="445"/>
      <c r="Y43" s="445"/>
      <c r="Z43" s="445"/>
      <c r="AA43" s="445"/>
      <c r="AB43" s="445"/>
      <c r="AC43" s="446"/>
    </row>
    <row r="44" spans="1:29" s="70" customFormat="1">
      <c r="A44" s="215" t="s">
        <v>333</v>
      </c>
      <c r="B44" s="413">
        <f>INDEX('Com-Capacity-Base'!$C$69:$W$69,1,MATCH(SummaryTables!B$2,'Com-Capacity-Base'!$C$64:$W$64,0))</f>
        <v>365245.08790372015</v>
      </c>
      <c r="C44" s="414"/>
      <c r="D44" s="413">
        <f>INDEX('Com-Capacity-Base'!$C$69:$W$69,1,MATCH(SummaryTables!D$2,'Com-Capacity-Base'!$C$64:$W$64,0))</f>
        <v>752013.00944824889</v>
      </c>
      <c r="E44" s="414"/>
      <c r="F44" s="413">
        <f>INDEX('Com-Capacity-Base'!$C$69:$W$69,1,MATCH(SummaryTables!F$2,'Com-Capacity-Base'!$C$64:$W$64,0))</f>
        <v>63064.505909090862</v>
      </c>
      <c r="G44" s="414"/>
      <c r="H44" s="413">
        <f>INDEX('Com-Capacity-Base'!$C$69:$W$69,1,MATCH(SummaryTables!H$2,'Com-Capacity-Base'!$C$64:$W$64,0))</f>
        <v>58009.410168891074</v>
      </c>
      <c r="I44" s="415"/>
      <c r="K44" s="215" t="s">
        <v>333</v>
      </c>
      <c r="L44" s="413">
        <f>INDEX('Com-Capacity-Smart'!$C$84:$W$84,1,MATCH(SummaryTables!L$2,'Com-Capacity-Smart'!$C$78:$W$78,0))</f>
        <v>3744040.0206597485</v>
      </c>
      <c r="M44" s="414"/>
      <c r="N44" s="413">
        <f>INDEX('Com-Capacity-Smart'!$C$84:$W$84,1,MATCH(SummaryTables!N$2,'Com-Capacity-Smart'!$C$78:$W$78,0))</f>
        <v>15479650.351497313</v>
      </c>
      <c r="O44" s="414"/>
      <c r="P44" s="413">
        <f>INDEX('Com-Capacity-Smart'!$C$84:$W$84,1,MATCH(SummaryTables!P$2,'Com-Capacity-Smart'!$C$78:$W$78,0))</f>
        <v>1298137.7832531396</v>
      </c>
      <c r="Q44" s="414"/>
      <c r="R44" s="413">
        <f>INDEX('Com-Capacity-Smart'!$C$84:$W$84,1,MATCH(SummaryTables!R$2,'Com-Capacity-Smart'!$C$78:$W$78,0))</f>
        <v>1194082.2502125015</v>
      </c>
      <c r="S44" s="415"/>
      <c r="U44" s="215" t="s">
        <v>333</v>
      </c>
      <c r="V44" s="413">
        <f>INDEX('Com-Balancing'!$C$64:$W$64,1,MATCH(SummaryTables!V$2,'Com-Balancing'!$C$59:$W$59,0))</f>
        <v>25983.991371862281</v>
      </c>
      <c r="W44" s="414"/>
      <c r="X44" s="413">
        <f>INDEX('Com-Balancing'!$C$64:$W$64,1,MATCH(SummaryTables!X$2,'Com-Balancing'!$C$59:$W$59,0))</f>
        <v>3794295.7269844878</v>
      </c>
      <c r="Y44" s="414"/>
      <c r="Z44" s="413">
        <f>INDEX('Com-Balancing'!$C$64:$W$64,1,MATCH(SummaryTables!Z$2,'Com-Balancing'!$C$59:$W$59,0))</f>
        <v>178144.78448667109</v>
      </c>
      <c r="AA44" s="414"/>
      <c r="AB44" s="413">
        <f>INDEX('Com-Balancing'!$C$64:$W$64,1,MATCH(SummaryTables!AB$2,'Com-Balancing'!$C$59:$W$59,0))</f>
        <v>163865.13655768274</v>
      </c>
      <c r="AC44" s="415"/>
    </row>
    <row r="45" spans="1:29" s="70" customFormat="1">
      <c r="A45" s="215" t="s">
        <v>303</v>
      </c>
      <c r="B45" s="413">
        <f>INDEX('Com-Capacity-Base'!$C$79:$W$79,1,MATCH(SummaryTables!B$2,'Com-Capacity-Base'!$C$74:$W$74,0))</f>
        <v>46535.458139816415</v>
      </c>
      <c r="C45" s="414"/>
      <c r="D45" s="413">
        <f>INDEX('Com-Capacity-Base'!$C$79:$W$79,1,MATCH(SummaryTables!D$2,'Com-Capacity-Base'!$C$74:$W$74,0))</f>
        <v>597969.07936516148</v>
      </c>
      <c r="E45" s="414"/>
      <c r="F45" s="413">
        <f>INDEX('Com-Capacity-Base'!$C$79:$W$79,1,MATCH(SummaryTables!F$2,'Com-Capacity-Base'!$C$74:$W$74,0))</f>
        <v>637553.66825885454</v>
      </c>
      <c r="G45" s="414"/>
      <c r="H45" s="413">
        <f>INDEX('Com-Capacity-Base'!$C$79:$W$79,1,MATCH(SummaryTables!H$2,'Com-Capacity-Base'!$C$74:$W$74,0))</f>
        <v>676110.86720689188</v>
      </c>
      <c r="I45" s="415"/>
      <c r="K45" s="215" t="s">
        <v>303</v>
      </c>
      <c r="L45" s="413">
        <f>INDEX('Com-Capacity-Smart'!$C$95:$W$95,1,MATCH(SummaryTables!L$2,'Com-Capacity-Smart'!$C$89:$W$89,0))</f>
        <v>296194.21833083022</v>
      </c>
      <c r="M45" s="414"/>
      <c r="N45" s="413">
        <f>INDEX('Com-Capacity-Smart'!$C$95:$W$95,1,MATCH(SummaryTables!N$2,'Com-Capacity-Smart'!$C$89:$W$89,0))</f>
        <v>7612845.0452287775</v>
      </c>
      <c r="O45" s="414"/>
      <c r="P45" s="413">
        <f>INDEX('Com-Capacity-Smart'!$C$95:$W$95,1,MATCH(SummaryTables!P$2,'Com-Capacity-Smart'!$C$89:$W$89,0))</f>
        <v>8116803.1123360284</v>
      </c>
      <c r="Q45" s="414"/>
      <c r="R45" s="413">
        <f>INDEX('Com-Capacity-Smart'!$C$95:$W$95,1,MATCH(SummaryTables!R$2,'Com-Capacity-Smart'!$C$89:$W$89,0))</f>
        <v>8607681.3050363865</v>
      </c>
      <c r="S45" s="415"/>
      <c r="U45" s="215" t="s">
        <v>303</v>
      </c>
      <c r="V45" s="413">
        <f>INDEX('Com-Balancing'!$C$74:$W$74,1,MATCH(SummaryTables!V$2,'Com-Balancing'!$C$69:$W$69,0))</f>
        <v>3157.9691006314497</v>
      </c>
      <c r="W45" s="414"/>
      <c r="X45" s="413">
        <f>INDEX('Com-Balancing'!$C$74:$W$74,1,MATCH(SummaryTables!X$2,'Com-Balancing'!$C$69:$W$69,0))</f>
        <v>1611273.4278829508</v>
      </c>
      <c r="Y45" s="414"/>
      <c r="Z45" s="413">
        <f>INDEX('Com-Balancing'!$C$74:$W$74,1,MATCH(SummaryTables!Z$2,'Com-Balancing'!$C$69:$W$69,0))</f>
        <v>1717937.1308051702</v>
      </c>
      <c r="AA45" s="414"/>
      <c r="AB45" s="413">
        <f>INDEX('Com-Balancing'!$C$74:$W$74,1,MATCH(SummaryTables!AB$2,'Com-Balancing'!$C$69:$W$69,0))</f>
        <v>1821832.4529253803</v>
      </c>
      <c r="AC45" s="415"/>
    </row>
    <row r="46" spans="1:29" s="70" customFormat="1" ht="15" thickBot="1">
      <c r="A46" s="324" t="s">
        <v>334</v>
      </c>
      <c r="B46" s="416">
        <f>SUM(B45,B44)</f>
        <v>411780.54604353657</v>
      </c>
      <c r="C46" s="417"/>
      <c r="D46" s="416">
        <f>SUM(D45,D44)</f>
        <v>1349982.0888134104</v>
      </c>
      <c r="E46" s="417"/>
      <c r="F46" s="416">
        <f>SUM(F45,F44)</f>
        <v>700618.1741679454</v>
      </c>
      <c r="G46" s="417"/>
      <c r="H46" s="416">
        <f>SUM(H45,H44)</f>
        <v>734120.27737578296</v>
      </c>
      <c r="I46" s="418"/>
      <c r="K46" s="324" t="s">
        <v>334</v>
      </c>
      <c r="L46" s="416">
        <f>SUM(L45,L44)</f>
        <v>4040234.2389905788</v>
      </c>
      <c r="M46" s="417"/>
      <c r="N46" s="416">
        <f>SUM(N45,N44)</f>
        <v>23092495.39672609</v>
      </c>
      <c r="O46" s="417"/>
      <c r="P46" s="416">
        <f>SUM(P45,P44)</f>
        <v>9414940.8955891673</v>
      </c>
      <c r="Q46" s="417"/>
      <c r="R46" s="416">
        <f>SUM(R45,R44)</f>
        <v>9801763.5552488882</v>
      </c>
      <c r="S46" s="418"/>
      <c r="U46" s="324" t="s">
        <v>334</v>
      </c>
      <c r="V46" s="416">
        <f>SUM(V45,V44)</f>
        <v>29141.960472493731</v>
      </c>
      <c r="W46" s="417"/>
      <c r="X46" s="416">
        <f>SUM(X45,X44)</f>
        <v>5405569.1548674386</v>
      </c>
      <c r="Y46" s="417"/>
      <c r="Z46" s="416">
        <f>SUM(Z45,Z44)</f>
        <v>1896081.9152918411</v>
      </c>
      <c r="AA46" s="417"/>
      <c r="AB46" s="416">
        <f>SUM(AB45,AB44)</f>
        <v>1985697.589483063</v>
      </c>
      <c r="AC46" s="418"/>
    </row>
    <row r="47" spans="1:29" s="70" customFormat="1">
      <c r="A47" s="330"/>
      <c r="B47" s="421" t="s">
        <v>319</v>
      </c>
      <c r="C47" s="421"/>
      <c r="D47" s="421"/>
      <c r="E47" s="421"/>
      <c r="F47" s="421"/>
      <c r="G47" s="421"/>
      <c r="H47" s="421"/>
      <c r="I47" s="422"/>
      <c r="K47" s="441" t="s">
        <v>319</v>
      </c>
      <c r="L47" s="442"/>
      <c r="M47" s="442"/>
      <c r="N47" s="442"/>
      <c r="O47" s="442"/>
      <c r="P47" s="442"/>
      <c r="Q47" s="442"/>
      <c r="R47" s="442"/>
      <c r="S47" s="443"/>
      <c r="U47" s="444" t="s">
        <v>319</v>
      </c>
      <c r="V47" s="445"/>
      <c r="W47" s="445"/>
      <c r="X47" s="445"/>
      <c r="Y47" s="445"/>
      <c r="Z47" s="445"/>
      <c r="AA47" s="445"/>
      <c r="AB47" s="445"/>
      <c r="AC47" s="446"/>
    </row>
    <row r="48" spans="1:29" s="70" customFormat="1">
      <c r="A48" s="215" t="s">
        <v>333</v>
      </c>
      <c r="B48" s="413">
        <f>INDEX('Ag-Ind-Capacity-Base'!$C$71:$W$71,1,MATCH(SummaryTables!B$2,'Ag-Ind-Capacity-Base'!$C$66:$W$66,0))</f>
        <v>19694.08831015191</v>
      </c>
      <c r="C48" s="414"/>
      <c r="D48" s="413">
        <f>INDEX('Ag-Ind-Capacity-Base'!$C$71:$W$71,1,MATCH(SummaryTables!D$2,'Ag-Ind-Capacity-Base'!$C$66:$W$66,0))</f>
        <v>421773.57247224235</v>
      </c>
      <c r="E48" s="414"/>
      <c r="F48" s="413">
        <f>INDEX('Ag-Ind-Capacity-Base'!$C$71:$W$71,1,MATCH(SummaryTables!F$2,'Ag-Ind-Capacity-Base'!$C$66:$W$66,0))</f>
        <v>449694.30290576781</v>
      </c>
      <c r="G48" s="414"/>
      <c r="H48" s="413">
        <f>INDEX('Ag-Ind-Capacity-Base'!$C$71:$W$71,1,MATCH(SummaryTables!H$2,'Ag-Ind-Capacity-Base'!$C$66:$W$66,0))</f>
        <v>476890.37057217915</v>
      </c>
      <c r="I48" s="415"/>
      <c r="K48" s="215" t="s">
        <v>333</v>
      </c>
      <c r="L48" s="413">
        <f>INDEX('Ag-Ind-Capacity-Smart'!$C$101:$W$101,1,MATCH(SummaryTables!L$2,'Ag-Ind-Capacity-Smart'!$C$94:$W$94,0))</f>
        <v>860944.97419493611</v>
      </c>
      <c r="M48" s="414"/>
      <c r="N48" s="413">
        <f>INDEX('Ag-Ind-Capacity-Smart'!$C$101:$W$101,1,MATCH(SummaryTables!N$2,'Ag-Ind-Capacity-Smart'!$C$94:$W$94,0))</f>
        <v>2954371.5642629312</v>
      </c>
      <c r="O48" s="414"/>
      <c r="P48" s="413">
        <f>INDEX('Ag-Ind-Capacity-Smart'!$C$101:$W$101,1,MATCH(SummaryTables!P$2,'Ag-Ind-Capacity-Smart'!$C$94:$W$94,0))</f>
        <v>247756.32951989298</v>
      </c>
      <c r="Q48" s="414"/>
      <c r="R48" s="413">
        <f>INDEX('Ag-Ind-Capacity-Smart'!$C$101:$W$101,1,MATCH(SummaryTables!R$2,'Ag-Ind-Capacity-Smart'!$C$94:$W$94,0))</f>
        <v>227896.79129139317</v>
      </c>
      <c r="S48" s="415"/>
      <c r="U48" s="215" t="s">
        <v>333</v>
      </c>
      <c r="V48" s="413">
        <f>INDEX('Ag-Ind-Balancing'!$C$94:$W$94,1,MATCH(SummaryTables!V$2,'Ag-Ind-Balancing'!$C$87:$W$87,0))</f>
        <v>7699.4345968668731</v>
      </c>
      <c r="W48" s="414"/>
      <c r="X48" s="413">
        <f>INDEX('Ag-Ind-Balancing'!$C$94:$W$94,1,MATCH(SummaryTables!X$2,'Ag-Ind-Balancing'!$C$87:$W$87,0))</f>
        <v>943835.39023907483</v>
      </c>
      <c r="Y48" s="414"/>
      <c r="Z48" s="413">
        <f>INDEX('Ag-Ind-Balancing'!$C$94:$W$94,1,MATCH(SummaryTables!Z$2,'Ag-Ind-Balancing'!$C$87:$W$87,0))</f>
        <v>44313.718350745345</v>
      </c>
      <c r="AA48" s="414"/>
      <c r="AB48" s="413">
        <f>INDEX('Ag-Ind-Balancing'!$C$94:$W$94,1,MATCH(SummaryTables!AB$2,'Ag-Ind-Balancing'!$C$87:$W$87,0))</f>
        <v>40761.639639622532</v>
      </c>
      <c r="AC48" s="415"/>
    </row>
    <row r="49" spans="1:29" s="70" customFormat="1">
      <c r="A49" s="215" t="s">
        <v>303</v>
      </c>
      <c r="B49" s="413">
        <f>INDEX('Ag-Ind-Capacity-Base'!$C$81:$W$81,1,MATCH(SummaryTables!B$2,'Ag-Ind-Capacity-Base'!$C$76:$W$76,0))</f>
        <v>245206.31922526253</v>
      </c>
      <c r="C49" s="414"/>
      <c r="D49" s="413">
        <f>INDEX('Ag-Ind-Capacity-Base'!$C$81:$W$81,1,MATCH(SummaryTables!D$2,'Ag-Ind-Capacity-Base'!$C$76:$W$76,0))</f>
        <v>5251400.5027131094</v>
      </c>
      <c r="E49" s="414"/>
      <c r="F49" s="413">
        <f>INDEX('Ag-Ind-Capacity-Base'!$C$81:$W$81,1,MATCH(SummaryTables!F$2,'Ag-Ind-Capacity-Base'!$C$76:$W$76,0))</f>
        <v>5599034.7486790102</v>
      </c>
      <c r="G49" s="414"/>
      <c r="H49" s="413">
        <f>INDEX('Ag-Ind-Capacity-Base'!$C$81:$W$81,1,MATCH(SummaryTables!H$2,'Ag-Ind-Capacity-Base'!$C$76:$W$76,0))</f>
        <v>5937646.3942073965</v>
      </c>
      <c r="I49" s="415"/>
      <c r="K49" s="215" t="s">
        <v>303</v>
      </c>
      <c r="L49" s="413">
        <f>INDEX('Ag-Ind-Capacity-Smart'!$C$113:$W$113,1,MATCH(SummaryTables!L$2,'Ag-Ind-Capacity-Smart'!$C$106:$W$106,0))</f>
        <v>1028307.425421549</v>
      </c>
      <c r="M49" s="414"/>
      <c r="N49" s="413">
        <f>INDEX('Ag-Ind-Capacity-Smart'!$C$113:$W$113,1,MATCH(SummaryTables!N$2,'Ag-Ind-Capacity-Smart'!$C$106:$W$106,0))</f>
        <v>22022491.703574337</v>
      </c>
      <c r="O49" s="414"/>
      <c r="P49" s="413">
        <f>INDEX('Ag-Ind-Capacity-Smart'!$C$113:$W$113,1,MATCH(SummaryTables!P$2,'Ag-Ind-Capacity-Smart'!$C$106:$W$106,0))</f>
        <v>23480345.145471804</v>
      </c>
      <c r="Q49" s="414"/>
      <c r="R49" s="413">
        <f>INDEX('Ag-Ind-Capacity-Smart'!$C$113:$W$113,1,MATCH(SummaryTables!R$2,'Ag-Ind-Capacity-Smart'!$C$106:$W$106,0))</f>
        <v>24900361.034667436</v>
      </c>
      <c r="S49" s="415"/>
      <c r="U49" s="215" t="s">
        <v>303</v>
      </c>
      <c r="V49" s="413">
        <f>INDEX('Ag-Ind-Balancing'!$C$106:$W$106,1,MATCH(SummaryTables!V$2,'Ag-Ind-Balancing'!$C$99:$W$99,0))</f>
        <v>18177.62812426372</v>
      </c>
      <c r="W49" s="414"/>
      <c r="X49" s="413">
        <f>INDEX('Ag-Ind-Balancing'!$C$106:$W$106,1,MATCH(SummaryTables!X$2,'Ag-Ind-Balancing'!$C$99:$W$99,0))</f>
        <v>7785933.5576255247</v>
      </c>
      <c r="Y49" s="414"/>
      <c r="Z49" s="413">
        <f>INDEX('Ag-Ind-Balancing'!$C$106:$W$106,1,MATCH(SummaryTables!Z$2,'Ag-Ind-Balancing'!$C$99:$W$99,0))</f>
        <v>8301349.8051669886</v>
      </c>
      <c r="AA49" s="414"/>
      <c r="AB49" s="413">
        <f>INDEX('Ag-Ind-Balancing'!$C$106:$W$106,1,MATCH(SummaryTables!AB$2,'Ag-Ind-Balancing'!$C$99:$W$99,0))</f>
        <v>8803388.7893503867</v>
      </c>
      <c r="AC49" s="415"/>
    </row>
    <row r="50" spans="1:29" s="70" customFormat="1" ht="15" thickBot="1">
      <c r="A50" s="318" t="s">
        <v>334</v>
      </c>
      <c r="B50" s="426">
        <f>SUM(B49,B48)</f>
        <v>264900.40753541444</v>
      </c>
      <c r="C50" s="427"/>
      <c r="D50" s="426">
        <f>SUM(D49,D48)</f>
        <v>5673174.075185352</v>
      </c>
      <c r="E50" s="427"/>
      <c r="F50" s="426">
        <f>SUM(F49,F48)</f>
        <v>6048729.0515847784</v>
      </c>
      <c r="G50" s="427"/>
      <c r="H50" s="426">
        <f>SUM(H49,H48)</f>
        <v>6414536.7647795761</v>
      </c>
      <c r="I50" s="428"/>
      <c r="K50" s="318" t="s">
        <v>334</v>
      </c>
      <c r="L50" s="426">
        <f>SUM(L49,L48)</f>
        <v>1889252.399616485</v>
      </c>
      <c r="M50" s="427"/>
      <c r="N50" s="426">
        <f>SUM(N49,N48)</f>
        <v>24976863.267837267</v>
      </c>
      <c r="O50" s="427"/>
      <c r="P50" s="426">
        <f>SUM(P49,P48)</f>
        <v>23728101.474991698</v>
      </c>
      <c r="Q50" s="427"/>
      <c r="R50" s="426">
        <f>SUM(R49,R48)</f>
        <v>25128257.825958829</v>
      </c>
      <c r="S50" s="428"/>
      <c r="U50" s="318" t="s">
        <v>334</v>
      </c>
      <c r="V50" s="426">
        <f>SUM(V49,V48)</f>
        <v>25877.062721130591</v>
      </c>
      <c r="W50" s="427"/>
      <c r="X50" s="426">
        <f>SUM(X49,X48)</f>
        <v>8729768.9478645995</v>
      </c>
      <c r="Y50" s="427"/>
      <c r="Z50" s="426">
        <f>SUM(Z49,Z48)</f>
        <v>8345663.5235177344</v>
      </c>
      <c r="AA50" s="427"/>
      <c r="AB50" s="426">
        <f>SUM(AB49,AB48)</f>
        <v>8844150.4289900102</v>
      </c>
      <c r="AC50" s="428"/>
    </row>
    <row r="51" spans="1:29" s="70" customFormat="1" ht="15" thickBot="1">
      <c r="A51" s="220" t="s">
        <v>270</v>
      </c>
      <c r="B51" s="423">
        <f>SUM(B42,B46,B50)</f>
        <v>10005617.81749714</v>
      </c>
      <c r="C51" s="425"/>
      <c r="D51" s="423">
        <f t="shared" ref="D51:F51" si="23">SUM(D42,D46,D50)</f>
        <v>47203791.833337747</v>
      </c>
      <c r="E51" s="425"/>
      <c r="F51" s="423">
        <f t="shared" si="23"/>
        <v>26741767.081412062</v>
      </c>
      <c r="G51" s="425"/>
      <c r="H51" s="423">
        <f>SUM(H42,H46,H50)</f>
        <v>28076786.55662445</v>
      </c>
      <c r="I51" s="424"/>
      <c r="K51" s="220" t="s">
        <v>270</v>
      </c>
      <c r="L51" s="423">
        <f>SUM(L42,L46,L50)</f>
        <v>25609749.240167689</v>
      </c>
      <c r="M51" s="425"/>
      <c r="N51" s="423">
        <f t="shared" ref="N51:R51" si="24">SUM(N42,N46,N50)</f>
        <v>269161703.91279757</v>
      </c>
      <c r="O51" s="425"/>
      <c r="P51" s="423">
        <f t="shared" si="24"/>
        <v>200675905.6757257</v>
      </c>
      <c r="Q51" s="425"/>
      <c r="R51" s="423">
        <f t="shared" si="24"/>
        <v>211676420.51818165</v>
      </c>
      <c r="S51" s="424"/>
      <c r="U51" s="220" t="s">
        <v>270</v>
      </c>
      <c r="V51" s="423">
        <f>SUM(V42,V46,V50)</f>
        <v>72438.304998992156</v>
      </c>
      <c r="W51" s="425"/>
      <c r="X51" s="423">
        <f t="shared" ref="X51:AB51" si="25">SUM(X42,X46,X50)</f>
        <v>16636820.242725294</v>
      </c>
      <c r="Y51" s="425"/>
      <c r="Z51" s="423">
        <f t="shared" si="25"/>
        <v>10852975.369437788</v>
      </c>
      <c r="AA51" s="425"/>
      <c r="AB51" s="423">
        <f t="shared" si="25"/>
        <v>11465037.669574391</v>
      </c>
      <c r="AC51" s="424"/>
    </row>
    <row r="52" spans="1:29" s="70" customFormat="1">
      <c r="A52" s="289"/>
      <c r="B52" s="290"/>
      <c r="C52" s="290"/>
      <c r="D52" s="290"/>
      <c r="E52" s="290"/>
      <c r="F52" s="290"/>
      <c r="G52" s="290"/>
      <c r="H52" s="290"/>
      <c r="I52" s="290"/>
      <c r="K52" s="289"/>
      <c r="L52" s="290"/>
      <c r="M52" s="290"/>
      <c r="N52" s="290"/>
      <c r="O52" s="290"/>
      <c r="P52" s="290"/>
      <c r="Q52" s="290"/>
      <c r="R52" s="290"/>
      <c r="S52" s="290"/>
      <c r="U52" s="289"/>
      <c r="V52" s="291"/>
      <c r="W52" s="291"/>
      <c r="X52" s="291"/>
      <c r="Y52" s="291"/>
      <c r="Z52" s="291"/>
      <c r="AA52" s="291"/>
      <c r="AB52" s="291"/>
      <c r="AC52" s="291"/>
    </row>
    <row r="53" spans="1:29" s="70" customFormat="1" ht="15" thickBot="1">
      <c r="A53" s="71" t="s">
        <v>372</v>
      </c>
    </row>
    <row r="54" spans="1:29" s="70" customFormat="1" ht="15" thickBot="1">
      <c r="A54" s="364"/>
      <c r="B54" s="400" t="s">
        <v>370</v>
      </c>
      <c r="C54" s="400"/>
      <c r="D54" s="400"/>
      <c r="E54" s="400"/>
      <c r="F54" s="400"/>
      <c r="G54" s="400"/>
      <c r="H54" s="400"/>
      <c r="I54" s="401"/>
    </row>
    <row r="55" spans="1:29" s="70" customFormat="1" ht="15" thickBot="1">
      <c r="A55" s="322"/>
      <c r="B55" s="419">
        <v>2015</v>
      </c>
      <c r="C55" s="440"/>
      <c r="D55" s="419">
        <v>2020</v>
      </c>
      <c r="E55" s="420"/>
      <c r="F55" s="419">
        <v>2025</v>
      </c>
      <c r="G55" s="420"/>
      <c r="H55" s="419">
        <v>2030</v>
      </c>
      <c r="I55" s="420"/>
    </row>
    <row r="56" spans="1:29" s="70" customFormat="1" ht="15" thickBot="1">
      <c r="A56" s="288"/>
      <c r="B56" s="343" t="s">
        <v>178</v>
      </c>
      <c r="C56" s="323" t="s">
        <v>179</v>
      </c>
      <c r="D56" s="343" t="s">
        <v>178</v>
      </c>
      <c r="E56" s="342" t="s">
        <v>179</v>
      </c>
      <c r="F56" s="343" t="s">
        <v>178</v>
      </c>
      <c r="G56" s="342" t="s">
        <v>179</v>
      </c>
      <c r="H56" s="343" t="s">
        <v>178</v>
      </c>
      <c r="I56" s="342" t="s">
        <v>179</v>
      </c>
    </row>
    <row r="57" spans="1:29" s="70" customFormat="1">
      <c r="A57" s="344" t="s">
        <v>361</v>
      </c>
      <c r="B57" s="347">
        <f t="shared" ref="B57:I57" si="26">L22+B22</f>
        <v>145.54190711190216</v>
      </c>
      <c r="C57" s="348">
        <f t="shared" si="26"/>
        <v>129.90183864609696</v>
      </c>
      <c r="D57" s="347">
        <f t="shared" si="26"/>
        <v>3135.5589087456965</v>
      </c>
      <c r="E57" s="348">
        <f t="shared" si="26"/>
        <v>2836.9612953812471</v>
      </c>
      <c r="F57" s="347">
        <f t="shared" si="26"/>
        <v>3344.9568022116382</v>
      </c>
      <c r="G57" s="348">
        <f t="shared" si="26"/>
        <v>3025.9957650255842</v>
      </c>
      <c r="H57" s="347">
        <f t="shared" si="26"/>
        <v>3545.8198986000116</v>
      </c>
      <c r="I57" s="341">
        <f t="shared" si="26"/>
        <v>3208.0354206151051</v>
      </c>
    </row>
    <row r="58" spans="1:29" s="70" customFormat="1" ht="15" thickBot="1">
      <c r="A58" s="345" t="s">
        <v>363</v>
      </c>
      <c r="B58" s="365">
        <f t="shared" ref="B58:I58" si="27">B34+L34</f>
        <v>4.2834159489052379E-3</v>
      </c>
      <c r="C58" s="366">
        <f t="shared" si="27"/>
        <v>4.1651224395952606E-3</v>
      </c>
      <c r="D58" s="365">
        <f t="shared" si="27"/>
        <v>8.6455247290881679E-2</v>
      </c>
      <c r="E58" s="366">
        <f t="shared" si="27"/>
        <v>8.4117929650158546E-2</v>
      </c>
      <c r="F58" s="365">
        <f t="shared" si="27"/>
        <v>8.7506401545763071E-2</v>
      </c>
      <c r="G58" s="366">
        <f t="shared" si="27"/>
        <v>8.3547731645539788E-2</v>
      </c>
      <c r="H58" s="365">
        <f t="shared" si="27"/>
        <v>8.7823391926007383E-2</v>
      </c>
      <c r="I58" s="367">
        <f t="shared" si="27"/>
        <v>8.1815758738813027E-2</v>
      </c>
    </row>
    <row r="59" spans="1:29" s="70" customFormat="1" ht="15" thickBot="1">
      <c r="A59" s="346" t="s">
        <v>362</v>
      </c>
      <c r="B59" s="435">
        <f>B51+L51</f>
        <v>35615367.057664827</v>
      </c>
      <c r="C59" s="436"/>
      <c r="D59" s="435">
        <f>D51+N51</f>
        <v>316365495.74613529</v>
      </c>
      <c r="E59" s="437"/>
      <c r="F59" s="435">
        <f>F51+P51</f>
        <v>227417672.75713778</v>
      </c>
      <c r="G59" s="437"/>
      <c r="H59" s="435">
        <f>H51+R51</f>
        <v>239753207.07480609</v>
      </c>
      <c r="I59" s="437"/>
    </row>
    <row r="60" spans="1:29" s="70" customFormat="1" ht="15" thickBot="1">
      <c r="A60" s="317"/>
      <c r="B60" s="302"/>
      <c r="C60" s="302"/>
      <c r="D60" s="302"/>
      <c r="E60" s="302"/>
      <c r="F60" s="302"/>
      <c r="G60" s="302"/>
      <c r="H60" s="302"/>
      <c r="I60" s="303"/>
    </row>
    <row r="61" spans="1:29" s="70" customFormat="1" ht="15" thickBot="1">
      <c r="A61" s="364"/>
      <c r="B61" s="400" t="s">
        <v>371</v>
      </c>
      <c r="C61" s="400"/>
      <c r="D61" s="400"/>
      <c r="E61" s="400"/>
      <c r="F61" s="400"/>
      <c r="G61" s="400"/>
      <c r="H61" s="400"/>
      <c r="I61" s="401"/>
    </row>
    <row r="62" spans="1:29" s="70" customFormat="1" ht="15" thickBot="1">
      <c r="A62" s="322"/>
      <c r="B62" s="419">
        <v>2015</v>
      </c>
      <c r="C62" s="440"/>
      <c r="D62" s="419">
        <v>2020</v>
      </c>
      <c r="E62" s="420"/>
      <c r="F62" s="419">
        <v>2025</v>
      </c>
      <c r="G62" s="420"/>
      <c r="H62" s="419">
        <v>2030</v>
      </c>
      <c r="I62" s="420"/>
      <c r="J62"/>
      <c r="K62"/>
      <c r="L62"/>
      <c r="N62"/>
      <c r="P62"/>
      <c r="R62"/>
      <c r="T62"/>
      <c r="U62"/>
      <c r="V62"/>
      <c r="X62"/>
      <c r="Z62"/>
      <c r="AB62"/>
    </row>
    <row r="63" spans="1:29" s="70" customFormat="1" ht="15" thickBot="1">
      <c r="A63" s="288"/>
      <c r="B63" s="343" t="s">
        <v>178</v>
      </c>
      <c r="C63" s="323" t="s">
        <v>179</v>
      </c>
      <c r="D63" s="343" t="s">
        <v>178</v>
      </c>
      <c r="E63" s="342" t="s">
        <v>179</v>
      </c>
      <c r="F63" s="343" t="s">
        <v>178</v>
      </c>
      <c r="G63" s="342" t="s">
        <v>179</v>
      </c>
      <c r="H63" s="343" t="s">
        <v>178</v>
      </c>
      <c r="I63" s="342" t="s">
        <v>179</v>
      </c>
    </row>
    <row r="64" spans="1:29" s="70" customFormat="1">
      <c r="A64" s="344" t="s">
        <v>361</v>
      </c>
      <c r="B64" s="347">
        <f t="shared" ref="B64:I64" si="28">V22</f>
        <v>0.59213057280395909</v>
      </c>
      <c r="C64" s="348">
        <f t="shared" si="28"/>
        <v>0.62942792953921178</v>
      </c>
      <c r="D64" s="347">
        <f t="shared" si="28"/>
        <v>242.9092766006649</v>
      </c>
      <c r="E64" s="348">
        <f t="shared" si="28"/>
        <v>278.28237950612197</v>
      </c>
      <c r="F64" s="347">
        <f t="shared" si="28"/>
        <v>259.0060187291046</v>
      </c>
      <c r="G64" s="348">
        <f t="shared" si="28"/>
        <v>296.72076401161132</v>
      </c>
      <c r="H64" s="347">
        <f t="shared" si="28"/>
        <v>274.65694698133501</v>
      </c>
      <c r="I64" s="341">
        <f t="shared" si="28"/>
        <v>314.65255897284129</v>
      </c>
      <c r="J64"/>
      <c r="K64"/>
      <c r="L64"/>
      <c r="N64"/>
      <c r="P64"/>
      <c r="R64"/>
      <c r="T64"/>
      <c r="U64"/>
      <c r="V64"/>
      <c r="X64"/>
      <c r="Z64"/>
      <c r="AB64"/>
    </row>
    <row r="65" spans="1:28" s="70" customFormat="1" ht="15" thickBot="1">
      <c r="A65" s="345" t="s">
        <v>363</v>
      </c>
      <c r="B65" s="365">
        <f t="shared" ref="B65:I65" si="29">V34</f>
        <v>1.7426881299781008E-5</v>
      </c>
      <c r="C65" s="366">
        <f t="shared" si="29"/>
        <v>1.8985846248684082E-5</v>
      </c>
      <c r="D65" s="365">
        <f t="shared" si="29"/>
        <v>6.6976198467151452E-3</v>
      </c>
      <c r="E65" s="366">
        <f t="shared" si="29"/>
        <v>7.2024336298601938E-3</v>
      </c>
      <c r="F65" s="365">
        <f t="shared" si="29"/>
        <v>6.775777989925875E-3</v>
      </c>
      <c r="G65" s="366">
        <f t="shared" si="29"/>
        <v>7.1511551990476518E-3</v>
      </c>
      <c r="H65" s="365">
        <f t="shared" si="29"/>
        <v>6.80274390401672E-3</v>
      </c>
      <c r="I65" s="367">
        <f t="shared" si="29"/>
        <v>7.0046815461455381E-3</v>
      </c>
      <c r="J65"/>
      <c r="K65"/>
      <c r="L65"/>
      <c r="N65"/>
      <c r="P65"/>
      <c r="R65"/>
      <c r="T65"/>
      <c r="U65"/>
      <c r="V65"/>
      <c r="X65"/>
      <c r="Z65"/>
      <c r="AB65"/>
    </row>
    <row r="66" spans="1:28" s="70" customFormat="1" ht="15" thickBot="1">
      <c r="A66" s="346" t="s">
        <v>362</v>
      </c>
      <c r="B66" s="435">
        <f>+V51</f>
        <v>72438.304998992156</v>
      </c>
      <c r="C66" s="436"/>
      <c r="D66" s="435">
        <f>+X51</f>
        <v>16636820.242725294</v>
      </c>
      <c r="E66" s="437"/>
      <c r="F66" s="435">
        <f>+Z51</f>
        <v>10852975.369437788</v>
      </c>
      <c r="G66" s="437"/>
      <c r="H66" s="435">
        <f>+AB51</f>
        <v>11465037.669574391</v>
      </c>
      <c r="I66" s="437"/>
      <c r="J66"/>
      <c r="K66"/>
      <c r="L66"/>
      <c r="N66"/>
      <c r="P66"/>
      <c r="R66"/>
      <c r="T66"/>
      <c r="U66"/>
      <c r="V66"/>
      <c r="X66"/>
      <c r="Z66"/>
      <c r="AB66"/>
    </row>
  </sheetData>
  <mergeCells count="219">
    <mergeCell ref="V50:W50"/>
    <mergeCell ref="X50:Y50"/>
    <mergeCell ref="Z50:AA50"/>
    <mergeCell ref="AB50:AC50"/>
    <mergeCell ref="V51:W51"/>
    <mergeCell ref="X51:Y51"/>
    <mergeCell ref="Z51:AA51"/>
    <mergeCell ref="AB51:AC51"/>
    <mergeCell ref="V48:W48"/>
    <mergeCell ref="X48:Y48"/>
    <mergeCell ref="Z48:AA48"/>
    <mergeCell ref="AB48:AC48"/>
    <mergeCell ref="V49:W49"/>
    <mergeCell ref="X49:Y49"/>
    <mergeCell ref="Z49:AA49"/>
    <mergeCell ref="AB49:AC49"/>
    <mergeCell ref="V46:W46"/>
    <mergeCell ref="X46:Y46"/>
    <mergeCell ref="Z46:AA46"/>
    <mergeCell ref="AB46:AC46"/>
    <mergeCell ref="U47:AC47"/>
    <mergeCell ref="Z44:AA44"/>
    <mergeCell ref="AB44:AC44"/>
    <mergeCell ref="V45:W45"/>
    <mergeCell ref="X45:Y45"/>
    <mergeCell ref="Z45:AA45"/>
    <mergeCell ref="AB45:AC45"/>
    <mergeCell ref="V38:AC38"/>
    <mergeCell ref="U39:AC39"/>
    <mergeCell ref="V40:W40"/>
    <mergeCell ref="X40:Y40"/>
    <mergeCell ref="Z40:AA40"/>
    <mergeCell ref="AB40:AC40"/>
    <mergeCell ref="V36:AC36"/>
    <mergeCell ref="V37:W37"/>
    <mergeCell ref="X37:Y37"/>
    <mergeCell ref="Z37:AA37"/>
    <mergeCell ref="AB37:AC37"/>
    <mergeCell ref="V27:AC27"/>
    <mergeCell ref="V28:AC28"/>
    <mergeCell ref="V30:AC30"/>
    <mergeCell ref="B24:I24"/>
    <mergeCell ref="H25:I25"/>
    <mergeCell ref="B27:I27"/>
    <mergeCell ref="R2:S2"/>
    <mergeCell ref="V32:AC32"/>
    <mergeCell ref="V24:AC24"/>
    <mergeCell ref="V25:W25"/>
    <mergeCell ref="X25:Y25"/>
    <mergeCell ref="Z25:AA25"/>
    <mergeCell ref="AB25:AC25"/>
    <mergeCell ref="L1:S1"/>
    <mergeCell ref="V1:AC1"/>
    <mergeCell ref="L5:S5"/>
    <mergeCell ref="L11:S11"/>
    <mergeCell ref="L16:S16"/>
    <mergeCell ref="V5:AC5"/>
    <mergeCell ref="V11:AC11"/>
    <mergeCell ref="V16:AC16"/>
    <mergeCell ref="AB2:AC2"/>
    <mergeCell ref="V4:AC4"/>
    <mergeCell ref="L4:S4"/>
    <mergeCell ref="L24:S24"/>
    <mergeCell ref="L25:M25"/>
    <mergeCell ref="N25:O25"/>
    <mergeCell ref="P25:Q25"/>
    <mergeCell ref="R25:S25"/>
    <mergeCell ref="B11:I11"/>
    <mergeCell ref="B16:I16"/>
    <mergeCell ref="B28:I28"/>
    <mergeCell ref="B30:I30"/>
    <mergeCell ref="L28:S28"/>
    <mergeCell ref="L30:S30"/>
    <mergeCell ref="D40:E40"/>
    <mergeCell ref="B41:C41"/>
    <mergeCell ref="B40:C40"/>
    <mergeCell ref="H41:I41"/>
    <mergeCell ref="H40:I40"/>
    <mergeCell ref="F41:G41"/>
    <mergeCell ref="F40:G40"/>
    <mergeCell ref="B32:I32"/>
    <mergeCell ref="B37:C37"/>
    <mergeCell ref="D37:E37"/>
    <mergeCell ref="F37:G37"/>
    <mergeCell ref="H37:I37"/>
    <mergeCell ref="B36:I36"/>
    <mergeCell ref="V41:W41"/>
    <mergeCell ref="X41:Y41"/>
    <mergeCell ref="Z41:AA41"/>
    <mergeCell ref="AB41:AC41"/>
    <mergeCell ref="V42:W42"/>
    <mergeCell ref="X42:Y42"/>
    <mergeCell ref="Z42:AA42"/>
    <mergeCell ref="AB42:AC42"/>
    <mergeCell ref="K39:S39"/>
    <mergeCell ref="L40:M40"/>
    <mergeCell ref="N40:O40"/>
    <mergeCell ref="P40:Q40"/>
    <mergeCell ref="R40:S40"/>
    <mergeCell ref="U43:AC43"/>
    <mergeCell ref="V44:W44"/>
    <mergeCell ref="X44:Y44"/>
    <mergeCell ref="L51:M51"/>
    <mergeCell ref="N51:O51"/>
    <mergeCell ref="P51:Q51"/>
    <mergeCell ref="R51:S51"/>
    <mergeCell ref="L37:M37"/>
    <mergeCell ref="N37:O37"/>
    <mergeCell ref="P37:Q37"/>
    <mergeCell ref="R37:S37"/>
    <mergeCell ref="L38:S38"/>
    <mergeCell ref="L49:M49"/>
    <mergeCell ref="N49:O49"/>
    <mergeCell ref="P49:Q49"/>
    <mergeCell ref="R49:S49"/>
    <mergeCell ref="L50:M50"/>
    <mergeCell ref="N50:O50"/>
    <mergeCell ref="P50:Q50"/>
    <mergeCell ref="R50:S50"/>
    <mergeCell ref="K47:S47"/>
    <mergeCell ref="L48:M48"/>
    <mergeCell ref="N48:O48"/>
    <mergeCell ref="P48:Q48"/>
    <mergeCell ref="P2:Q2"/>
    <mergeCell ref="N2:O2"/>
    <mergeCell ref="L2:M2"/>
    <mergeCell ref="H62:I62"/>
    <mergeCell ref="F62:G62"/>
    <mergeCell ref="D62:E62"/>
    <mergeCell ref="B62:C62"/>
    <mergeCell ref="H59:I59"/>
    <mergeCell ref="F59:G59"/>
    <mergeCell ref="D59:E59"/>
    <mergeCell ref="B59:C59"/>
    <mergeCell ref="B55:C55"/>
    <mergeCell ref="H55:I55"/>
    <mergeCell ref="F55:G55"/>
    <mergeCell ref="K43:S43"/>
    <mergeCell ref="L44:M44"/>
    <mergeCell ref="N44:O44"/>
    <mergeCell ref="P44:Q44"/>
    <mergeCell ref="R44:S44"/>
    <mergeCell ref="L41:M41"/>
    <mergeCell ref="N41:O41"/>
    <mergeCell ref="P41:Q41"/>
    <mergeCell ref="R41:S41"/>
    <mergeCell ref="D48:E48"/>
    <mergeCell ref="H48:I48"/>
    <mergeCell ref="L32:S32"/>
    <mergeCell ref="L36:S36"/>
    <mergeCell ref="L27:S27"/>
    <mergeCell ref="B66:C66"/>
    <mergeCell ref="D66:E66"/>
    <mergeCell ref="F66:G66"/>
    <mergeCell ref="H66:I66"/>
    <mergeCell ref="L42:M42"/>
    <mergeCell ref="N42:O42"/>
    <mergeCell ref="P42:Q42"/>
    <mergeCell ref="R42:S42"/>
    <mergeCell ref="R48:S48"/>
    <mergeCell ref="L45:M45"/>
    <mergeCell ref="N45:O45"/>
    <mergeCell ref="P45:Q45"/>
    <mergeCell ref="R45:S45"/>
    <mergeCell ref="L46:M46"/>
    <mergeCell ref="N46:O46"/>
    <mergeCell ref="P46:Q46"/>
    <mergeCell ref="R46:S46"/>
    <mergeCell ref="B38:I38"/>
    <mergeCell ref="B42:C42"/>
    <mergeCell ref="D41:E41"/>
    <mergeCell ref="H42:I42"/>
    <mergeCell ref="D55:E55"/>
    <mergeCell ref="B39:I39"/>
    <mergeCell ref="B43:I43"/>
    <mergeCell ref="B47:I47"/>
    <mergeCell ref="H51:I51"/>
    <mergeCell ref="F51:G51"/>
    <mergeCell ref="D51:E51"/>
    <mergeCell ref="B51:C51"/>
    <mergeCell ref="B49:C49"/>
    <mergeCell ref="D49:E49"/>
    <mergeCell ref="F49:G49"/>
    <mergeCell ref="H49:I49"/>
    <mergeCell ref="B50:C50"/>
    <mergeCell ref="D50:E50"/>
    <mergeCell ref="F50:G50"/>
    <mergeCell ref="H50:I50"/>
    <mergeCell ref="B46:C46"/>
    <mergeCell ref="D46:E46"/>
    <mergeCell ref="F46:G46"/>
    <mergeCell ref="H46:I46"/>
    <mergeCell ref="B48:C48"/>
    <mergeCell ref="B54:I54"/>
    <mergeCell ref="F48:G48"/>
    <mergeCell ref="B61:I61"/>
    <mergeCell ref="B1:I1"/>
    <mergeCell ref="B5:I5"/>
    <mergeCell ref="B4:I4"/>
    <mergeCell ref="V2:W2"/>
    <mergeCell ref="X2:Y2"/>
    <mergeCell ref="Z2:AA2"/>
    <mergeCell ref="B25:C25"/>
    <mergeCell ref="D25:E25"/>
    <mergeCell ref="F25:G25"/>
    <mergeCell ref="H2:I2"/>
    <mergeCell ref="F2:G2"/>
    <mergeCell ref="D2:E2"/>
    <mergeCell ref="B2:C2"/>
    <mergeCell ref="B44:C44"/>
    <mergeCell ref="D44:E44"/>
    <mergeCell ref="F44:G44"/>
    <mergeCell ref="H44:I44"/>
    <mergeCell ref="B45:C45"/>
    <mergeCell ref="D45:E45"/>
    <mergeCell ref="F45:G45"/>
    <mergeCell ref="H45:I45"/>
    <mergeCell ref="D42:E42"/>
    <mergeCell ref="F42:G42"/>
  </mergeCells>
  <pageMargins left="0.7" right="0.7" top="0.75" bottom="0.75" header="0.3" footer="0.3"/>
  <pageSetup orientation="portrait" r:id="rId1"/>
  <ignoredErrors>
    <ignoredError sqref="B29:I34 W10:AA10 W15:AA15" formula="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AH18"/>
  <sheetViews>
    <sheetView zoomScaleNormal="100" workbookViewId="0">
      <pane xSplit="4" ySplit="3" topLeftCell="E4" activePane="bottomRight" state="frozen"/>
      <selection pane="topRight" activeCell="E1" sqref="E1"/>
      <selection pane="bottomLeft" activeCell="A3" sqref="A3"/>
      <selection pane="bottomRight" activeCell="K8" sqref="K8"/>
    </sheetView>
  </sheetViews>
  <sheetFormatPr defaultRowHeight="14.4"/>
  <cols>
    <col min="1" max="1" width="2.5546875" style="70" bestFit="1" customWidth="1"/>
    <col min="2" max="2" width="18.109375" customWidth="1"/>
    <col min="3" max="3" width="36" customWidth="1"/>
    <col min="4" max="4" width="3.88671875" style="70" hidden="1" customWidth="1"/>
    <col min="5" max="5" width="14.88671875" customWidth="1"/>
    <col min="6" max="6" width="12" customWidth="1"/>
    <col min="7" max="8" width="12" style="70" customWidth="1"/>
    <col min="9" max="9" width="15.6640625" style="70" customWidth="1"/>
    <col min="10" max="10" width="15.44140625" customWidth="1"/>
    <col min="11" max="11" width="10.109375" style="70" bestFit="1" customWidth="1"/>
    <col min="12" max="12" width="12.33203125" style="70" bestFit="1" customWidth="1"/>
    <col min="13" max="14" width="12.33203125" style="70" customWidth="1"/>
    <col min="15" max="15" width="30.5546875" customWidth="1"/>
    <col min="16" max="16" width="13.6640625" customWidth="1"/>
    <col min="17" max="18" width="12.33203125" style="70" customWidth="1"/>
    <col min="19" max="19" width="15.109375" style="70" customWidth="1"/>
    <col min="20" max="20" width="15.109375" customWidth="1"/>
    <col min="21" max="21" width="10.109375" style="70" bestFit="1" customWidth="1"/>
    <col min="22" max="24" width="12.44140625" style="70" customWidth="1"/>
    <col min="25" max="25" width="30.44140625" customWidth="1"/>
    <col min="26" max="26" width="11.88671875" customWidth="1"/>
    <col min="27" max="28" width="11.88671875" style="70" customWidth="1"/>
    <col min="29" max="29" width="15.88671875" style="70" customWidth="1"/>
    <col min="30" max="30" width="15.109375" customWidth="1"/>
    <col min="31" max="31" width="10.44140625" customWidth="1"/>
    <col min="32" max="32" width="12.33203125" customWidth="1"/>
    <col min="33" max="34" width="12.33203125" style="70" customWidth="1"/>
  </cols>
  <sheetData>
    <row r="1" spans="1:34" s="70" customFormat="1">
      <c r="A1" s="490" t="s">
        <v>227</v>
      </c>
      <c r="B1" s="490"/>
      <c r="C1" s="490" t="s">
        <v>254</v>
      </c>
      <c r="D1" s="207"/>
      <c r="E1" s="491" t="s">
        <v>266</v>
      </c>
      <c r="F1" s="492"/>
      <c r="G1" s="492"/>
      <c r="H1" s="492"/>
      <c r="I1" s="492"/>
      <c r="J1" s="492"/>
      <c r="K1" s="492"/>
      <c r="L1" s="493"/>
      <c r="M1" s="481" t="s">
        <v>378</v>
      </c>
      <c r="N1" s="482"/>
      <c r="O1" s="472" t="s">
        <v>267</v>
      </c>
      <c r="P1" s="473"/>
      <c r="Q1" s="473"/>
      <c r="R1" s="473"/>
      <c r="S1" s="473"/>
      <c r="T1" s="473"/>
      <c r="U1" s="473"/>
      <c r="V1" s="474"/>
      <c r="W1" s="457" t="s">
        <v>378</v>
      </c>
      <c r="X1" s="458"/>
      <c r="Y1" s="471" t="s">
        <v>268</v>
      </c>
      <c r="Z1" s="471"/>
      <c r="AA1" s="471"/>
      <c r="AB1" s="471"/>
      <c r="AC1" s="471"/>
      <c r="AD1" s="471"/>
      <c r="AE1" s="471"/>
      <c r="AF1" s="471"/>
      <c r="AG1" s="463" t="s">
        <v>378</v>
      </c>
      <c r="AH1" s="464"/>
    </row>
    <row r="2" spans="1:34" s="70" customFormat="1">
      <c r="A2" s="490"/>
      <c r="B2" s="490"/>
      <c r="C2" s="490"/>
      <c r="D2" s="264"/>
      <c r="E2" s="489" t="s">
        <v>253</v>
      </c>
      <c r="F2" s="488" t="s">
        <v>345</v>
      </c>
      <c r="G2" s="488"/>
      <c r="H2" s="488"/>
      <c r="I2" s="489" t="s">
        <v>354</v>
      </c>
      <c r="J2" s="489" t="s">
        <v>344</v>
      </c>
      <c r="K2" s="489" t="s">
        <v>346</v>
      </c>
      <c r="L2" s="489" t="s">
        <v>347</v>
      </c>
      <c r="M2" s="483" t="s">
        <v>380</v>
      </c>
      <c r="N2" s="484"/>
      <c r="O2" s="476" t="s">
        <v>253</v>
      </c>
      <c r="P2" s="475" t="s">
        <v>345</v>
      </c>
      <c r="Q2" s="475"/>
      <c r="R2" s="475"/>
      <c r="S2" s="465" t="s">
        <v>364</v>
      </c>
      <c r="T2" s="465" t="s">
        <v>344</v>
      </c>
      <c r="U2" s="465" t="s">
        <v>348</v>
      </c>
      <c r="V2" s="465" t="s">
        <v>347</v>
      </c>
      <c r="W2" s="459" t="s">
        <v>380</v>
      </c>
      <c r="X2" s="460"/>
      <c r="Y2" s="469" t="s">
        <v>253</v>
      </c>
      <c r="Z2" s="466" t="s">
        <v>345</v>
      </c>
      <c r="AA2" s="467"/>
      <c r="AB2" s="468"/>
      <c r="AC2" s="469" t="s">
        <v>364</v>
      </c>
      <c r="AD2" s="469" t="s">
        <v>349</v>
      </c>
      <c r="AE2" s="469" t="s">
        <v>346</v>
      </c>
      <c r="AF2" s="469" t="s">
        <v>350</v>
      </c>
      <c r="AG2" s="461" t="s">
        <v>380</v>
      </c>
      <c r="AH2" s="462"/>
    </row>
    <row r="3" spans="1:34" s="237" customFormat="1" ht="28.8">
      <c r="A3" s="490"/>
      <c r="B3" s="490"/>
      <c r="C3" s="490"/>
      <c r="D3" s="236"/>
      <c r="E3" s="489"/>
      <c r="F3" s="196" t="s">
        <v>250</v>
      </c>
      <c r="G3" s="196" t="s">
        <v>265</v>
      </c>
      <c r="H3" s="196" t="s">
        <v>302</v>
      </c>
      <c r="I3" s="489"/>
      <c r="J3" s="489"/>
      <c r="K3" s="489"/>
      <c r="L3" s="489"/>
      <c r="M3" s="362" t="s">
        <v>178</v>
      </c>
      <c r="N3" s="362" t="s">
        <v>179</v>
      </c>
      <c r="O3" s="477"/>
      <c r="P3" s="197" t="s">
        <v>250</v>
      </c>
      <c r="Q3" s="197" t="s">
        <v>265</v>
      </c>
      <c r="R3" s="197" t="s">
        <v>302</v>
      </c>
      <c r="S3" s="465"/>
      <c r="T3" s="465"/>
      <c r="U3" s="465"/>
      <c r="V3" s="465"/>
      <c r="W3" s="361" t="s">
        <v>178</v>
      </c>
      <c r="X3" s="361" t="s">
        <v>179</v>
      </c>
      <c r="Y3" s="470"/>
      <c r="Z3" s="203" t="s">
        <v>250</v>
      </c>
      <c r="AA3" s="203" t="s">
        <v>265</v>
      </c>
      <c r="AB3" s="203" t="s">
        <v>302</v>
      </c>
      <c r="AC3" s="470"/>
      <c r="AD3" s="470"/>
      <c r="AE3" s="470"/>
      <c r="AF3" s="470"/>
      <c r="AG3" s="359" t="s">
        <v>178</v>
      </c>
      <c r="AH3" s="360" t="s">
        <v>179</v>
      </c>
    </row>
    <row r="4" spans="1:34">
      <c r="A4" s="478">
        <v>1</v>
      </c>
      <c r="B4" s="485" t="s">
        <v>228</v>
      </c>
      <c r="C4" s="53" t="s">
        <v>273</v>
      </c>
      <c r="D4" s="205" t="s">
        <v>255</v>
      </c>
      <c r="E4" s="198" t="s">
        <v>251</v>
      </c>
      <c r="F4" s="274">
        <v>60</v>
      </c>
      <c r="G4" s="275">
        <f t="shared" ref="G4:G5" si="0">80*J4</f>
        <v>139.19999999999999</v>
      </c>
      <c r="H4" s="200">
        <v>0</v>
      </c>
      <c r="I4" s="274">
        <v>20</v>
      </c>
      <c r="J4" s="194">
        <v>1.74</v>
      </c>
      <c r="K4" s="270">
        <v>0.33</v>
      </c>
      <c r="L4" s="270">
        <v>0.25</v>
      </c>
      <c r="M4" s="292">
        <v>1</v>
      </c>
      <c r="N4" s="292">
        <f>1-M4</f>
        <v>0</v>
      </c>
      <c r="O4" s="195" t="s">
        <v>252</v>
      </c>
      <c r="P4" s="201">
        <f>400*T4</f>
        <v>696</v>
      </c>
      <c r="Q4" s="201">
        <f>114.9*T4</f>
        <v>199.92600000000002</v>
      </c>
      <c r="R4" s="278">
        <v>0</v>
      </c>
      <c r="S4" s="201">
        <f>I4*1.25</f>
        <v>25</v>
      </c>
      <c r="T4" s="279">
        <f>J4</f>
        <v>1.74</v>
      </c>
      <c r="U4" s="271">
        <f>K4</f>
        <v>0.33</v>
      </c>
      <c r="V4" s="271">
        <f>L4</f>
        <v>0.25</v>
      </c>
      <c r="W4" s="294">
        <f>M4</f>
        <v>1</v>
      </c>
      <c r="X4" s="294">
        <f>N4</f>
        <v>0</v>
      </c>
      <c r="Y4" s="204" t="s">
        <v>33</v>
      </c>
      <c r="Z4" s="221" t="s">
        <v>33</v>
      </c>
      <c r="AA4" s="204" t="s">
        <v>33</v>
      </c>
      <c r="AB4" s="204" t="s">
        <v>33</v>
      </c>
      <c r="AC4" s="204" t="s">
        <v>33</v>
      </c>
      <c r="AD4" s="204" t="s">
        <v>33</v>
      </c>
      <c r="AE4" s="204" t="s">
        <v>33</v>
      </c>
      <c r="AF4" s="204" t="s">
        <v>33</v>
      </c>
      <c r="AG4" s="295" t="s">
        <v>33</v>
      </c>
      <c r="AH4" s="295" t="s">
        <v>33</v>
      </c>
    </row>
    <row r="5" spans="1:34">
      <c r="A5" s="479"/>
      <c r="B5" s="486"/>
      <c r="C5" s="53" t="s">
        <v>263</v>
      </c>
      <c r="D5" s="205" t="s">
        <v>256</v>
      </c>
      <c r="E5" s="198" t="s">
        <v>251</v>
      </c>
      <c r="F5" s="200">
        <v>60</v>
      </c>
      <c r="G5" s="275">
        <f t="shared" si="0"/>
        <v>46.4</v>
      </c>
      <c r="H5" s="200">
        <v>0</v>
      </c>
      <c r="I5" s="274">
        <v>20</v>
      </c>
      <c r="J5" s="194">
        <v>0.57999999999999996</v>
      </c>
      <c r="K5" s="270">
        <v>0.56999999999999995</v>
      </c>
      <c r="L5" s="270">
        <v>0.25</v>
      </c>
      <c r="M5" s="292">
        <v>1</v>
      </c>
      <c r="N5" s="292">
        <v>1</v>
      </c>
      <c r="O5" s="195" t="s">
        <v>274</v>
      </c>
      <c r="P5" s="201">
        <f>400*T5</f>
        <v>231.99999999999997</v>
      </c>
      <c r="Q5" s="201">
        <f>114.9*T5</f>
        <v>66.641999999999996</v>
      </c>
      <c r="R5" s="278">
        <v>0</v>
      </c>
      <c r="S5" s="201">
        <f t="shared" ref="S5:S7" si="1">I5*1.25</f>
        <v>25</v>
      </c>
      <c r="T5" s="279">
        <f t="shared" ref="T5:T12" si="2">J5</f>
        <v>0.57999999999999996</v>
      </c>
      <c r="U5" s="271">
        <f t="shared" ref="U5:U9" si="3">K5</f>
        <v>0.56999999999999995</v>
      </c>
      <c r="V5" s="271">
        <f t="shared" ref="V5:V12" si="4">L5</f>
        <v>0.25</v>
      </c>
      <c r="W5" s="294">
        <f t="shared" ref="W5:X14" si="5">M5</f>
        <v>1</v>
      </c>
      <c r="X5" s="294">
        <f t="shared" si="5"/>
        <v>1</v>
      </c>
      <c r="Y5" s="204" t="str">
        <f>O5</f>
        <v>Water Heater Controls</v>
      </c>
      <c r="Z5" s="221">
        <f t="shared" ref="Z5:Z14" si="6">P5</f>
        <v>231.99999999999997</v>
      </c>
      <c r="AA5" s="280">
        <f>Q5</f>
        <v>66.641999999999996</v>
      </c>
      <c r="AB5" s="280">
        <f t="shared" ref="AB5" si="7">R5*1.1</f>
        <v>0</v>
      </c>
      <c r="AC5" s="280">
        <f>S5*1.5</f>
        <v>37.5</v>
      </c>
      <c r="AD5" s="280">
        <f>T5</f>
        <v>0.57999999999999996</v>
      </c>
      <c r="AE5" s="273">
        <v>1</v>
      </c>
      <c r="AF5" s="273">
        <f>V5</f>
        <v>0.25</v>
      </c>
      <c r="AG5" s="295">
        <f t="shared" ref="AG5:AH14" si="8">M5</f>
        <v>1</v>
      </c>
      <c r="AH5" s="295">
        <f t="shared" si="8"/>
        <v>1</v>
      </c>
    </row>
    <row r="6" spans="1:34">
      <c r="A6" s="479"/>
      <c r="B6" s="486"/>
      <c r="C6" s="199" t="s">
        <v>272</v>
      </c>
      <c r="D6" s="205" t="s">
        <v>257</v>
      </c>
      <c r="E6" s="198" t="s">
        <v>251</v>
      </c>
      <c r="F6" s="200">
        <v>60</v>
      </c>
      <c r="G6" s="275">
        <f>80*J6</f>
        <v>48</v>
      </c>
      <c r="H6" s="274">
        <v>0</v>
      </c>
      <c r="I6" s="274">
        <v>20</v>
      </c>
      <c r="J6" s="194">
        <v>0.6</v>
      </c>
      <c r="K6" s="270">
        <v>0.35</v>
      </c>
      <c r="L6" s="270">
        <v>0.25</v>
      </c>
      <c r="M6" s="292">
        <v>0</v>
      </c>
      <c r="N6" s="292">
        <f t="shared" ref="N6:N7" si="9">1-M6</f>
        <v>1</v>
      </c>
      <c r="O6" s="195" t="s">
        <v>252</v>
      </c>
      <c r="P6" s="201">
        <f>400*T6</f>
        <v>240</v>
      </c>
      <c r="Q6" s="201">
        <f>114.9*T6</f>
        <v>68.94</v>
      </c>
      <c r="R6" s="278">
        <v>0</v>
      </c>
      <c r="S6" s="201">
        <f t="shared" si="1"/>
        <v>25</v>
      </c>
      <c r="T6" s="279">
        <f t="shared" si="2"/>
        <v>0.6</v>
      </c>
      <c r="U6" s="271">
        <f t="shared" si="3"/>
        <v>0.35</v>
      </c>
      <c r="V6" s="271">
        <f t="shared" si="4"/>
        <v>0.25</v>
      </c>
      <c r="W6" s="294">
        <f t="shared" si="5"/>
        <v>0</v>
      </c>
      <c r="X6" s="294">
        <f t="shared" si="5"/>
        <v>1</v>
      </c>
      <c r="Y6" s="204" t="s">
        <v>33</v>
      </c>
      <c r="Z6" s="221" t="s">
        <v>33</v>
      </c>
      <c r="AA6" s="280" t="s">
        <v>33</v>
      </c>
      <c r="AB6" s="281" t="s">
        <v>33</v>
      </c>
      <c r="AC6" s="280" t="s">
        <v>33</v>
      </c>
      <c r="AD6" s="280" t="s">
        <v>33</v>
      </c>
      <c r="AE6" s="273" t="s">
        <v>33</v>
      </c>
      <c r="AF6" s="273" t="s">
        <v>33</v>
      </c>
      <c r="AG6" s="295">
        <f t="shared" si="8"/>
        <v>0</v>
      </c>
      <c r="AH6" s="295">
        <f t="shared" si="8"/>
        <v>1</v>
      </c>
    </row>
    <row r="7" spans="1:34" s="70" customFormat="1">
      <c r="A7" s="480"/>
      <c r="B7" s="487"/>
      <c r="C7" s="199" t="s">
        <v>283</v>
      </c>
      <c r="D7" s="206" t="s">
        <v>258</v>
      </c>
      <c r="E7" s="198" t="s">
        <v>251</v>
      </c>
      <c r="F7" s="219">
        <v>40</v>
      </c>
      <c r="G7" s="275">
        <f>80*J7</f>
        <v>21.6</v>
      </c>
      <c r="H7" s="274">
        <v>0</v>
      </c>
      <c r="I7" s="274">
        <v>20</v>
      </c>
      <c r="J7" s="194">
        <v>0.27</v>
      </c>
      <c r="K7" s="270">
        <f>K6/2</f>
        <v>0.17499999999999999</v>
      </c>
      <c r="L7" s="270">
        <v>0.25</v>
      </c>
      <c r="M7" s="292">
        <v>0</v>
      </c>
      <c r="N7" s="292">
        <f t="shared" si="9"/>
        <v>1</v>
      </c>
      <c r="O7" s="195" t="s">
        <v>252</v>
      </c>
      <c r="P7" s="201">
        <f>400*T7</f>
        <v>108</v>
      </c>
      <c r="Q7" s="201">
        <f>114.9*T7</f>
        <v>31.023000000000003</v>
      </c>
      <c r="R7" s="278">
        <v>0</v>
      </c>
      <c r="S7" s="201">
        <f t="shared" si="1"/>
        <v>25</v>
      </c>
      <c r="T7" s="279">
        <f t="shared" si="2"/>
        <v>0.27</v>
      </c>
      <c r="U7" s="271">
        <f t="shared" si="3"/>
        <v>0.17499999999999999</v>
      </c>
      <c r="V7" s="271">
        <f t="shared" si="4"/>
        <v>0.25</v>
      </c>
      <c r="W7" s="294">
        <f t="shared" si="5"/>
        <v>0</v>
      </c>
      <c r="X7" s="294">
        <f t="shared" si="5"/>
        <v>1</v>
      </c>
      <c r="Y7" s="204" t="s">
        <v>33</v>
      </c>
      <c r="Z7" s="221" t="s">
        <v>33</v>
      </c>
      <c r="AA7" s="280" t="s">
        <v>33</v>
      </c>
      <c r="AB7" s="281" t="s">
        <v>33</v>
      </c>
      <c r="AC7" s="280" t="s">
        <v>33</v>
      </c>
      <c r="AD7" s="280" t="s">
        <v>33</v>
      </c>
      <c r="AE7" s="273" t="s">
        <v>33</v>
      </c>
      <c r="AF7" s="273" t="s">
        <v>33</v>
      </c>
      <c r="AG7" s="295">
        <f t="shared" si="8"/>
        <v>0</v>
      </c>
      <c r="AH7" s="295">
        <f t="shared" si="8"/>
        <v>1</v>
      </c>
    </row>
    <row r="8" spans="1:34">
      <c r="A8" s="478">
        <v>2</v>
      </c>
      <c r="B8" s="485" t="s">
        <v>229</v>
      </c>
      <c r="C8" s="199" t="s">
        <v>275</v>
      </c>
      <c r="D8" s="205" t="s">
        <v>259</v>
      </c>
      <c r="E8" s="198" t="s">
        <v>251</v>
      </c>
      <c r="F8" s="200">
        <v>100</v>
      </c>
      <c r="G8" s="275">
        <f>60*J8</f>
        <v>168</v>
      </c>
      <c r="H8" s="274">
        <v>0</v>
      </c>
      <c r="I8" s="274">
        <v>10</v>
      </c>
      <c r="J8" s="194">
        <v>2.8</v>
      </c>
      <c r="K8" s="270">
        <f>0.58*0.6</f>
        <v>0.34799999999999998</v>
      </c>
      <c r="L8" s="270">
        <v>0.15</v>
      </c>
      <c r="M8" s="292">
        <v>0.5</v>
      </c>
      <c r="N8" s="292">
        <v>1</v>
      </c>
      <c r="O8" s="195" t="s">
        <v>252</v>
      </c>
      <c r="P8" s="201">
        <f>285.17*T8</f>
        <v>798.476</v>
      </c>
      <c r="Q8" s="201">
        <f>82.07*T8</f>
        <v>229.79599999999996</v>
      </c>
      <c r="R8" s="278">
        <v>0</v>
      </c>
      <c r="S8" s="201">
        <v>20</v>
      </c>
      <c r="T8" s="279">
        <f t="shared" si="2"/>
        <v>2.8</v>
      </c>
      <c r="U8" s="271">
        <f t="shared" si="3"/>
        <v>0.34799999999999998</v>
      </c>
      <c r="V8" s="271">
        <f t="shared" si="4"/>
        <v>0.15</v>
      </c>
      <c r="W8" s="294">
        <f t="shared" si="5"/>
        <v>0.5</v>
      </c>
      <c r="X8" s="294">
        <f t="shared" si="5"/>
        <v>1</v>
      </c>
      <c r="Y8" s="204" t="s">
        <v>33</v>
      </c>
      <c r="Z8" s="221" t="s">
        <v>33</v>
      </c>
      <c r="AA8" s="280" t="s">
        <v>33</v>
      </c>
      <c r="AB8" s="281" t="s">
        <v>33</v>
      </c>
      <c r="AC8" s="280" t="s">
        <v>33</v>
      </c>
      <c r="AD8" s="280" t="s">
        <v>33</v>
      </c>
      <c r="AE8" s="273" t="s">
        <v>33</v>
      </c>
      <c r="AF8" s="273" t="s">
        <v>33</v>
      </c>
      <c r="AG8" s="295">
        <f t="shared" si="8"/>
        <v>0.5</v>
      </c>
      <c r="AH8" s="295">
        <f t="shared" si="8"/>
        <v>1</v>
      </c>
    </row>
    <row r="9" spans="1:34" s="70" customFormat="1">
      <c r="A9" s="479"/>
      <c r="B9" s="486"/>
      <c r="C9" s="199" t="s">
        <v>276</v>
      </c>
      <c r="D9" s="206" t="s">
        <v>260</v>
      </c>
      <c r="E9" s="198" t="s">
        <v>251</v>
      </c>
      <c r="F9" s="274">
        <v>100</v>
      </c>
      <c r="G9" s="275">
        <f>60*J9</f>
        <v>900</v>
      </c>
      <c r="H9" s="274">
        <v>0</v>
      </c>
      <c r="I9" s="274">
        <v>10</v>
      </c>
      <c r="J9" s="276">
        <v>15</v>
      </c>
      <c r="K9" s="270">
        <f>0.58*0.3</f>
        <v>0.17399999999999999</v>
      </c>
      <c r="L9" s="270">
        <v>0.15</v>
      </c>
      <c r="M9" s="292">
        <v>0.5</v>
      </c>
      <c r="N9" s="292">
        <v>1</v>
      </c>
      <c r="O9" s="195" t="s">
        <v>297</v>
      </c>
      <c r="P9" s="201">
        <f>138.5*T9</f>
        <v>2077.5</v>
      </c>
      <c r="Q9" s="201">
        <f>96*T9</f>
        <v>1440</v>
      </c>
      <c r="R9" s="278">
        <v>0</v>
      </c>
      <c r="S9" s="201">
        <v>20</v>
      </c>
      <c r="T9" s="279">
        <f t="shared" si="2"/>
        <v>15</v>
      </c>
      <c r="U9" s="271">
        <f t="shared" si="3"/>
        <v>0.17399999999999999</v>
      </c>
      <c r="V9" s="271">
        <f t="shared" si="4"/>
        <v>0.15</v>
      </c>
      <c r="W9" s="294">
        <f t="shared" si="5"/>
        <v>0.5</v>
      </c>
      <c r="X9" s="294">
        <f t="shared" si="5"/>
        <v>1</v>
      </c>
      <c r="Y9" s="204" t="s">
        <v>297</v>
      </c>
      <c r="Z9" s="221">
        <f t="shared" si="6"/>
        <v>2077.5</v>
      </c>
      <c r="AA9" s="280">
        <f t="shared" ref="AA9:AA14" si="10">Q9</f>
        <v>1440</v>
      </c>
      <c r="AB9" s="280">
        <f t="shared" ref="AB9" si="11">R9</f>
        <v>0</v>
      </c>
      <c r="AC9" s="280">
        <f t="shared" ref="AC9:AC14" si="12">S9*1.5</f>
        <v>30</v>
      </c>
      <c r="AD9" s="280">
        <f t="shared" ref="AD9:AD14" si="13">T9</f>
        <v>15</v>
      </c>
      <c r="AE9" s="273">
        <v>1</v>
      </c>
      <c r="AF9" s="273">
        <f>V9</f>
        <v>0.15</v>
      </c>
      <c r="AG9" s="295">
        <f t="shared" si="8"/>
        <v>0.5</v>
      </c>
      <c r="AH9" s="295">
        <f t="shared" si="8"/>
        <v>1</v>
      </c>
    </row>
    <row r="10" spans="1:34" s="70" customFormat="1">
      <c r="A10" s="480"/>
      <c r="B10" s="487"/>
      <c r="C10" s="199" t="s">
        <v>298</v>
      </c>
      <c r="D10" s="206" t="s">
        <v>261</v>
      </c>
      <c r="E10" s="198" t="s">
        <v>33</v>
      </c>
      <c r="F10" s="200" t="s">
        <v>33</v>
      </c>
      <c r="G10" s="275" t="s">
        <v>33</v>
      </c>
      <c r="H10" s="274" t="s">
        <v>33</v>
      </c>
      <c r="I10" s="274" t="s">
        <v>33</v>
      </c>
      <c r="J10" s="200" t="s">
        <v>33</v>
      </c>
      <c r="K10" s="222" t="s">
        <v>33</v>
      </c>
      <c r="L10" s="270" t="s">
        <v>33</v>
      </c>
      <c r="M10" s="292">
        <v>1</v>
      </c>
      <c r="N10" s="292">
        <v>1</v>
      </c>
      <c r="O10" s="195" t="s">
        <v>297</v>
      </c>
      <c r="P10" s="201">
        <f>138.5*T10</f>
        <v>7894.5</v>
      </c>
      <c r="Q10" s="201">
        <f>96*T10</f>
        <v>5472</v>
      </c>
      <c r="R10" s="278">
        <v>0</v>
      </c>
      <c r="S10" s="201">
        <v>20</v>
      </c>
      <c r="T10" s="279">
        <v>57</v>
      </c>
      <c r="U10" s="271">
        <v>0.25</v>
      </c>
      <c r="V10" s="271">
        <v>0.15</v>
      </c>
      <c r="W10" s="294">
        <f t="shared" si="5"/>
        <v>1</v>
      </c>
      <c r="X10" s="294">
        <f t="shared" si="5"/>
        <v>1</v>
      </c>
      <c r="Y10" s="204" t="str">
        <f>O10</f>
        <v>AutoDR</v>
      </c>
      <c r="Z10" s="221">
        <f t="shared" si="6"/>
        <v>7894.5</v>
      </c>
      <c r="AA10" s="280">
        <f t="shared" si="10"/>
        <v>5472</v>
      </c>
      <c r="AB10" s="280">
        <f t="shared" ref="AB10:AB14" si="14">R10</f>
        <v>0</v>
      </c>
      <c r="AC10" s="280">
        <f t="shared" si="12"/>
        <v>30</v>
      </c>
      <c r="AD10" s="280">
        <f t="shared" si="13"/>
        <v>57</v>
      </c>
      <c r="AE10" s="273">
        <v>1</v>
      </c>
      <c r="AF10" s="273">
        <f t="shared" ref="AF10:AF13" si="15">V10</f>
        <v>0.15</v>
      </c>
      <c r="AG10" s="295">
        <f t="shared" si="8"/>
        <v>1</v>
      </c>
      <c r="AH10" s="295">
        <f t="shared" si="8"/>
        <v>1</v>
      </c>
    </row>
    <row r="11" spans="1:34">
      <c r="A11" s="478">
        <v>3</v>
      </c>
      <c r="B11" s="381" t="s">
        <v>318</v>
      </c>
      <c r="C11" s="53" t="s">
        <v>264</v>
      </c>
      <c r="D11" s="205" t="s">
        <v>262</v>
      </c>
      <c r="E11" s="198" t="s">
        <v>251</v>
      </c>
      <c r="F11" s="274">
        <v>100</v>
      </c>
      <c r="G11" s="275">
        <f>40*J11</f>
        <v>1000</v>
      </c>
      <c r="H11" s="274">
        <v>0</v>
      </c>
      <c r="I11" s="274">
        <v>10</v>
      </c>
      <c r="J11" s="276">
        <v>25</v>
      </c>
      <c r="K11" s="270">
        <v>0.7</v>
      </c>
      <c r="L11" s="270">
        <v>0.2</v>
      </c>
      <c r="M11" s="292">
        <v>0.9</v>
      </c>
      <c r="N11" s="292">
        <v>1</v>
      </c>
      <c r="O11" s="195" t="s">
        <v>297</v>
      </c>
      <c r="P11" s="201">
        <f>138.5*T11</f>
        <v>3462.5</v>
      </c>
      <c r="Q11" s="201">
        <f>96*T11</f>
        <v>2400</v>
      </c>
      <c r="R11" s="278">
        <v>0</v>
      </c>
      <c r="S11" s="201">
        <v>20</v>
      </c>
      <c r="T11" s="279">
        <f t="shared" si="2"/>
        <v>25</v>
      </c>
      <c r="U11" s="271">
        <f>K11*0.5</f>
        <v>0.35</v>
      </c>
      <c r="V11" s="271">
        <f t="shared" si="4"/>
        <v>0.2</v>
      </c>
      <c r="W11" s="294">
        <f t="shared" si="5"/>
        <v>0.9</v>
      </c>
      <c r="X11" s="294">
        <f t="shared" si="5"/>
        <v>1</v>
      </c>
      <c r="Y11" s="204" t="s">
        <v>297</v>
      </c>
      <c r="Z11" s="221">
        <f t="shared" si="6"/>
        <v>3462.5</v>
      </c>
      <c r="AA11" s="280">
        <f t="shared" si="10"/>
        <v>2400</v>
      </c>
      <c r="AB11" s="280">
        <f t="shared" si="14"/>
        <v>0</v>
      </c>
      <c r="AC11" s="280">
        <f t="shared" si="12"/>
        <v>30</v>
      </c>
      <c r="AD11" s="280">
        <f t="shared" si="13"/>
        <v>25</v>
      </c>
      <c r="AE11" s="273">
        <v>1</v>
      </c>
      <c r="AF11" s="273">
        <f t="shared" si="15"/>
        <v>0.2</v>
      </c>
      <c r="AG11" s="295">
        <f t="shared" si="8"/>
        <v>0.9</v>
      </c>
      <c r="AH11" s="295">
        <f t="shared" si="8"/>
        <v>1</v>
      </c>
    </row>
    <row r="12" spans="1:34" ht="15" customHeight="1">
      <c r="A12" s="479"/>
      <c r="B12" s="382"/>
      <c r="C12" s="53" t="s">
        <v>248</v>
      </c>
      <c r="D12" s="208" t="s">
        <v>341</v>
      </c>
      <c r="E12" s="198" t="s">
        <v>271</v>
      </c>
      <c r="F12" s="200">
        <v>0</v>
      </c>
      <c r="G12" s="200">
        <v>0</v>
      </c>
      <c r="H12" s="200">
        <v>0</v>
      </c>
      <c r="I12" s="219">
        <v>10</v>
      </c>
      <c r="J12" s="276">
        <v>500</v>
      </c>
      <c r="K12" s="270">
        <v>0.7</v>
      </c>
      <c r="L12" s="222">
        <v>0.25</v>
      </c>
      <c r="M12" s="293">
        <v>1</v>
      </c>
      <c r="N12" s="292">
        <v>1</v>
      </c>
      <c r="O12" s="195" t="s">
        <v>297</v>
      </c>
      <c r="P12" s="201">
        <v>2500</v>
      </c>
      <c r="Q12" s="201">
        <f>P12/2</f>
        <v>1250</v>
      </c>
      <c r="R12" s="278">
        <v>0</v>
      </c>
      <c r="S12" s="201">
        <v>20</v>
      </c>
      <c r="T12" s="279">
        <f t="shared" si="2"/>
        <v>500</v>
      </c>
      <c r="U12" s="271">
        <f>K12*0.25</f>
        <v>0.17499999999999999</v>
      </c>
      <c r="V12" s="271">
        <f t="shared" si="4"/>
        <v>0.25</v>
      </c>
      <c r="W12" s="294">
        <f t="shared" si="5"/>
        <v>1</v>
      </c>
      <c r="X12" s="294">
        <f t="shared" si="5"/>
        <v>1</v>
      </c>
      <c r="Y12" s="204" t="s">
        <v>297</v>
      </c>
      <c r="Z12" s="221">
        <f t="shared" si="6"/>
        <v>2500</v>
      </c>
      <c r="AA12" s="280">
        <f t="shared" si="10"/>
        <v>1250</v>
      </c>
      <c r="AB12" s="280">
        <f t="shared" si="14"/>
        <v>0</v>
      </c>
      <c r="AC12" s="280">
        <f t="shared" si="12"/>
        <v>30</v>
      </c>
      <c r="AD12" s="280">
        <f t="shared" si="13"/>
        <v>500</v>
      </c>
      <c r="AE12" s="273">
        <v>1</v>
      </c>
      <c r="AF12" s="273">
        <f t="shared" si="15"/>
        <v>0.25</v>
      </c>
      <c r="AG12" s="295">
        <f t="shared" si="8"/>
        <v>1</v>
      </c>
      <c r="AH12" s="295">
        <f t="shared" si="8"/>
        <v>1</v>
      </c>
    </row>
    <row r="13" spans="1:34">
      <c r="A13" s="479"/>
      <c r="B13" s="382"/>
      <c r="C13" s="53" t="s">
        <v>249</v>
      </c>
      <c r="D13" s="208" t="s">
        <v>342</v>
      </c>
      <c r="E13" s="198" t="s">
        <v>33</v>
      </c>
      <c r="F13" s="245" t="s">
        <v>33</v>
      </c>
      <c r="G13" s="200" t="s">
        <v>33</v>
      </c>
      <c r="H13" s="200" t="s">
        <v>33</v>
      </c>
      <c r="I13" s="200" t="s">
        <v>33</v>
      </c>
      <c r="J13" s="200" t="s">
        <v>33</v>
      </c>
      <c r="K13" s="222" t="s">
        <v>33</v>
      </c>
      <c r="L13" s="222" t="s">
        <v>33</v>
      </c>
      <c r="M13" s="293">
        <v>1</v>
      </c>
      <c r="N13" s="292">
        <v>1</v>
      </c>
      <c r="O13" s="195" t="s">
        <v>297</v>
      </c>
      <c r="P13" s="201">
        <v>2500</v>
      </c>
      <c r="Q13" s="201">
        <f>P13/2</f>
        <v>1250</v>
      </c>
      <c r="R13" s="278">
        <v>0</v>
      </c>
      <c r="S13" s="201">
        <v>50</v>
      </c>
      <c r="T13" s="279">
        <v>100</v>
      </c>
      <c r="U13" s="271">
        <f>U12</f>
        <v>0.17499999999999999</v>
      </c>
      <c r="V13" s="271">
        <f>V12</f>
        <v>0.25</v>
      </c>
      <c r="W13" s="294">
        <f t="shared" si="5"/>
        <v>1</v>
      </c>
      <c r="X13" s="294">
        <f t="shared" si="5"/>
        <v>1</v>
      </c>
      <c r="Y13" s="204" t="s">
        <v>297</v>
      </c>
      <c r="Z13" s="221">
        <f t="shared" si="6"/>
        <v>2500</v>
      </c>
      <c r="AA13" s="280">
        <f t="shared" si="10"/>
        <v>1250</v>
      </c>
      <c r="AB13" s="280">
        <f t="shared" si="14"/>
        <v>0</v>
      </c>
      <c r="AC13" s="280">
        <f t="shared" si="12"/>
        <v>75</v>
      </c>
      <c r="AD13" s="280">
        <f t="shared" si="13"/>
        <v>100</v>
      </c>
      <c r="AE13" s="273">
        <v>1</v>
      </c>
      <c r="AF13" s="273">
        <f t="shared" si="15"/>
        <v>0.25</v>
      </c>
      <c r="AG13" s="295">
        <f t="shared" si="8"/>
        <v>1</v>
      </c>
      <c r="AH13" s="295">
        <f t="shared" si="8"/>
        <v>1</v>
      </c>
    </row>
    <row r="14" spans="1:34">
      <c r="A14" s="480"/>
      <c r="B14" s="383"/>
      <c r="C14" s="53" t="s">
        <v>206</v>
      </c>
      <c r="D14" s="208" t="s">
        <v>343</v>
      </c>
      <c r="E14" s="198" t="s">
        <v>33</v>
      </c>
      <c r="F14" s="245" t="s">
        <v>33</v>
      </c>
      <c r="G14" s="200" t="s">
        <v>33</v>
      </c>
      <c r="H14" s="200" t="s">
        <v>33</v>
      </c>
      <c r="I14" s="200" t="s">
        <v>33</v>
      </c>
      <c r="J14" s="200" t="s">
        <v>33</v>
      </c>
      <c r="K14" s="222" t="s">
        <v>33</v>
      </c>
      <c r="L14" s="222" t="s">
        <v>33</v>
      </c>
      <c r="M14" s="293">
        <v>0.9</v>
      </c>
      <c r="N14" s="292">
        <v>1</v>
      </c>
      <c r="O14" s="195" t="s">
        <v>317</v>
      </c>
      <c r="P14" s="201">
        <v>5000</v>
      </c>
      <c r="Q14" s="213">
        <f>P14/2</f>
        <v>2500</v>
      </c>
      <c r="R14" s="278">
        <v>0</v>
      </c>
      <c r="S14" s="201">
        <v>20</v>
      </c>
      <c r="T14" s="279">
        <v>250</v>
      </c>
      <c r="U14" s="271">
        <f>U12</f>
        <v>0.17499999999999999</v>
      </c>
      <c r="V14" s="271">
        <f>V11</f>
        <v>0.2</v>
      </c>
      <c r="W14" s="294">
        <f t="shared" si="5"/>
        <v>0.9</v>
      </c>
      <c r="X14" s="294">
        <f t="shared" si="5"/>
        <v>1</v>
      </c>
      <c r="Y14" s="204" t="str">
        <f>O14</f>
        <v>Refrigerated Warehouse Controls</v>
      </c>
      <c r="Z14" s="221">
        <f t="shared" si="6"/>
        <v>5000</v>
      </c>
      <c r="AA14" s="280">
        <f t="shared" si="10"/>
        <v>2500</v>
      </c>
      <c r="AB14" s="280">
        <f t="shared" si="14"/>
        <v>0</v>
      </c>
      <c r="AC14" s="280">
        <f t="shared" si="12"/>
        <v>30</v>
      </c>
      <c r="AD14" s="280">
        <f t="shared" si="13"/>
        <v>250</v>
      </c>
      <c r="AE14" s="273">
        <v>1</v>
      </c>
      <c r="AF14" s="273">
        <f>V14</f>
        <v>0.2</v>
      </c>
      <c r="AG14" s="295">
        <f t="shared" si="8"/>
        <v>0.9</v>
      </c>
      <c r="AH14" s="295">
        <f t="shared" si="8"/>
        <v>1</v>
      </c>
    </row>
    <row r="16" spans="1:34" s="70" customFormat="1">
      <c r="A16" s="71"/>
      <c r="C16" s="214"/>
      <c r="M16" s="363"/>
      <c r="O16" s="272"/>
    </row>
    <row r="17" spans="3:15">
      <c r="C17" s="214"/>
      <c r="O17" s="272"/>
    </row>
    <row r="18" spans="3:15">
      <c r="C18" s="214"/>
    </row>
  </sheetData>
  <mergeCells count="35">
    <mergeCell ref="U2:U3"/>
    <mergeCell ref="A1:B3"/>
    <mergeCell ref="E1:L1"/>
    <mergeCell ref="J2:J3"/>
    <mergeCell ref="K2:K3"/>
    <mergeCell ref="L2:L3"/>
    <mergeCell ref="S2:S3"/>
    <mergeCell ref="A8:A10"/>
    <mergeCell ref="A4:A7"/>
    <mergeCell ref="B11:B14"/>
    <mergeCell ref="A11:A14"/>
    <mergeCell ref="M1:N1"/>
    <mergeCell ref="M2:N2"/>
    <mergeCell ref="B8:B10"/>
    <mergeCell ref="B4:B7"/>
    <mergeCell ref="F2:H2"/>
    <mergeCell ref="E2:E3"/>
    <mergeCell ref="I2:I3"/>
    <mergeCell ref="C1:C3"/>
    <mergeCell ref="W1:X1"/>
    <mergeCell ref="W2:X2"/>
    <mergeCell ref="AG2:AH2"/>
    <mergeCell ref="AG1:AH1"/>
    <mergeCell ref="T2:T3"/>
    <mergeCell ref="Z2:AB2"/>
    <mergeCell ref="Y2:Y3"/>
    <mergeCell ref="AF2:AF3"/>
    <mergeCell ref="AE2:AE3"/>
    <mergeCell ref="AD2:AD3"/>
    <mergeCell ref="AC2:AC3"/>
    <mergeCell ref="Y1:AF1"/>
    <mergeCell ref="O1:V1"/>
    <mergeCell ref="P2:R2"/>
    <mergeCell ref="O2:O3"/>
    <mergeCell ref="V2:V3"/>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Sheet1</vt:lpstr>
      <vt:lpstr>Lists</vt:lpstr>
      <vt:lpstr>NW Baseline Grid Char</vt:lpstr>
      <vt:lpstr>NW Baseline Energy</vt:lpstr>
      <vt:lpstr>NW Baseline Energy by Use</vt:lpstr>
      <vt:lpstr>NW Baseline Demand</vt:lpstr>
      <vt:lpstr>NW Customers</vt:lpstr>
      <vt:lpstr>SummaryTables</vt:lpstr>
      <vt:lpstr>KeyAssumptions</vt:lpstr>
      <vt:lpstr>Res-Capacity-Base</vt:lpstr>
      <vt:lpstr>Com-Capacity-Base</vt:lpstr>
      <vt:lpstr>Ag-Ind-Capacity-Base</vt:lpstr>
      <vt:lpstr>Res-Capacity-Smart</vt:lpstr>
      <vt:lpstr>Com-Capacity-Smart</vt:lpstr>
      <vt:lpstr>Ag-Ind-Capacity-Smart</vt:lpstr>
      <vt:lpstr>Res-Balancing</vt:lpstr>
      <vt:lpstr>Com-Balancing</vt:lpstr>
      <vt:lpstr>Ag-Ind-Balancing</vt:lpstr>
    </vt:vector>
  </TitlesOfParts>
  <Company>Navigant Consulting,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Navigant</dc:creator>
  <cp:lastModifiedBy>Greg Wikler</cp:lastModifiedBy>
  <cp:lastPrinted>2014-02-28T20:08:12Z</cp:lastPrinted>
  <dcterms:created xsi:type="dcterms:W3CDTF">2014-01-02T20:32:12Z</dcterms:created>
  <dcterms:modified xsi:type="dcterms:W3CDTF">2015-01-19T06:33:05Z</dcterms:modified>
</cp:coreProperties>
</file>